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filterPrivacy="1" codeName="ThisWorkbook"/>
  <xr:revisionPtr revIDLastSave="0" documentId="13_ncr:1_{621C2DFD-53C3-40D8-AAAF-C66F4AC90642}" xr6:coauthVersionLast="47" xr6:coauthVersionMax="47" xr10:uidLastSave="{00000000-0000-0000-0000-000000000000}"/>
  <workbookProtection workbookAlgorithmName="SHA-512" workbookHashValue="D9lrligc1kiYgGbTaSlFNPZmXhnfbmV58nWLxr+OT1i3WygKIyT30VTTS8SSv6xIZeMVA40CgiXLJnVuxLqUtA==" workbookSaltValue="FhrdlYdCWXH533T1rF/OyQ==" workbookSpinCount="100000" lockStructure="1"/>
  <bookViews>
    <workbookView xWindow="-120" yWindow="-120" windowWidth="29040" windowHeight="15840" tabRatio="929" xr2:uid="{056746D1-F399-44B0-979D-9B4B39E7E24B}"/>
  </bookViews>
  <sheets>
    <sheet name="入力シート" sheetId="1" r:id="rId1"/>
    <sheet name="入力シート（2事業場以降）" sheetId="8" r:id="rId2"/>
    <sheet name="様式第1（通常）" sheetId="4" r:id="rId3"/>
    <sheet name="様式第1（10事業場30台）" sheetId="15" r:id="rId4"/>
    <sheet name="様式第1（50事業場150台）" sheetId="14" r:id="rId5"/>
    <sheet name="中間シート" sheetId="3" state="hidden" r:id="rId6"/>
    <sheet name="プルダウン" sheetId="2" state="hidden" r:id="rId7"/>
    <sheet name="インポート" sheetId="16" state="hidden" r:id="rId8"/>
    <sheet name="補助対象機器一覧20220831" sheetId="10" state="hidden" r:id="rId9"/>
    <sheet name="認証書等・整備士証明等" sheetId="6" r:id="rId10"/>
  </sheets>
  <definedNames>
    <definedName name="_xlnm._FilterDatabase" localSheetId="5" hidden="1">中間シート!$B$59:$H$510</definedName>
    <definedName name="_xlnm._FilterDatabase" localSheetId="1" hidden="1">'入力シート（2事業場以降）'!$F$800:$H$1149</definedName>
    <definedName name="_xlnm.Print_Area" localSheetId="9">認証書等・整備士証明等!$A$2:$T$68</definedName>
    <definedName name="_xlnm.Print_Area" localSheetId="3">'様式第1（10事業場30台）'!$I$1:$AV$170</definedName>
    <definedName name="_xlnm.Print_Area" localSheetId="4">'様式第1（50事業場150台）'!$I$1:$AV$370</definedName>
    <definedName name="_xlnm.Print_Area" localSheetId="2">'様式第1（通常）'!$I$1:$AV$125</definedName>
    <definedName name="補助対象機器一覧_コード番号" localSheetId="8">補助対象機器一覧20220831!$A$2:$A$116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N754" i="8" l="1"/>
  <c r="AK96" i="4"/>
  <c r="AK141" i="15"/>
  <c r="AK341" i="14"/>
  <c r="AK3" i="14"/>
  <c r="J780" i="8"/>
  <c r="N767" i="8"/>
  <c r="V763" i="8"/>
  <c r="N759" i="8"/>
  <c r="J759" i="8"/>
  <c r="R754" i="8"/>
  <c r="V750" i="8"/>
  <c r="N750" i="8"/>
  <c r="V746" i="8"/>
  <c r="J746" i="8"/>
  <c r="V737" i="8"/>
  <c r="N737" i="8"/>
  <c r="R733" i="8"/>
  <c r="V724" i="8"/>
  <c r="R724" i="8"/>
  <c r="N724" i="8"/>
  <c r="V720" i="8"/>
  <c r="N720" i="8"/>
  <c r="V715" i="8"/>
  <c r="R715" i="8"/>
  <c r="N715" i="8"/>
  <c r="J715" i="8"/>
  <c r="V707" i="8"/>
  <c r="V702" i="8"/>
  <c r="N702" i="8"/>
  <c r="J702" i="8"/>
  <c r="V698" i="8"/>
  <c r="V694" i="8"/>
  <c r="R694" i="8"/>
  <c r="N694" i="8"/>
  <c r="R689" i="8"/>
  <c r="N689" i="8"/>
  <c r="V685" i="8"/>
  <c r="N685" i="8"/>
  <c r="V681" i="8"/>
  <c r="R681" i="8"/>
  <c r="V676" i="8"/>
  <c r="V672" i="8"/>
  <c r="N672" i="8"/>
  <c r="J672" i="8"/>
  <c r="R668" i="8"/>
  <c r="V663" i="8"/>
  <c r="N663" i="8"/>
  <c r="V659" i="8"/>
  <c r="N659" i="8"/>
  <c r="J659" i="8"/>
  <c r="V655" i="8"/>
  <c r="N655" i="8"/>
  <c r="V650" i="8"/>
  <c r="R650" i="8"/>
  <c r="R646" i="8"/>
  <c r="V642" i="8"/>
  <c r="V637" i="8"/>
  <c r="R637" i="8"/>
  <c r="N637" i="8"/>
  <c r="J637" i="8"/>
  <c r="V633" i="8"/>
  <c r="N633" i="8"/>
  <c r="V629" i="8"/>
  <c r="N629" i="8"/>
  <c r="J629" i="8"/>
  <c r="R624" i="8"/>
  <c r="N624" i="8"/>
  <c r="V620" i="8"/>
  <c r="N620" i="8"/>
  <c r="N616" i="8"/>
  <c r="V611" i="8"/>
  <c r="N611" i="8"/>
  <c r="V607" i="8"/>
  <c r="R607" i="8"/>
  <c r="N607" i="8"/>
  <c r="J607" i="8"/>
  <c r="V603" i="8"/>
  <c r="R603" i="8"/>
  <c r="J603" i="8"/>
  <c r="V598" i="8"/>
  <c r="R598" i="8"/>
  <c r="N598" i="8"/>
  <c r="J598" i="8"/>
  <c r="V594" i="8"/>
  <c r="R594" i="8"/>
  <c r="N594" i="8"/>
  <c r="J594" i="8"/>
  <c r="R590" i="8"/>
  <c r="J590" i="8"/>
  <c r="V585" i="8"/>
  <c r="R585" i="8"/>
  <c r="N585" i="8"/>
  <c r="J585" i="8"/>
  <c r="V581" i="8"/>
  <c r="R581" i="8"/>
  <c r="N581" i="8"/>
  <c r="J581" i="8"/>
  <c r="V577" i="8"/>
  <c r="R577" i="8"/>
  <c r="N577" i="8"/>
  <c r="J577" i="8"/>
  <c r="V572" i="8"/>
  <c r="R572" i="8"/>
  <c r="N572" i="8"/>
  <c r="J572" i="8"/>
  <c r="V568" i="8"/>
  <c r="R568" i="8"/>
  <c r="N568" i="8"/>
  <c r="J568" i="8"/>
  <c r="V564" i="8"/>
  <c r="R564" i="8"/>
  <c r="N564" i="8"/>
  <c r="J564" i="8"/>
  <c r="V559" i="8"/>
  <c r="R559" i="8"/>
  <c r="N559" i="8"/>
  <c r="J559" i="8"/>
  <c r="V555" i="8"/>
  <c r="R555" i="8"/>
  <c r="N555" i="8"/>
  <c r="J555" i="8"/>
  <c r="V551" i="8"/>
  <c r="R551" i="8"/>
  <c r="N551" i="8"/>
  <c r="J551" i="8"/>
  <c r="V546" i="8"/>
  <c r="R546" i="8"/>
  <c r="N546" i="8"/>
  <c r="J546" i="8"/>
  <c r="V542" i="8"/>
  <c r="R542" i="8"/>
  <c r="N542" i="8"/>
  <c r="J542" i="8"/>
  <c r="V538" i="8"/>
  <c r="R538" i="8"/>
  <c r="N538" i="8"/>
  <c r="J538" i="8"/>
  <c r="V533" i="8"/>
  <c r="R533" i="8"/>
  <c r="N533" i="8"/>
  <c r="J533" i="8"/>
  <c r="V529" i="8"/>
  <c r="R529" i="8"/>
  <c r="N529" i="8"/>
  <c r="J529" i="8"/>
  <c r="V525" i="8"/>
  <c r="R525" i="8"/>
  <c r="N525" i="8"/>
  <c r="J525" i="8"/>
  <c r="V520" i="8"/>
  <c r="R520" i="8"/>
  <c r="N520" i="8"/>
  <c r="J520" i="8"/>
  <c r="V516" i="8"/>
  <c r="R516" i="8"/>
  <c r="N516" i="8"/>
  <c r="J516" i="8"/>
  <c r="V512" i="8"/>
  <c r="R512" i="8"/>
  <c r="N512" i="8"/>
  <c r="J512" i="8"/>
  <c r="V507" i="8"/>
  <c r="R507" i="8"/>
  <c r="N507" i="8"/>
  <c r="J507" i="8"/>
  <c r="V503" i="8"/>
  <c r="R503" i="8"/>
  <c r="N503" i="8"/>
  <c r="J503" i="8"/>
  <c r="V499" i="8"/>
  <c r="R499" i="8"/>
  <c r="N499" i="8"/>
  <c r="J499" i="8"/>
  <c r="V494" i="8"/>
  <c r="R494" i="8"/>
  <c r="N494" i="8"/>
  <c r="J494" i="8"/>
  <c r="V490" i="8"/>
  <c r="R490" i="8"/>
  <c r="N490" i="8"/>
  <c r="J490" i="8"/>
  <c r="V486" i="8"/>
  <c r="R486" i="8"/>
  <c r="N486" i="8"/>
  <c r="J486" i="8"/>
  <c r="V481" i="8"/>
  <c r="R481" i="8"/>
  <c r="N481" i="8"/>
  <c r="J481" i="8"/>
  <c r="V477" i="8"/>
  <c r="R477" i="8"/>
  <c r="N477" i="8"/>
  <c r="J477" i="8"/>
  <c r="V473" i="8"/>
  <c r="R473" i="8"/>
  <c r="N473" i="8"/>
  <c r="J473" i="8"/>
  <c r="V468" i="8"/>
  <c r="R468" i="8"/>
  <c r="N468" i="8"/>
  <c r="J468" i="8"/>
  <c r="V464" i="8"/>
  <c r="R464" i="8"/>
  <c r="N464" i="8"/>
  <c r="J464" i="8"/>
  <c r="V460" i="8"/>
  <c r="R460" i="8"/>
  <c r="N460" i="8"/>
  <c r="J460" i="8"/>
  <c r="V455" i="8"/>
  <c r="R455" i="8"/>
  <c r="N455" i="8"/>
  <c r="J455" i="8"/>
  <c r="V451" i="8"/>
  <c r="R451" i="8"/>
  <c r="N451" i="8"/>
  <c r="J451" i="8"/>
  <c r="V447" i="8"/>
  <c r="R447" i="8"/>
  <c r="N447" i="8"/>
  <c r="J447" i="8"/>
  <c r="V442" i="8"/>
  <c r="R442" i="8"/>
  <c r="N442" i="8"/>
  <c r="J442" i="8"/>
  <c r="V438" i="8"/>
  <c r="R438" i="8"/>
  <c r="N438" i="8"/>
  <c r="J438" i="8"/>
  <c r="V434" i="8"/>
  <c r="R434" i="8"/>
  <c r="N434" i="8"/>
  <c r="J434" i="8"/>
  <c r="V429" i="8"/>
  <c r="R429" i="8"/>
  <c r="N429" i="8"/>
  <c r="J429" i="8"/>
  <c r="V425" i="8"/>
  <c r="R425" i="8"/>
  <c r="N425" i="8"/>
  <c r="J425" i="8"/>
  <c r="V421" i="8"/>
  <c r="R421" i="8"/>
  <c r="N421" i="8"/>
  <c r="J421" i="8"/>
  <c r="V416" i="8"/>
  <c r="R416" i="8"/>
  <c r="N416" i="8"/>
  <c r="J416" i="8"/>
  <c r="V412" i="8"/>
  <c r="R412" i="8"/>
  <c r="N412" i="8"/>
  <c r="J412" i="8"/>
  <c r="V408" i="8"/>
  <c r="R408" i="8"/>
  <c r="N408" i="8"/>
  <c r="J408" i="8"/>
  <c r="V403" i="8"/>
  <c r="R403" i="8"/>
  <c r="N403" i="8"/>
  <c r="J403" i="8"/>
  <c r="V399" i="8"/>
  <c r="R399" i="8"/>
  <c r="N399" i="8"/>
  <c r="J399" i="8"/>
  <c r="V395" i="8"/>
  <c r="R395" i="8"/>
  <c r="N395" i="8"/>
  <c r="J395" i="8"/>
  <c r="V390" i="8"/>
  <c r="R390" i="8"/>
  <c r="N390" i="8"/>
  <c r="J390" i="8"/>
  <c r="V386" i="8"/>
  <c r="R386" i="8"/>
  <c r="N386" i="8"/>
  <c r="J386" i="8"/>
  <c r="V382" i="8"/>
  <c r="R382" i="8"/>
  <c r="N382" i="8"/>
  <c r="J382" i="8"/>
  <c r="V377" i="8"/>
  <c r="R377" i="8"/>
  <c r="N377" i="8"/>
  <c r="J377" i="8"/>
  <c r="V373" i="8"/>
  <c r="R373" i="8"/>
  <c r="N373" i="8"/>
  <c r="J373" i="8"/>
  <c r="V369" i="8"/>
  <c r="R369" i="8"/>
  <c r="N369" i="8"/>
  <c r="J369" i="8"/>
  <c r="V364" i="8"/>
  <c r="R364" i="8"/>
  <c r="N364" i="8"/>
  <c r="J364" i="8"/>
  <c r="V360" i="8"/>
  <c r="R360" i="8"/>
  <c r="N360" i="8"/>
  <c r="J360" i="8"/>
  <c r="V356" i="8"/>
  <c r="R356" i="8"/>
  <c r="N356" i="8"/>
  <c r="J356" i="8"/>
  <c r="V351" i="8"/>
  <c r="R351" i="8"/>
  <c r="N351" i="8"/>
  <c r="J351" i="8"/>
  <c r="V347" i="8"/>
  <c r="R347" i="8"/>
  <c r="N347" i="8"/>
  <c r="J347" i="8"/>
  <c r="V343" i="8"/>
  <c r="R343" i="8"/>
  <c r="N343" i="8"/>
  <c r="J343" i="8"/>
  <c r="V338" i="8"/>
  <c r="R338" i="8"/>
  <c r="N338" i="8"/>
  <c r="J338" i="8"/>
  <c r="V334" i="8"/>
  <c r="R334" i="8"/>
  <c r="N334" i="8"/>
  <c r="J334" i="8"/>
  <c r="V330" i="8"/>
  <c r="R330" i="8"/>
  <c r="N330" i="8"/>
  <c r="J330" i="8"/>
  <c r="V325" i="8"/>
  <c r="R325" i="8"/>
  <c r="N325" i="8"/>
  <c r="J325" i="8"/>
  <c r="V321" i="8"/>
  <c r="R321" i="8"/>
  <c r="N321" i="8"/>
  <c r="J321" i="8"/>
  <c r="V317" i="8"/>
  <c r="R317" i="8"/>
  <c r="N317" i="8"/>
  <c r="J317" i="8"/>
  <c r="V312" i="8"/>
  <c r="R312" i="8"/>
  <c r="N312" i="8"/>
  <c r="J312" i="8"/>
  <c r="V308" i="8"/>
  <c r="R308" i="8"/>
  <c r="N308" i="8"/>
  <c r="J308" i="8"/>
  <c r="V304" i="8"/>
  <c r="R304" i="8"/>
  <c r="N304" i="8"/>
  <c r="J304" i="8"/>
  <c r="V299" i="8"/>
  <c r="R299" i="8"/>
  <c r="N299" i="8"/>
  <c r="J299" i="8"/>
  <c r="V295" i="8"/>
  <c r="R295" i="8"/>
  <c r="N295" i="8"/>
  <c r="J295" i="8"/>
  <c r="V291" i="8"/>
  <c r="R291" i="8"/>
  <c r="N291" i="8"/>
  <c r="J291" i="8"/>
  <c r="V286" i="8"/>
  <c r="R286" i="8"/>
  <c r="N286" i="8"/>
  <c r="J286" i="8"/>
  <c r="V282" i="8"/>
  <c r="R282" i="8"/>
  <c r="N282" i="8"/>
  <c r="J282" i="8"/>
  <c r="V278" i="8"/>
  <c r="R278" i="8"/>
  <c r="N278" i="8"/>
  <c r="J278" i="8"/>
  <c r="V273" i="8"/>
  <c r="R273" i="8"/>
  <c r="N273" i="8"/>
  <c r="J273" i="8"/>
  <c r="V269" i="8"/>
  <c r="R269" i="8"/>
  <c r="N269" i="8"/>
  <c r="J269" i="8"/>
  <c r="V265" i="8"/>
  <c r="R265" i="8"/>
  <c r="N265" i="8"/>
  <c r="J265" i="8"/>
  <c r="V260" i="8"/>
  <c r="R260" i="8"/>
  <c r="N260" i="8"/>
  <c r="J260" i="8"/>
  <c r="V256" i="8"/>
  <c r="R256" i="8"/>
  <c r="N256" i="8"/>
  <c r="J256" i="8"/>
  <c r="V252" i="8"/>
  <c r="R252" i="8"/>
  <c r="N252" i="8"/>
  <c r="J252" i="8"/>
  <c r="V247" i="8"/>
  <c r="R247" i="8"/>
  <c r="N247" i="8"/>
  <c r="J247" i="8"/>
  <c r="V243" i="8"/>
  <c r="R243" i="8"/>
  <c r="N243" i="8"/>
  <c r="J243" i="8"/>
  <c r="V239" i="8"/>
  <c r="R239" i="8"/>
  <c r="N239" i="8"/>
  <c r="J239" i="8"/>
  <c r="V234" i="8"/>
  <c r="R234" i="8"/>
  <c r="N234" i="8"/>
  <c r="J234" i="8"/>
  <c r="V230" i="8"/>
  <c r="R230" i="8"/>
  <c r="N230" i="8"/>
  <c r="J230" i="8"/>
  <c r="V226" i="8"/>
  <c r="R226" i="8"/>
  <c r="N226" i="8"/>
  <c r="J226" i="8"/>
  <c r="V221" i="8"/>
  <c r="R221" i="8"/>
  <c r="N221" i="8"/>
  <c r="J221" i="8"/>
  <c r="V217" i="8"/>
  <c r="R217" i="8"/>
  <c r="N217" i="8"/>
  <c r="J217" i="8"/>
  <c r="V213" i="8"/>
  <c r="R213" i="8"/>
  <c r="N213" i="8"/>
  <c r="J213" i="8"/>
  <c r="V208" i="8"/>
  <c r="R208" i="8"/>
  <c r="N208" i="8"/>
  <c r="J208" i="8"/>
  <c r="V204" i="8"/>
  <c r="R204" i="8"/>
  <c r="N204" i="8"/>
  <c r="J204" i="8"/>
  <c r="V200" i="8"/>
  <c r="R200" i="8"/>
  <c r="N200" i="8"/>
  <c r="J200" i="8"/>
  <c r="V195" i="8"/>
  <c r="R195" i="8"/>
  <c r="N195" i="8"/>
  <c r="J195" i="8"/>
  <c r="V191" i="8"/>
  <c r="R191" i="8"/>
  <c r="N191" i="8"/>
  <c r="J191" i="8"/>
  <c r="V187" i="8"/>
  <c r="R187" i="8"/>
  <c r="N187" i="8"/>
  <c r="J187" i="8"/>
  <c r="V182" i="8"/>
  <c r="R182" i="8"/>
  <c r="N182" i="8"/>
  <c r="J182" i="8"/>
  <c r="V178" i="8"/>
  <c r="R178" i="8"/>
  <c r="N178" i="8"/>
  <c r="J178" i="8"/>
  <c r="V174" i="8"/>
  <c r="R174" i="8"/>
  <c r="N174" i="8"/>
  <c r="J174" i="8"/>
  <c r="V169" i="8"/>
  <c r="R169" i="8"/>
  <c r="N169" i="8"/>
  <c r="J169" i="8"/>
  <c r="V165" i="8"/>
  <c r="R165" i="8"/>
  <c r="N165" i="8"/>
  <c r="J165" i="8"/>
  <c r="V161" i="8"/>
  <c r="R161" i="8"/>
  <c r="N161" i="8"/>
  <c r="J161" i="8"/>
  <c r="V156" i="8"/>
  <c r="R156" i="8"/>
  <c r="N156" i="8"/>
  <c r="J156" i="8"/>
  <c r="V152" i="8"/>
  <c r="R152" i="8"/>
  <c r="N152" i="8"/>
  <c r="J152" i="8"/>
  <c r="V148" i="8"/>
  <c r="R148" i="8"/>
  <c r="N148" i="8"/>
  <c r="J148" i="8"/>
  <c r="V136" i="1"/>
  <c r="R136" i="1"/>
  <c r="N136" i="1"/>
  <c r="J136" i="1"/>
  <c r="V132" i="1"/>
  <c r="R132" i="1"/>
  <c r="N132" i="1"/>
  <c r="J132" i="1"/>
  <c r="V128" i="1"/>
  <c r="R128" i="1"/>
  <c r="N128" i="1"/>
  <c r="J128" i="1"/>
  <c r="AA661" i="3"/>
  <c r="AA658" i="3"/>
  <c r="AA655" i="3"/>
  <c r="AA652" i="3"/>
  <c r="AA649" i="3"/>
  <c r="AA646" i="3"/>
  <c r="AA643" i="3"/>
  <c r="AA640" i="3"/>
  <c r="AA637" i="3"/>
  <c r="AA634" i="3"/>
  <c r="AA631" i="3"/>
  <c r="AA628" i="3"/>
  <c r="AA625" i="3"/>
  <c r="AA622" i="3"/>
  <c r="AA619" i="3"/>
  <c r="AA616" i="3"/>
  <c r="AA613" i="3"/>
  <c r="AA610" i="3"/>
  <c r="AA607" i="3"/>
  <c r="AA604" i="3"/>
  <c r="AA601" i="3"/>
  <c r="AA598" i="3"/>
  <c r="AA595" i="3"/>
  <c r="AA592" i="3"/>
  <c r="AA589" i="3"/>
  <c r="AA586" i="3"/>
  <c r="AA583" i="3"/>
  <c r="AA580" i="3"/>
  <c r="AA577" i="3"/>
  <c r="AA574" i="3"/>
  <c r="AA571" i="3"/>
  <c r="AA568" i="3"/>
  <c r="AA565" i="3"/>
  <c r="AA562" i="3"/>
  <c r="AA559" i="3"/>
  <c r="AA556" i="3"/>
  <c r="AA553" i="3"/>
  <c r="AA550" i="3"/>
  <c r="AA547" i="3"/>
  <c r="AA544" i="3"/>
  <c r="AA541" i="3"/>
  <c r="AA538" i="3"/>
  <c r="AA535" i="3"/>
  <c r="AA532" i="3"/>
  <c r="AA529" i="3"/>
  <c r="AA526" i="3"/>
  <c r="AA523" i="3"/>
  <c r="AA520" i="3"/>
  <c r="AA517" i="3"/>
  <c r="AA514" i="3"/>
  <c r="N668" i="8" l="1"/>
  <c r="N698" i="8"/>
  <c r="N728" i="8"/>
  <c r="R759" i="8"/>
  <c r="V728" i="8"/>
  <c r="V759" i="8"/>
  <c r="N733" i="8"/>
  <c r="N763" i="8"/>
  <c r="N590" i="8"/>
  <c r="R611" i="8"/>
  <c r="N642" i="8"/>
  <c r="R672" i="8"/>
  <c r="R702" i="8"/>
  <c r="J737" i="8"/>
  <c r="J767" i="8"/>
  <c r="V590" i="8"/>
  <c r="J616" i="8"/>
  <c r="N646" i="8"/>
  <c r="N676" i="8"/>
  <c r="N707" i="8"/>
  <c r="R737" i="8"/>
  <c r="R767" i="8"/>
  <c r="V767" i="8"/>
  <c r="R616" i="8"/>
  <c r="J650" i="8"/>
  <c r="J681" i="8"/>
  <c r="N711" i="8"/>
  <c r="N741" i="8"/>
  <c r="N772" i="8"/>
  <c r="V616" i="8"/>
  <c r="N650" i="8"/>
  <c r="N681" i="8"/>
  <c r="R711" i="8"/>
  <c r="V741" i="8"/>
  <c r="N776" i="8"/>
  <c r="R776" i="8"/>
  <c r="N746" i="8"/>
  <c r="N780" i="8"/>
  <c r="R746" i="8"/>
  <c r="R780" i="8"/>
  <c r="V780" i="8"/>
  <c r="N603" i="8"/>
  <c r="R629" i="8"/>
  <c r="R659" i="8"/>
  <c r="J694" i="8"/>
  <c r="J724" i="8"/>
  <c r="J763" i="8"/>
  <c r="R633" i="8"/>
  <c r="R655" i="8"/>
  <c r="R676" i="8"/>
  <c r="R698" i="8"/>
  <c r="R720" i="8"/>
  <c r="R741" i="8"/>
  <c r="R763" i="8"/>
  <c r="J620" i="8"/>
  <c r="J642" i="8"/>
  <c r="J663" i="8"/>
  <c r="J685" i="8"/>
  <c r="J707" i="8"/>
  <c r="J728" i="8"/>
  <c r="J750" i="8"/>
  <c r="J772" i="8"/>
  <c r="R620" i="8"/>
  <c r="R642" i="8"/>
  <c r="R663" i="8"/>
  <c r="R685" i="8"/>
  <c r="R707" i="8"/>
  <c r="R728" i="8"/>
  <c r="R750" i="8"/>
  <c r="R772" i="8"/>
  <c r="V772" i="8"/>
  <c r="J624" i="8"/>
  <c r="J646" i="8"/>
  <c r="J668" i="8"/>
  <c r="J689" i="8"/>
  <c r="J711" i="8"/>
  <c r="J733" i="8"/>
  <c r="J754" i="8"/>
  <c r="J776" i="8"/>
  <c r="V624" i="8"/>
  <c r="V646" i="8"/>
  <c r="V668" i="8"/>
  <c r="V689" i="8"/>
  <c r="V711" i="8"/>
  <c r="V733" i="8"/>
  <c r="V754" i="8"/>
  <c r="V776" i="8"/>
  <c r="J611" i="8"/>
  <c r="J633" i="8"/>
  <c r="J655" i="8"/>
  <c r="J676" i="8"/>
  <c r="J698" i="8"/>
  <c r="J720" i="8"/>
  <c r="J741" i="8"/>
  <c r="AA820" i="3"/>
  <c r="AQ148" i="8"/>
  <c r="AQ780" i="8" l="1"/>
  <c r="AQ776" i="8"/>
  <c r="AQ772" i="8"/>
  <c r="AQ767" i="8"/>
  <c r="AQ763" i="8"/>
  <c r="AQ759" i="8"/>
  <c r="AQ754" i="8"/>
  <c r="AQ750" i="8"/>
  <c r="AQ746" i="8"/>
  <c r="AQ741" i="8"/>
  <c r="AQ737" i="8"/>
  <c r="AQ733" i="8"/>
  <c r="AQ728" i="8"/>
  <c r="AQ724" i="8"/>
  <c r="AQ720" i="8"/>
  <c r="AQ715" i="8"/>
  <c r="AQ711" i="8"/>
  <c r="AQ707" i="8"/>
  <c r="AQ702" i="8"/>
  <c r="AQ698" i="8"/>
  <c r="AQ694" i="8"/>
  <c r="AQ689" i="8"/>
  <c r="AQ685" i="8"/>
  <c r="AQ681" i="8"/>
  <c r="AQ676" i="8"/>
  <c r="AQ672" i="8"/>
  <c r="AQ668" i="8"/>
  <c r="AQ663" i="8"/>
  <c r="AQ659" i="8"/>
  <c r="AQ655" i="8"/>
  <c r="AQ650" i="8"/>
  <c r="AQ646" i="8"/>
  <c r="AQ642" i="8"/>
  <c r="AQ637" i="8"/>
  <c r="AQ633" i="8"/>
  <c r="AQ629" i="8"/>
  <c r="AQ624" i="8"/>
  <c r="AQ620" i="8"/>
  <c r="AQ616" i="8"/>
  <c r="AQ611" i="8"/>
  <c r="AQ607" i="8"/>
  <c r="AQ603" i="8"/>
  <c r="AQ598" i="8"/>
  <c r="AQ594" i="8"/>
  <c r="AQ590" i="8"/>
  <c r="AQ585" i="8"/>
  <c r="AQ581" i="8"/>
  <c r="AQ577" i="8"/>
  <c r="AQ572" i="8"/>
  <c r="AQ568" i="8"/>
  <c r="AQ564" i="8"/>
  <c r="AQ559" i="8"/>
  <c r="AQ555" i="8"/>
  <c r="AQ551" i="8"/>
  <c r="AQ546" i="8"/>
  <c r="AQ542" i="8"/>
  <c r="AQ538" i="8"/>
  <c r="AQ533" i="8"/>
  <c r="AQ529" i="8"/>
  <c r="AQ525" i="8"/>
  <c r="AQ520" i="8"/>
  <c r="AQ516" i="8"/>
  <c r="AQ512" i="8"/>
  <c r="AQ507" i="8"/>
  <c r="AQ503" i="8"/>
  <c r="AQ499" i="8"/>
  <c r="AQ494" i="8"/>
  <c r="AQ490" i="8"/>
  <c r="AQ486" i="8"/>
  <c r="AQ481" i="8"/>
  <c r="AQ477" i="8"/>
  <c r="AQ473" i="8"/>
  <c r="AQ468" i="8"/>
  <c r="AQ464" i="8"/>
  <c r="AQ460" i="8"/>
  <c r="AQ455" i="8"/>
  <c r="AQ451" i="8"/>
  <c r="AQ447" i="8"/>
  <c r="AQ442" i="8"/>
  <c r="AQ438" i="8"/>
  <c r="AQ434" i="8"/>
  <c r="AQ429" i="8"/>
  <c r="AQ425" i="8"/>
  <c r="AQ421" i="8"/>
  <c r="AQ416" i="8"/>
  <c r="AQ412" i="8"/>
  <c r="AQ408" i="8"/>
  <c r="AQ403" i="8"/>
  <c r="AQ399" i="8"/>
  <c r="AQ395" i="8"/>
  <c r="AQ390" i="8"/>
  <c r="AQ386" i="8"/>
  <c r="AQ382" i="8"/>
  <c r="AQ377" i="8"/>
  <c r="AQ373" i="8"/>
  <c r="AQ369" i="8"/>
  <c r="AQ364" i="8"/>
  <c r="AQ360" i="8"/>
  <c r="AQ356" i="8"/>
  <c r="AQ351" i="8"/>
  <c r="AQ347" i="8"/>
  <c r="AQ343" i="8"/>
  <c r="AQ338" i="8"/>
  <c r="AQ334" i="8"/>
  <c r="AQ330" i="8"/>
  <c r="AQ325" i="8"/>
  <c r="AQ321" i="8"/>
  <c r="AQ317" i="8"/>
  <c r="AQ312" i="8"/>
  <c r="AQ308" i="8"/>
  <c r="AQ304" i="8"/>
  <c r="AQ299" i="8"/>
  <c r="AQ295" i="8"/>
  <c r="AQ291" i="8"/>
  <c r="AQ286" i="8"/>
  <c r="AQ282" i="8"/>
  <c r="AQ278" i="8"/>
  <c r="AQ273" i="8"/>
  <c r="AQ269" i="8"/>
  <c r="AQ265" i="8"/>
  <c r="AQ260" i="8"/>
  <c r="AQ256" i="8"/>
  <c r="AQ252" i="8"/>
  <c r="AQ247" i="8"/>
  <c r="AQ243" i="8"/>
  <c r="AQ239" i="8"/>
  <c r="AQ234" i="8"/>
  <c r="AQ230" i="8"/>
  <c r="AQ226" i="8"/>
  <c r="AQ221" i="8"/>
  <c r="AQ217" i="8"/>
  <c r="AQ213" i="8"/>
  <c r="AQ208" i="8"/>
  <c r="AQ204" i="8"/>
  <c r="AQ200" i="8"/>
  <c r="AQ195" i="8"/>
  <c r="AQ191" i="8"/>
  <c r="AQ187" i="8"/>
  <c r="AQ182" i="8"/>
  <c r="AQ178" i="8"/>
  <c r="AQ174" i="8"/>
  <c r="AQ169" i="8"/>
  <c r="AQ165" i="8"/>
  <c r="AQ161" i="8"/>
  <c r="AQ156" i="8"/>
  <c r="AQ152" i="8"/>
  <c r="Y128" i="1"/>
  <c r="Y136" i="1"/>
  <c r="Y132" i="1"/>
  <c r="G66" i="3" l="1"/>
  <c r="G65" i="3"/>
  <c r="G63" i="3"/>
  <c r="G61" i="3"/>
  <c r="G60" i="3"/>
  <c r="C788" i="8" s="1"/>
  <c r="D71" i="3" l="1"/>
  <c r="D451" i="3"/>
  <c r="G451" i="3" s="1"/>
  <c r="D300" i="3"/>
  <c r="G300" i="3" s="1"/>
  <c r="D501" i="3"/>
  <c r="G501" i="3" s="1"/>
  <c r="D299" i="3"/>
  <c r="H299" i="3" s="1"/>
  <c r="W420" i="3"/>
  <c r="W339" i="3"/>
  <c r="D490" i="3"/>
  <c r="G490" i="3" s="1"/>
  <c r="D431" i="3"/>
  <c r="G431" i="3" s="1"/>
  <c r="D359" i="3"/>
  <c r="G359" i="3" s="1"/>
  <c r="D277" i="3"/>
  <c r="G277" i="3" s="1"/>
  <c r="D182" i="3"/>
  <c r="H182" i="3" s="1"/>
  <c r="D86" i="3"/>
  <c r="G86" i="3" s="1"/>
  <c r="W303" i="3"/>
  <c r="D487" i="3"/>
  <c r="G487" i="3" s="1"/>
  <c r="D430" i="3"/>
  <c r="G430" i="3" s="1"/>
  <c r="D358" i="3"/>
  <c r="G358" i="3" s="1"/>
  <c r="D276" i="3"/>
  <c r="G276" i="3" s="1"/>
  <c r="D181" i="3"/>
  <c r="G181" i="3" s="1"/>
  <c r="D85" i="3"/>
  <c r="G85" i="3" s="1"/>
  <c r="W294" i="3"/>
  <c r="D118" i="3"/>
  <c r="G118" i="3" s="1"/>
  <c r="D507" i="3"/>
  <c r="G507" i="3" s="1"/>
  <c r="D180" i="3"/>
  <c r="G180" i="3" s="1"/>
  <c r="D421" i="3"/>
  <c r="G421" i="3" s="1"/>
  <c r="D73" i="3"/>
  <c r="D164" i="3"/>
  <c r="H164" i="3" s="1"/>
  <c r="W240" i="3"/>
  <c r="D159" i="3"/>
  <c r="G159" i="3" s="1"/>
  <c r="D336" i="3"/>
  <c r="G336" i="3" s="1"/>
  <c r="W168" i="3"/>
  <c r="D470" i="3"/>
  <c r="G470" i="3" s="1"/>
  <c r="D410" i="3"/>
  <c r="G410" i="3" s="1"/>
  <c r="D334" i="3"/>
  <c r="G334" i="3" s="1"/>
  <c r="D249" i="3"/>
  <c r="G249" i="3" s="1"/>
  <c r="D157" i="3"/>
  <c r="G157" i="3" s="1"/>
  <c r="D510" i="3"/>
  <c r="G510" i="3" s="1"/>
  <c r="D447" i="3"/>
  <c r="G447" i="3" s="1"/>
  <c r="D482" i="3"/>
  <c r="G482" i="3" s="1"/>
  <c r="D481" i="3"/>
  <c r="G481" i="3" s="1"/>
  <c r="D417" i="3"/>
  <c r="G417" i="3" s="1"/>
  <c r="D472" i="3"/>
  <c r="G472" i="3" s="1"/>
  <c r="D411" i="3"/>
  <c r="G411" i="3" s="1"/>
  <c r="W159" i="3"/>
  <c r="D146" i="3"/>
  <c r="H146" i="3" s="1"/>
  <c r="D450" i="3"/>
  <c r="G450" i="3" s="1"/>
  <c r="D274" i="3"/>
  <c r="G274" i="3" s="1"/>
  <c r="D346" i="3"/>
  <c r="G346" i="3" s="1"/>
  <c r="D345" i="3"/>
  <c r="G345" i="3" s="1"/>
  <c r="D412" i="3"/>
  <c r="G412" i="3" s="1"/>
  <c r="D471" i="3"/>
  <c r="G471" i="3" s="1"/>
  <c r="D158" i="3"/>
  <c r="G158" i="3" s="1"/>
  <c r="D402" i="3"/>
  <c r="G402" i="3" s="1"/>
  <c r="D328" i="3"/>
  <c r="G328" i="3" s="1"/>
  <c r="W123" i="3"/>
  <c r="D462" i="3"/>
  <c r="G462" i="3" s="1"/>
  <c r="D401" i="3"/>
  <c r="G401" i="3" s="1"/>
  <c r="D323" i="3"/>
  <c r="G323" i="3" s="1"/>
  <c r="D236" i="3"/>
  <c r="H236" i="3" s="1"/>
  <c r="D141" i="3"/>
  <c r="G141" i="3" s="1"/>
  <c r="W474" i="3"/>
  <c r="D84" i="3"/>
  <c r="G84" i="3" s="1"/>
  <c r="W258" i="3"/>
  <c r="D169" i="3"/>
  <c r="G169" i="3" s="1"/>
  <c r="W249" i="3"/>
  <c r="D259" i="3"/>
  <c r="G259" i="3" s="1"/>
  <c r="D344" i="3"/>
  <c r="H344" i="3" s="1"/>
  <c r="W213" i="3"/>
  <c r="D250" i="3"/>
  <c r="G250" i="3" s="1"/>
  <c r="D467" i="3"/>
  <c r="G467" i="3" s="1"/>
  <c r="D241" i="3"/>
  <c r="G241" i="3" s="1"/>
  <c r="W114" i="3"/>
  <c r="D461" i="3"/>
  <c r="H461" i="3" s="1"/>
  <c r="D397" i="3"/>
  <c r="G397" i="3" s="1"/>
  <c r="D322" i="3"/>
  <c r="G322" i="3" s="1"/>
  <c r="D228" i="3"/>
  <c r="G228" i="3" s="1"/>
  <c r="D136" i="3"/>
  <c r="G136" i="3" s="1"/>
  <c r="D390" i="3"/>
  <c r="G390" i="3" s="1"/>
  <c r="D422" i="3"/>
  <c r="G422" i="3" s="1"/>
  <c r="D305" i="3"/>
  <c r="G305" i="3" s="1"/>
  <c r="D353" i="3"/>
  <c r="H353" i="3" s="1"/>
  <c r="D264" i="3"/>
  <c r="G264" i="3" s="1"/>
  <c r="D477" i="3"/>
  <c r="G477" i="3" s="1"/>
  <c r="D253" i="3"/>
  <c r="G253" i="3" s="1"/>
  <c r="W78" i="3"/>
  <c r="D457" i="3"/>
  <c r="G457" i="3" s="1"/>
  <c r="D392" i="3"/>
  <c r="G392" i="3" s="1"/>
  <c r="D321" i="3"/>
  <c r="G321" i="3" s="1"/>
  <c r="D227" i="3"/>
  <c r="H227" i="3" s="1"/>
  <c r="D134" i="3"/>
  <c r="G134" i="3" s="1"/>
  <c r="D70" i="3"/>
  <c r="G70" i="3" s="1"/>
  <c r="D452" i="3"/>
  <c r="H452" i="3" s="1"/>
  <c r="D391" i="3"/>
  <c r="G391" i="3" s="1"/>
  <c r="D310" i="3"/>
  <c r="G310" i="3" s="1"/>
  <c r="D226" i="3"/>
  <c r="G226" i="3" s="1"/>
  <c r="D133" i="3"/>
  <c r="G133" i="3" s="1"/>
  <c r="D309" i="3"/>
  <c r="G309" i="3" s="1"/>
  <c r="D218" i="3"/>
  <c r="D123" i="3"/>
  <c r="G123" i="3" s="1"/>
  <c r="D210" i="3"/>
  <c r="G210" i="3" s="1"/>
  <c r="D205" i="3"/>
  <c r="G205" i="3" s="1"/>
  <c r="W438" i="3"/>
  <c r="D110" i="3"/>
  <c r="G110" i="3" s="1"/>
  <c r="D204" i="3"/>
  <c r="G204" i="3" s="1"/>
  <c r="D502" i="3"/>
  <c r="G502" i="3" s="1"/>
  <c r="D203" i="3"/>
  <c r="G203" i="3" s="1"/>
  <c r="W483" i="3"/>
  <c r="W429" i="3"/>
  <c r="D377" i="3"/>
  <c r="G377" i="3" s="1"/>
  <c r="D441" i="3"/>
  <c r="G441" i="3" s="1"/>
  <c r="D298" i="3"/>
  <c r="G298" i="3" s="1"/>
  <c r="D108" i="3"/>
  <c r="G108" i="3" s="1"/>
  <c r="W393" i="3"/>
  <c r="D492" i="3"/>
  <c r="G492" i="3" s="1"/>
  <c r="D437" i="3"/>
  <c r="G437" i="3" s="1"/>
  <c r="D368" i="3"/>
  <c r="G368" i="3" s="1"/>
  <c r="D287" i="3"/>
  <c r="G287" i="3" s="1"/>
  <c r="D194" i="3"/>
  <c r="G194" i="3" s="1"/>
  <c r="D99" i="3"/>
  <c r="G99" i="3" s="1"/>
  <c r="D382" i="3"/>
  <c r="G382" i="3" s="1"/>
  <c r="D381" i="3"/>
  <c r="G381" i="3" s="1"/>
  <c r="D442" i="3"/>
  <c r="G442" i="3" s="1"/>
  <c r="D109" i="3"/>
  <c r="G109" i="3" s="1"/>
  <c r="D497" i="3"/>
  <c r="H497" i="3" s="1"/>
  <c r="D369" i="3"/>
  <c r="G369" i="3" s="1"/>
  <c r="W348" i="3"/>
  <c r="D491" i="3"/>
  <c r="G491" i="3" s="1"/>
  <c r="D432" i="3"/>
  <c r="G432" i="3" s="1"/>
  <c r="D367" i="3"/>
  <c r="G367" i="3" s="1"/>
  <c r="D282" i="3"/>
  <c r="G282" i="3" s="1"/>
  <c r="D187" i="3"/>
  <c r="G187" i="3" s="1"/>
  <c r="D93" i="3"/>
  <c r="G93" i="3" s="1"/>
  <c r="W411" i="3"/>
  <c r="W231" i="3"/>
  <c r="D509" i="3"/>
  <c r="G509" i="3" s="1"/>
  <c r="D489" i="3"/>
  <c r="G489" i="3" s="1"/>
  <c r="D469" i="3"/>
  <c r="G469" i="3" s="1"/>
  <c r="D449" i="3"/>
  <c r="G449" i="3" s="1"/>
  <c r="D429" i="3"/>
  <c r="G429" i="3" s="1"/>
  <c r="D409" i="3"/>
  <c r="G409" i="3" s="1"/>
  <c r="D389" i="3"/>
  <c r="D366" i="3"/>
  <c r="G366" i="3" s="1"/>
  <c r="D343" i="3"/>
  <c r="G343" i="3" s="1"/>
  <c r="D320" i="3"/>
  <c r="G320" i="3" s="1"/>
  <c r="D297" i="3"/>
  <c r="G297" i="3" s="1"/>
  <c r="D273" i="3"/>
  <c r="G273" i="3" s="1"/>
  <c r="D248" i="3"/>
  <c r="G248" i="3" s="1"/>
  <c r="D225" i="3"/>
  <c r="G225" i="3" s="1"/>
  <c r="D202" i="3"/>
  <c r="G202" i="3" s="1"/>
  <c r="D179" i="3"/>
  <c r="G179" i="3" s="1"/>
  <c r="D156" i="3"/>
  <c r="G156" i="3" s="1"/>
  <c r="D130" i="3"/>
  <c r="G130" i="3" s="1"/>
  <c r="D107" i="3"/>
  <c r="G107" i="3" s="1"/>
  <c r="D83" i="3"/>
  <c r="W402" i="3"/>
  <c r="W222" i="3"/>
  <c r="D508" i="3"/>
  <c r="G508" i="3" s="1"/>
  <c r="D488" i="3"/>
  <c r="D468" i="3"/>
  <c r="G468" i="3" s="1"/>
  <c r="D448" i="3"/>
  <c r="G448" i="3" s="1"/>
  <c r="D428" i="3"/>
  <c r="G428" i="3" s="1"/>
  <c r="D408" i="3"/>
  <c r="G408" i="3" s="1"/>
  <c r="D388" i="3"/>
  <c r="G388" i="3" s="1"/>
  <c r="D365" i="3"/>
  <c r="G365" i="3" s="1"/>
  <c r="D342" i="3"/>
  <c r="G342" i="3" s="1"/>
  <c r="D319" i="3"/>
  <c r="G319" i="3" s="1"/>
  <c r="D296" i="3"/>
  <c r="G296" i="3" s="1"/>
  <c r="D270" i="3"/>
  <c r="G270" i="3" s="1"/>
  <c r="D247" i="3"/>
  <c r="G247" i="3" s="1"/>
  <c r="D224" i="3"/>
  <c r="G224" i="3" s="1"/>
  <c r="D201" i="3"/>
  <c r="G201" i="3" s="1"/>
  <c r="D178" i="3"/>
  <c r="G178" i="3" s="1"/>
  <c r="D154" i="3"/>
  <c r="G154" i="3" s="1"/>
  <c r="D129" i="3"/>
  <c r="G129" i="3" s="1"/>
  <c r="D106" i="3"/>
  <c r="G106" i="3" s="1"/>
  <c r="D82" i="3"/>
  <c r="D407" i="3"/>
  <c r="D364" i="3"/>
  <c r="G364" i="3" s="1"/>
  <c r="D318" i="3"/>
  <c r="G318" i="3" s="1"/>
  <c r="D246" i="3"/>
  <c r="G246" i="3" s="1"/>
  <c r="D200" i="3"/>
  <c r="D153" i="3"/>
  <c r="G153" i="3" s="1"/>
  <c r="D128" i="3"/>
  <c r="D79" i="3"/>
  <c r="G79" i="3" s="1"/>
  <c r="W204" i="3"/>
  <c r="D506" i="3"/>
  <c r="D486" i="3"/>
  <c r="G486" i="3" s="1"/>
  <c r="D466" i="3"/>
  <c r="G466" i="3" s="1"/>
  <c r="D446" i="3"/>
  <c r="G446" i="3" s="1"/>
  <c r="D426" i="3"/>
  <c r="G426" i="3" s="1"/>
  <c r="D406" i="3"/>
  <c r="G406" i="3" s="1"/>
  <c r="D363" i="3"/>
  <c r="G363" i="3" s="1"/>
  <c r="D317" i="3"/>
  <c r="D268" i="3"/>
  <c r="G268" i="3" s="1"/>
  <c r="D222" i="3"/>
  <c r="G222" i="3" s="1"/>
  <c r="D176" i="3"/>
  <c r="G176" i="3" s="1"/>
  <c r="D150" i="3"/>
  <c r="G150" i="3" s="1"/>
  <c r="D104" i="3"/>
  <c r="G104" i="3" s="1"/>
  <c r="W195" i="3"/>
  <c r="D485" i="3"/>
  <c r="G485" i="3" s="1"/>
  <c r="D445" i="3"/>
  <c r="G445" i="3" s="1"/>
  <c r="D405" i="3"/>
  <c r="G405" i="3" s="1"/>
  <c r="D362" i="3"/>
  <c r="D316" i="3"/>
  <c r="G316" i="3" s="1"/>
  <c r="D290" i="3"/>
  <c r="D244" i="3"/>
  <c r="G244" i="3" s="1"/>
  <c r="D221" i="3"/>
  <c r="G221" i="3" s="1"/>
  <c r="D198" i="3"/>
  <c r="G198" i="3" s="1"/>
  <c r="D174" i="3"/>
  <c r="G174" i="3" s="1"/>
  <c r="D149" i="3"/>
  <c r="G149" i="3" s="1"/>
  <c r="D126" i="3"/>
  <c r="G126" i="3" s="1"/>
  <c r="D103" i="3"/>
  <c r="G103" i="3" s="1"/>
  <c r="D77" i="3"/>
  <c r="G77" i="3" s="1"/>
  <c r="W366" i="3"/>
  <c r="W186" i="3"/>
  <c r="D504" i="3"/>
  <c r="G504" i="3" s="1"/>
  <c r="D484" i="3"/>
  <c r="G484" i="3" s="1"/>
  <c r="D464" i="3"/>
  <c r="G464" i="3" s="1"/>
  <c r="D444" i="3"/>
  <c r="G444" i="3" s="1"/>
  <c r="D424" i="3"/>
  <c r="G424" i="3" s="1"/>
  <c r="D404" i="3"/>
  <c r="G404" i="3" s="1"/>
  <c r="D384" i="3"/>
  <c r="G384" i="3" s="1"/>
  <c r="D361" i="3"/>
  <c r="G361" i="3" s="1"/>
  <c r="D338" i="3"/>
  <c r="G338" i="3" s="1"/>
  <c r="D314" i="3"/>
  <c r="G314" i="3" s="1"/>
  <c r="D289" i="3"/>
  <c r="G289" i="3" s="1"/>
  <c r="D266" i="3"/>
  <c r="G266" i="3" s="1"/>
  <c r="D243" i="3"/>
  <c r="G243" i="3" s="1"/>
  <c r="D220" i="3"/>
  <c r="G220" i="3" s="1"/>
  <c r="D197" i="3"/>
  <c r="G197" i="3" s="1"/>
  <c r="D173" i="3"/>
  <c r="D148" i="3"/>
  <c r="G148" i="3" s="1"/>
  <c r="D125" i="3"/>
  <c r="G125" i="3" s="1"/>
  <c r="D102" i="3"/>
  <c r="G102" i="3" s="1"/>
  <c r="D76" i="3"/>
  <c r="G76" i="3" s="1"/>
  <c r="D427" i="3"/>
  <c r="G427" i="3" s="1"/>
  <c r="D387" i="3"/>
  <c r="G387" i="3" s="1"/>
  <c r="D341" i="3"/>
  <c r="G341" i="3" s="1"/>
  <c r="D294" i="3"/>
  <c r="G294" i="3" s="1"/>
  <c r="D269" i="3"/>
  <c r="G269" i="3" s="1"/>
  <c r="D223" i="3"/>
  <c r="G223" i="3" s="1"/>
  <c r="D177" i="3"/>
  <c r="G177" i="3" s="1"/>
  <c r="D105" i="3"/>
  <c r="G105" i="3" s="1"/>
  <c r="W384" i="3"/>
  <c r="D386" i="3"/>
  <c r="G386" i="3" s="1"/>
  <c r="D340" i="3"/>
  <c r="G340" i="3" s="1"/>
  <c r="D293" i="3"/>
  <c r="G293" i="3" s="1"/>
  <c r="D245" i="3"/>
  <c r="D199" i="3"/>
  <c r="G199" i="3" s="1"/>
  <c r="D127" i="3"/>
  <c r="G127" i="3" s="1"/>
  <c r="D78" i="3"/>
  <c r="G78" i="3" s="1"/>
  <c r="W375" i="3"/>
  <c r="D505" i="3"/>
  <c r="G505" i="3" s="1"/>
  <c r="D465" i="3"/>
  <c r="G465" i="3" s="1"/>
  <c r="D425" i="3"/>
  <c r="D385" i="3"/>
  <c r="G385" i="3" s="1"/>
  <c r="D339" i="3"/>
  <c r="G339" i="3" s="1"/>
  <c r="D267" i="3"/>
  <c r="G267" i="3" s="1"/>
  <c r="W357" i="3"/>
  <c r="W177" i="3"/>
  <c r="D503" i="3"/>
  <c r="G503" i="3" s="1"/>
  <c r="D483" i="3"/>
  <c r="G483" i="3" s="1"/>
  <c r="D463" i="3"/>
  <c r="G463" i="3" s="1"/>
  <c r="D443" i="3"/>
  <c r="D423" i="3"/>
  <c r="G423" i="3" s="1"/>
  <c r="D403" i="3"/>
  <c r="G403" i="3" s="1"/>
  <c r="D383" i="3"/>
  <c r="G383" i="3" s="1"/>
  <c r="D360" i="3"/>
  <c r="G360" i="3" s="1"/>
  <c r="D337" i="3"/>
  <c r="G337" i="3" s="1"/>
  <c r="D313" i="3"/>
  <c r="G313" i="3" s="1"/>
  <c r="D288" i="3"/>
  <c r="G288" i="3" s="1"/>
  <c r="D265" i="3"/>
  <c r="G265" i="3" s="1"/>
  <c r="D242" i="3"/>
  <c r="G242" i="3" s="1"/>
  <c r="D219" i="3"/>
  <c r="G219" i="3" s="1"/>
  <c r="D196" i="3"/>
  <c r="G196" i="3" s="1"/>
  <c r="D170" i="3"/>
  <c r="G170" i="3" s="1"/>
  <c r="D147" i="3"/>
  <c r="G147" i="3" s="1"/>
  <c r="D124" i="3"/>
  <c r="G124" i="3" s="1"/>
  <c r="D101" i="3"/>
  <c r="D74" i="3"/>
  <c r="D286" i="3"/>
  <c r="G286" i="3" s="1"/>
  <c r="D263" i="3"/>
  <c r="D240" i="3"/>
  <c r="G240" i="3" s="1"/>
  <c r="D217" i="3"/>
  <c r="G217" i="3" s="1"/>
  <c r="D193" i="3"/>
  <c r="G193" i="3" s="1"/>
  <c r="D168" i="3"/>
  <c r="G168" i="3" s="1"/>
  <c r="D145" i="3"/>
  <c r="G145" i="3" s="1"/>
  <c r="D122" i="3"/>
  <c r="G122" i="3" s="1"/>
  <c r="D98" i="3"/>
  <c r="G98" i="3" s="1"/>
  <c r="W150" i="3"/>
  <c r="D480" i="3"/>
  <c r="G480" i="3" s="1"/>
  <c r="D420" i="3"/>
  <c r="G420" i="3" s="1"/>
  <c r="D380" i="3"/>
  <c r="D333" i="3"/>
  <c r="G333" i="3" s="1"/>
  <c r="D285" i="3"/>
  <c r="G285" i="3" s="1"/>
  <c r="D262" i="3"/>
  <c r="G262" i="3" s="1"/>
  <c r="D239" i="3"/>
  <c r="G239" i="3" s="1"/>
  <c r="D190" i="3"/>
  <c r="G190" i="3" s="1"/>
  <c r="D167" i="3"/>
  <c r="G167" i="3" s="1"/>
  <c r="D144" i="3"/>
  <c r="G144" i="3" s="1"/>
  <c r="D121" i="3"/>
  <c r="G121" i="3" s="1"/>
  <c r="D97" i="3"/>
  <c r="G97" i="3" s="1"/>
  <c r="W330" i="3"/>
  <c r="D500" i="3"/>
  <c r="G500" i="3" s="1"/>
  <c r="D460" i="3"/>
  <c r="G460" i="3" s="1"/>
  <c r="D440" i="3"/>
  <c r="G440" i="3" s="1"/>
  <c r="D400" i="3"/>
  <c r="G400" i="3" s="1"/>
  <c r="D357" i="3"/>
  <c r="G357" i="3" s="1"/>
  <c r="D308" i="3"/>
  <c r="D216" i="3"/>
  <c r="G216" i="3" s="1"/>
  <c r="W501" i="3"/>
  <c r="W321" i="3"/>
  <c r="W141" i="3"/>
  <c r="D499" i="3"/>
  <c r="G499" i="3" s="1"/>
  <c r="D479" i="3"/>
  <c r="D459" i="3"/>
  <c r="G459" i="3" s="1"/>
  <c r="D439" i="3"/>
  <c r="G439" i="3" s="1"/>
  <c r="H440" i="3" s="1"/>
  <c r="D419" i="3"/>
  <c r="G419" i="3" s="1"/>
  <c r="D399" i="3"/>
  <c r="G399" i="3" s="1"/>
  <c r="D379" i="3"/>
  <c r="G379" i="3" s="1"/>
  <c r="D356" i="3"/>
  <c r="G356" i="3" s="1"/>
  <c r="D330" i="3"/>
  <c r="G330" i="3" s="1"/>
  <c r="D307" i="3"/>
  <c r="G307" i="3" s="1"/>
  <c r="D284" i="3"/>
  <c r="G284" i="3" s="1"/>
  <c r="D261" i="3"/>
  <c r="G261" i="3" s="1"/>
  <c r="D238" i="3"/>
  <c r="G238" i="3" s="1"/>
  <c r="D214" i="3"/>
  <c r="G214" i="3" s="1"/>
  <c r="D189" i="3"/>
  <c r="G189" i="3" s="1"/>
  <c r="D166" i="3"/>
  <c r="G166" i="3" s="1"/>
  <c r="D143" i="3"/>
  <c r="G143" i="3" s="1"/>
  <c r="D120" i="3"/>
  <c r="G120" i="3" s="1"/>
  <c r="D96" i="3"/>
  <c r="G96" i="3" s="1"/>
  <c r="W492" i="3"/>
  <c r="W312" i="3"/>
  <c r="W132" i="3"/>
  <c r="D498" i="3"/>
  <c r="G498" i="3" s="1"/>
  <c r="D478" i="3"/>
  <c r="G478" i="3" s="1"/>
  <c r="D458" i="3"/>
  <c r="G458" i="3" s="1"/>
  <c r="D438" i="3"/>
  <c r="G438" i="3" s="1"/>
  <c r="D418" i="3"/>
  <c r="G418" i="3" s="1"/>
  <c r="D398" i="3"/>
  <c r="D378" i="3"/>
  <c r="G378" i="3" s="1"/>
  <c r="D354" i="3"/>
  <c r="G354" i="3" s="1"/>
  <c r="D329" i="3"/>
  <c r="G329" i="3" s="1"/>
  <c r="D306" i="3"/>
  <c r="G306" i="3" s="1"/>
  <c r="D283" i="3"/>
  <c r="G283" i="3" s="1"/>
  <c r="D260" i="3"/>
  <c r="G260" i="3" s="1"/>
  <c r="D237" i="3"/>
  <c r="G237" i="3" s="1"/>
  <c r="D213" i="3"/>
  <c r="G213" i="3" s="1"/>
  <c r="D188" i="3"/>
  <c r="G188" i="3" s="1"/>
  <c r="D165" i="3"/>
  <c r="G165" i="3" s="1"/>
  <c r="D142" i="3"/>
  <c r="G142" i="3" s="1"/>
  <c r="D119" i="3"/>
  <c r="D94" i="3"/>
  <c r="G94" i="3" s="1"/>
  <c r="D496" i="3"/>
  <c r="G496" i="3" s="1"/>
  <c r="D476" i="3"/>
  <c r="G476" i="3" s="1"/>
  <c r="D456" i="3"/>
  <c r="G456" i="3" s="1"/>
  <c r="D436" i="3"/>
  <c r="G436" i="3" s="1"/>
  <c r="D416" i="3"/>
  <c r="D396" i="3"/>
  <c r="G396" i="3" s="1"/>
  <c r="D376" i="3"/>
  <c r="G376" i="3" s="1"/>
  <c r="D350" i="3"/>
  <c r="G350" i="3" s="1"/>
  <c r="D327" i="3"/>
  <c r="G327" i="3" s="1"/>
  <c r="D304" i="3"/>
  <c r="G304" i="3" s="1"/>
  <c r="D281" i="3"/>
  <c r="D258" i="3"/>
  <c r="G258" i="3" s="1"/>
  <c r="D234" i="3"/>
  <c r="G234" i="3" s="1"/>
  <c r="D209" i="3"/>
  <c r="D186" i="3"/>
  <c r="G186" i="3" s="1"/>
  <c r="D163" i="3"/>
  <c r="G163" i="3" s="1"/>
  <c r="D140" i="3"/>
  <c r="G140" i="3" s="1"/>
  <c r="D117" i="3"/>
  <c r="G117" i="3" s="1"/>
  <c r="D90" i="3"/>
  <c r="G90" i="3" s="1"/>
  <c r="W465" i="3"/>
  <c r="W285" i="3"/>
  <c r="W105" i="3"/>
  <c r="D495" i="3"/>
  <c r="G495" i="3" s="1"/>
  <c r="D475" i="3"/>
  <c r="G475" i="3" s="1"/>
  <c r="D455" i="3"/>
  <c r="G455" i="3" s="1"/>
  <c r="D435" i="3"/>
  <c r="G435" i="3" s="1"/>
  <c r="D415" i="3"/>
  <c r="G415" i="3" s="1"/>
  <c r="D395" i="3"/>
  <c r="G395" i="3" s="1"/>
  <c r="D374" i="3"/>
  <c r="G374" i="3" s="1"/>
  <c r="D349" i="3"/>
  <c r="G349" i="3" s="1"/>
  <c r="D326" i="3"/>
  <c r="D303" i="3"/>
  <c r="G303" i="3" s="1"/>
  <c r="D280" i="3"/>
  <c r="G280" i="3" s="1"/>
  <c r="D257" i="3"/>
  <c r="G257" i="3" s="1"/>
  <c r="D233" i="3"/>
  <c r="G233" i="3" s="1"/>
  <c r="D208" i="3"/>
  <c r="G208" i="3" s="1"/>
  <c r="D185" i="3"/>
  <c r="G185" i="3" s="1"/>
  <c r="D162" i="3"/>
  <c r="G162" i="3" s="1"/>
  <c r="D139" i="3"/>
  <c r="G139" i="3" s="1"/>
  <c r="D116" i="3"/>
  <c r="G116" i="3" s="1"/>
  <c r="D89" i="3"/>
  <c r="W456" i="3"/>
  <c r="W276" i="3"/>
  <c r="W96" i="3"/>
  <c r="D494" i="3"/>
  <c r="G494" i="3" s="1"/>
  <c r="D474" i="3"/>
  <c r="G474" i="3" s="1"/>
  <c r="D454" i="3"/>
  <c r="G454" i="3" s="1"/>
  <c r="D434" i="3"/>
  <c r="D414" i="3"/>
  <c r="G414" i="3" s="1"/>
  <c r="D394" i="3"/>
  <c r="G394" i="3" s="1"/>
  <c r="D373" i="3"/>
  <c r="G373" i="3" s="1"/>
  <c r="D348" i="3"/>
  <c r="G348" i="3" s="1"/>
  <c r="D325" i="3"/>
  <c r="G325" i="3" s="1"/>
  <c r="D302" i="3"/>
  <c r="G302" i="3" s="1"/>
  <c r="D279" i="3"/>
  <c r="G279" i="3" s="1"/>
  <c r="D256" i="3"/>
  <c r="G256" i="3" s="1"/>
  <c r="D230" i="3"/>
  <c r="G230" i="3" s="1"/>
  <c r="D207" i="3"/>
  <c r="G207" i="3" s="1"/>
  <c r="D184" i="3"/>
  <c r="G184" i="3" s="1"/>
  <c r="D161" i="3"/>
  <c r="G161" i="3" s="1"/>
  <c r="D138" i="3"/>
  <c r="G138" i="3" s="1"/>
  <c r="D114" i="3"/>
  <c r="G114" i="3" s="1"/>
  <c r="D88" i="3"/>
  <c r="G88" i="3" s="1"/>
  <c r="W447" i="3"/>
  <c r="W267" i="3"/>
  <c r="W87" i="3"/>
  <c r="D493" i="3"/>
  <c r="G493" i="3" s="1"/>
  <c r="D473" i="3"/>
  <c r="G473" i="3" s="1"/>
  <c r="D453" i="3"/>
  <c r="G453" i="3" s="1"/>
  <c r="D433" i="3"/>
  <c r="G433" i="3" s="1"/>
  <c r="D413" i="3"/>
  <c r="G413" i="3" s="1"/>
  <c r="D393" i="3"/>
  <c r="G393" i="3" s="1"/>
  <c r="D370" i="3"/>
  <c r="G370" i="3" s="1"/>
  <c r="D347" i="3"/>
  <c r="G347" i="3" s="1"/>
  <c r="D324" i="3"/>
  <c r="G324" i="3" s="1"/>
  <c r="D301" i="3"/>
  <c r="G301" i="3" s="1"/>
  <c r="D278" i="3"/>
  <c r="G278" i="3" s="1"/>
  <c r="D254" i="3"/>
  <c r="D229" i="3"/>
  <c r="G229" i="3" s="1"/>
  <c r="D206" i="3"/>
  <c r="G206" i="3" s="1"/>
  <c r="D183" i="3"/>
  <c r="G183" i="3" s="1"/>
  <c r="D160" i="3"/>
  <c r="G160" i="3" s="1"/>
  <c r="D137" i="3"/>
  <c r="D113" i="3"/>
  <c r="G113" i="3" s="1"/>
  <c r="D87" i="3"/>
  <c r="G87" i="3" s="1"/>
  <c r="D81" i="3"/>
  <c r="G81" i="3" s="1"/>
  <c r="D100" i="3"/>
  <c r="G100" i="3" s="1"/>
  <c r="D80" i="3"/>
  <c r="D375" i="3"/>
  <c r="G375" i="3" s="1"/>
  <c r="D355" i="3"/>
  <c r="G355" i="3" s="1"/>
  <c r="D335" i="3"/>
  <c r="D315" i="3"/>
  <c r="G315" i="3" s="1"/>
  <c r="D295" i="3"/>
  <c r="G295" i="3" s="1"/>
  <c r="D275" i="3"/>
  <c r="G275" i="3" s="1"/>
  <c r="D255" i="3"/>
  <c r="G255" i="3" s="1"/>
  <c r="D235" i="3"/>
  <c r="G235" i="3" s="1"/>
  <c r="D215" i="3"/>
  <c r="G215" i="3" s="1"/>
  <c r="D195" i="3"/>
  <c r="G195" i="3" s="1"/>
  <c r="D175" i="3"/>
  <c r="G175" i="3" s="1"/>
  <c r="D155" i="3"/>
  <c r="D135" i="3"/>
  <c r="G135" i="3" s="1"/>
  <c r="D115" i="3"/>
  <c r="G115" i="3" s="1"/>
  <c r="D95" i="3"/>
  <c r="G95" i="3" s="1"/>
  <c r="D75" i="3"/>
  <c r="G75" i="3" s="1"/>
  <c r="D372" i="3"/>
  <c r="G372" i="3" s="1"/>
  <c r="D352" i="3"/>
  <c r="G352" i="3" s="1"/>
  <c r="D332" i="3"/>
  <c r="G332" i="3" s="1"/>
  <c r="D312" i="3"/>
  <c r="G312" i="3" s="1"/>
  <c r="D292" i="3"/>
  <c r="G292" i="3" s="1"/>
  <c r="D272" i="3"/>
  <c r="D252" i="3"/>
  <c r="G252" i="3" s="1"/>
  <c r="D232" i="3"/>
  <c r="G232" i="3" s="1"/>
  <c r="D212" i="3"/>
  <c r="G212" i="3" s="1"/>
  <c r="D192" i="3"/>
  <c r="G192" i="3" s="1"/>
  <c r="D172" i="3"/>
  <c r="G172" i="3" s="1"/>
  <c r="D152" i="3"/>
  <c r="G152" i="3" s="1"/>
  <c r="D132" i="3"/>
  <c r="G132" i="3" s="1"/>
  <c r="D112" i="3"/>
  <c r="G112" i="3" s="1"/>
  <c r="D92" i="3"/>
  <c r="D72" i="3"/>
  <c r="G72" i="3" s="1"/>
  <c r="D371" i="3"/>
  <c r="D351" i="3"/>
  <c r="G351" i="3" s="1"/>
  <c r="D331" i="3"/>
  <c r="G331" i="3" s="1"/>
  <c r="D311" i="3"/>
  <c r="G311" i="3" s="1"/>
  <c r="D291" i="3"/>
  <c r="G291" i="3" s="1"/>
  <c r="D271" i="3"/>
  <c r="G271" i="3" s="1"/>
  <c r="D251" i="3"/>
  <c r="G251" i="3" s="1"/>
  <c r="D231" i="3"/>
  <c r="G231" i="3" s="1"/>
  <c r="D211" i="3"/>
  <c r="G211" i="3" s="1"/>
  <c r="D191" i="3"/>
  <c r="D171" i="3"/>
  <c r="G171" i="3" s="1"/>
  <c r="D151" i="3"/>
  <c r="G151" i="3" s="1"/>
  <c r="D131" i="3"/>
  <c r="G131" i="3" s="1"/>
  <c r="D111" i="3"/>
  <c r="G111" i="3" s="1"/>
  <c r="D91" i="3"/>
  <c r="K42" i="3"/>
  <c r="D21" i="3"/>
  <c r="AF669" i="3"/>
  <c r="AF670" i="3"/>
  <c r="G671" i="3"/>
  <c r="H671" i="3"/>
  <c r="I671" i="3"/>
  <c r="G672" i="3"/>
  <c r="H672" i="3"/>
  <c r="I672" i="3"/>
  <c r="G673" i="3"/>
  <c r="H673" i="3"/>
  <c r="I673" i="3"/>
  <c r="G674" i="3"/>
  <c r="H674" i="3"/>
  <c r="I674" i="3"/>
  <c r="G675" i="3"/>
  <c r="H675" i="3"/>
  <c r="I675" i="3"/>
  <c r="G676" i="3"/>
  <c r="H676" i="3"/>
  <c r="I676" i="3"/>
  <c r="G677" i="3"/>
  <c r="H677" i="3"/>
  <c r="I677" i="3"/>
  <c r="G678" i="3"/>
  <c r="H678" i="3"/>
  <c r="I678" i="3"/>
  <c r="G679" i="3"/>
  <c r="H679" i="3"/>
  <c r="I679" i="3"/>
  <c r="G680" i="3"/>
  <c r="H680" i="3"/>
  <c r="I680" i="3"/>
  <c r="G681" i="3"/>
  <c r="H681" i="3"/>
  <c r="I681" i="3"/>
  <c r="G682" i="3"/>
  <c r="H682" i="3"/>
  <c r="I682" i="3"/>
  <c r="G683" i="3"/>
  <c r="H683" i="3"/>
  <c r="I683" i="3"/>
  <c r="G684" i="3"/>
  <c r="H684" i="3"/>
  <c r="I684" i="3"/>
  <c r="G685" i="3"/>
  <c r="H685" i="3"/>
  <c r="I685" i="3"/>
  <c r="G686" i="3"/>
  <c r="H686" i="3"/>
  <c r="I686" i="3"/>
  <c r="G687" i="3"/>
  <c r="H687" i="3"/>
  <c r="I687" i="3"/>
  <c r="G688" i="3"/>
  <c r="H688" i="3"/>
  <c r="I688" i="3"/>
  <c r="G689" i="3"/>
  <c r="H689" i="3"/>
  <c r="I689" i="3"/>
  <c r="G690" i="3"/>
  <c r="H690" i="3"/>
  <c r="I690" i="3"/>
  <c r="G691" i="3"/>
  <c r="H691" i="3"/>
  <c r="I691" i="3"/>
  <c r="G692" i="3"/>
  <c r="H692" i="3"/>
  <c r="I692" i="3"/>
  <c r="G693" i="3"/>
  <c r="H693" i="3"/>
  <c r="I693" i="3"/>
  <c r="G694" i="3"/>
  <c r="H694" i="3"/>
  <c r="I694" i="3"/>
  <c r="G695" i="3"/>
  <c r="H695" i="3"/>
  <c r="I695" i="3"/>
  <c r="G696" i="3"/>
  <c r="H696" i="3"/>
  <c r="I696" i="3"/>
  <c r="G697" i="3"/>
  <c r="H697" i="3"/>
  <c r="I697" i="3"/>
  <c r="G698" i="3"/>
  <c r="H698" i="3"/>
  <c r="I698" i="3"/>
  <c r="G699" i="3"/>
  <c r="H699" i="3"/>
  <c r="I699" i="3"/>
  <c r="G700" i="3"/>
  <c r="H700" i="3"/>
  <c r="I700" i="3"/>
  <c r="G701" i="3"/>
  <c r="H701" i="3"/>
  <c r="I701" i="3"/>
  <c r="G702" i="3"/>
  <c r="H702" i="3"/>
  <c r="I702" i="3"/>
  <c r="G703" i="3"/>
  <c r="H703" i="3"/>
  <c r="I703" i="3"/>
  <c r="G704" i="3"/>
  <c r="H704" i="3"/>
  <c r="I704" i="3"/>
  <c r="G705" i="3"/>
  <c r="H705" i="3"/>
  <c r="I705" i="3"/>
  <c r="G706" i="3"/>
  <c r="H706" i="3"/>
  <c r="I706" i="3"/>
  <c r="G707" i="3"/>
  <c r="H707" i="3"/>
  <c r="I707" i="3"/>
  <c r="G708" i="3"/>
  <c r="H708" i="3"/>
  <c r="I708" i="3"/>
  <c r="G709" i="3"/>
  <c r="H709" i="3"/>
  <c r="I709" i="3"/>
  <c r="G710" i="3"/>
  <c r="H710" i="3"/>
  <c r="I710" i="3"/>
  <c r="G711" i="3"/>
  <c r="H711" i="3"/>
  <c r="I711" i="3"/>
  <c r="G712" i="3"/>
  <c r="H712" i="3"/>
  <c r="I712" i="3"/>
  <c r="G713" i="3"/>
  <c r="H713" i="3"/>
  <c r="I713" i="3"/>
  <c r="G714" i="3"/>
  <c r="H714" i="3"/>
  <c r="I714" i="3"/>
  <c r="G715" i="3"/>
  <c r="H715" i="3"/>
  <c r="I715" i="3"/>
  <c r="G716" i="3"/>
  <c r="H716" i="3"/>
  <c r="I716" i="3"/>
  <c r="G717" i="3"/>
  <c r="H717" i="3"/>
  <c r="I717" i="3"/>
  <c r="G718" i="3"/>
  <c r="H718" i="3"/>
  <c r="I718" i="3"/>
  <c r="G719" i="3"/>
  <c r="H719" i="3"/>
  <c r="I719" i="3"/>
  <c r="G720" i="3"/>
  <c r="H720" i="3"/>
  <c r="I720" i="3"/>
  <c r="G721" i="3"/>
  <c r="H721" i="3"/>
  <c r="I721" i="3"/>
  <c r="G722" i="3"/>
  <c r="H722" i="3"/>
  <c r="I722" i="3"/>
  <c r="G723" i="3"/>
  <c r="H723" i="3"/>
  <c r="I723" i="3"/>
  <c r="G724" i="3"/>
  <c r="H724" i="3"/>
  <c r="I724" i="3"/>
  <c r="G725" i="3"/>
  <c r="H725" i="3"/>
  <c r="I725" i="3"/>
  <c r="G726" i="3"/>
  <c r="H726" i="3"/>
  <c r="I726" i="3"/>
  <c r="G727" i="3"/>
  <c r="H727" i="3"/>
  <c r="I727" i="3"/>
  <c r="G728" i="3"/>
  <c r="H728" i="3"/>
  <c r="I728" i="3"/>
  <c r="G729" i="3"/>
  <c r="H729" i="3"/>
  <c r="I729" i="3"/>
  <c r="G730" i="3"/>
  <c r="H730" i="3"/>
  <c r="I730" i="3"/>
  <c r="G731" i="3"/>
  <c r="H731" i="3"/>
  <c r="I731" i="3"/>
  <c r="G732" i="3"/>
  <c r="H732" i="3"/>
  <c r="I732" i="3"/>
  <c r="G733" i="3"/>
  <c r="H733" i="3"/>
  <c r="I733" i="3"/>
  <c r="G734" i="3"/>
  <c r="H734" i="3"/>
  <c r="I734" i="3"/>
  <c r="G735" i="3"/>
  <c r="H735" i="3"/>
  <c r="I735" i="3"/>
  <c r="G736" i="3"/>
  <c r="H736" i="3"/>
  <c r="I736" i="3"/>
  <c r="G737" i="3"/>
  <c r="H737" i="3"/>
  <c r="I737" i="3"/>
  <c r="G738" i="3"/>
  <c r="H738" i="3"/>
  <c r="I738" i="3"/>
  <c r="G739" i="3"/>
  <c r="H739" i="3"/>
  <c r="I739" i="3"/>
  <c r="G740" i="3"/>
  <c r="H740" i="3"/>
  <c r="I740" i="3"/>
  <c r="G741" i="3"/>
  <c r="H741" i="3"/>
  <c r="I741" i="3"/>
  <c r="G742" i="3"/>
  <c r="H742" i="3"/>
  <c r="I742" i="3"/>
  <c r="G743" i="3"/>
  <c r="H743" i="3"/>
  <c r="I743" i="3"/>
  <c r="G744" i="3"/>
  <c r="H744" i="3"/>
  <c r="I744" i="3"/>
  <c r="G745" i="3"/>
  <c r="H745" i="3"/>
  <c r="I745" i="3"/>
  <c r="G746" i="3"/>
  <c r="H746" i="3"/>
  <c r="I746" i="3"/>
  <c r="G747" i="3"/>
  <c r="H747" i="3"/>
  <c r="I747" i="3"/>
  <c r="G748" i="3"/>
  <c r="H748" i="3"/>
  <c r="I748" i="3"/>
  <c r="G749" i="3"/>
  <c r="H749" i="3"/>
  <c r="I749" i="3"/>
  <c r="G750" i="3"/>
  <c r="H750" i="3"/>
  <c r="I750" i="3"/>
  <c r="G751" i="3"/>
  <c r="H751" i="3"/>
  <c r="I751" i="3"/>
  <c r="G752" i="3"/>
  <c r="H752" i="3"/>
  <c r="I752" i="3"/>
  <c r="G753" i="3"/>
  <c r="H753" i="3"/>
  <c r="I753" i="3"/>
  <c r="G754" i="3"/>
  <c r="H754" i="3"/>
  <c r="I754" i="3"/>
  <c r="G755" i="3"/>
  <c r="H755" i="3"/>
  <c r="I755" i="3"/>
  <c r="G756" i="3"/>
  <c r="H756" i="3"/>
  <c r="I756" i="3"/>
  <c r="G757" i="3"/>
  <c r="H757" i="3"/>
  <c r="I757" i="3"/>
  <c r="G758" i="3"/>
  <c r="H758" i="3"/>
  <c r="I758" i="3"/>
  <c r="G759" i="3"/>
  <c r="H759" i="3"/>
  <c r="I759" i="3"/>
  <c r="G760" i="3"/>
  <c r="H760" i="3"/>
  <c r="I760" i="3"/>
  <c r="G761" i="3"/>
  <c r="H761" i="3"/>
  <c r="I761" i="3"/>
  <c r="G762" i="3"/>
  <c r="H762" i="3"/>
  <c r="I762" i="3"/>
  <c r="G763" i="3"/>
  <c r="H763" i="3"/>
  <c r="I763" i="3"/>
  <c r="G764" i="3"/>
  <c r="H764" i="3"/>
  <c r="I764" i="3"/>
  <c r="G765" i="3"/>
  <c r="H765" i="3"/>
  <c r="I765" i="3"/>
  <c r="G766" i="3"/>
  <c r="H766" i="3"/>
  <c r="I766" i="3"/>
  <c r="G767" i="3"/>
  <c r="H767" i="3"/>
  <c r="I767" i="3"/>
  <c r="G768" i="3"/>
  <c r="H768" i="3"/>
  <c r="I768" i="3"/>
  <c r="G769" i="3"/>
  <c r="H769" i="3"/>
  <c r="I769" i="3"/>
  <c r="G770" i="3"/>
  <c r="H770" i="3"/>
  <c r="I770" i="3"/>
  <c r="G771" i="3"/>
  <c r="H771" i="3"/>
  <c r="I771" i="3"/>
  <c r="G772" i="3"/>
  <c r="H772" i="3"/>
  <c r="I772" i="3"/>
  <c r="G773" i="3"/>
  <c r="H773" i="3"/>
  <c r="I773" i="3"/>
  <c r="G774" i="3"/>
  <c r="H774" i="3"/>
  <c r="I774" i="3"/>
  <c r="G775" i="3"/>
  <c r="H775" i="3"/>
  <c r="I775" i="3"/>
  <c r="G776" i="3"/>
  <c r="H776" i="3"/>
  <c r="I776" i="3"/>
  <c r="G777" i="3"/>
  <c r="H777" i="3"/>
  <c r="I777" i="3"/>
  <c r="G778" i="3"/>
  <c r="H778" i="3"/>
  <c r="I778" i="3"/>
  <c r="G779" i="3"/>
  <c r="H779" i="3"/>
  <c r="I779" i="3"/>
  <c r="G780" i="3"/>
  <c r="H780" i="3"/>
  <c r="I780" i="3"/>
  <c r="G781" i="3"/>
  <c r="H781" i="3"/>
  <c r="I781" i="3"/>
  <c r="G782" i="3"/>
  <c r="H782" i="3"/>
  <c r="I782" i="3"/>
  <c r="G783" i="3"/>
  <c r="H783" i="3"/>
  <c r="I783" i="3"/>
  <c r="G784" i="3"/>
  <c r="H784" i="3"/>
  <c r="I784" i="3"/>
  <c r="G785" i="3"/>
  <c r="H785" i="3"/>
  <c r="I785" i="3"/>
  <c r="G786" i="3"/>
  <c r="H786" i="3"/>
  <c r="I786" i="3"/>
  <c r="G787" i="3"/>
  <c r="H787" i="3"/>
  <c r="I787" i="3"/>
  <c r="G788" i="3"/>
  <c r="H788" i="3"/>
  <c r="I788" i="3"/>
  <c r="G789" i="3"/>
  <c r="H789" i="3"/>
  <c r="I789" i="3"/>
  <c r="G790" i="3"/>
  <c r="H790" i="3"/>
  <c r="I790" i="3"/>
  <c r="G791" i="3"/>
  <c r="H791" i="3"/>
  <c r="I791" i="3"/>
  <c r="G792" i="3"/>
  <c r="H792" i="3"/>
  <c r="I792" i="3"/>
  <c r="G793" i="3"/>
  <c r="H793" i="3"/>
  <c r="I793" i="3"/>
  <c r="G794" i="3"/>
  <c r="H794" i="3"/>
  <c r="I794" i="3"/>
  <c r="G795" i="3"/>
  <c r="H795" i="3"/>
  <c r="I795" i="3"/>
  <c r="G796" i="3"/>
  <c r="H796" i="3"/>
  <c r="I796" i="3"/>
  <c r="G797" i="3"/>
  <c r="H797" i="3"/>
  <c r="I797" i="3"/>
  <c r="G798" i="3"/>
  <c r="H798" i="3"/>
  <c r="I798" i="3"/>
  <c r="G799" i="3"/>
  <c r="H799" i="3"/>
  <c r="I799" i="3"/>
  <c r="G800" i="3"/>
  <c r="H800" i="3"/>
  <c r="I800" i="3"/>
  <c r="G801" i="3"/>
  <c r="H801" i="3"/>
  <c r="I801" i="3"/>
  <c r="G802" i="3"/>
  <c r="H802" i="3"/>
  <c r="I802" i="3"/>
  <c r="G803" i="3"/>
  <c r="H803" i="3"/>
  <c r="I803" i="3"/>
  <c r="G804" i="3"/>
  <c r="H804" i="3"/>
  <c r="I804" i="3"/>
  <c r="G805" i="3"/>
  <c r="H805" i="3"/>
  <c r="I805" i="3"/>
  <c r="G806" i="3"/>
  <c r="H806" i="3"/>
  <c r="I806" i="3"/>
  <c r="G807" i="3"/>
  <c r="H807" i="3"/>
  <c r="I807" i="3"/>
  <c r="G808" i="3"/>
  <c r="H808" i="3"/>
  <c r="I808" i="3"/>
  <c r="G809" i="3"/>
  <c r="H809" i="3"/>
  <c r="I809" i="3"/>
  <c r="G810" i="3"/>
  <c r="H810" i="3"/>
  <c r="I810" i="3"/>
  <c r="G811" i="3"/>
  <c r="H811" i="3"/>
  <c r="I811" i="3"/>
  <c r="G812" i="3"/>
  <c r="H812" i="3"/>
  <c r="I812" i="3"/>
  <c r="G813" i="3"/>
  <c r="H813" i="3"/>
  <c r="I813" i="3"/>
  <c r="G814" i="3"/>
  <c r="H814" i="3"/>
  <c r="I814" i="3"/>
  <c r="G815" i="3"/>
  <c r="H815" i="3"/>
  <c r="I815" i="3"/>
  <c r="G816" i="3"/>
  <c r="H816" i="3"/>
  <c r="I816" i="3"/>
  <c r="G817" i="3"/>
  <c r="H817" i="3"/>
  <c r="I817" i="3"/>
  <c r="H470" i="3" l="1"/>
  <c r="G299" i="3"/>
  <c r="G236" i="3"/>
  <c r="G146" i="3"/>
  <c r="G344" i="3"/>
  <c r="H110" i="3"/>
  <c r="G461" i="3"/>
  <c r="G452" i="3"/>
  <c r="G182" i="3"/>
  <c r="H218" i="3"/>
  <c r="G218" i="3"/>
  <c r="G164" i="3"/>
  <c r="G353" i="3"/>
  <c r="G497" i="3"/>
  <c r="G227" i="3"/>
  <c r="H389" i="3"/>
  <c r="G389" i="3"/>
  <c r="H74" i="3"/>
  <c r="G74" i="3"/>
  <c r="H200" i="3"/>
  <c r="G200" i="3"/>
  <c r="H416" i="3"/>
  <c r="G416" i="3"/>
  <c r="H101" i="3"/>
  <c r="G101" i="3"/>
  <c r="H488" i="3"/>
  <c r="G488" i="3"/>
  <c r="H434" i="3"/>
  <c r="G434" i="3"/>
  <c r="H137" i="3"/>
  <c r="G137" i="3"/>
  <c r="H407" i="3"/>
  <c r="G407" i="3"/>
  <c r="H371" i="3"/>
  <c r="G371" i="3"/>
  <c r="H479" i="3"/>
  <c r="G479" i="3"/>
  <c r="G425" i="3"/>
  <c r="H425" i="3"/>
  <c r="H155" i="3"/>
  <c r="G155" i="3"/>
  <c r="H83" i="3"/>
  <c r="G83" i="3"/>
  <c r="H92" i="3"/>
  <c r="G92" i="3"/>
  <c r="H119" i="3"/>
  <c r="G119" i="3"/>
  <c r="H380" i="3"/>
  <c r="G380" i="3"/>
  <c r="H317" i="3"/>
  <c r="G317" i="3"/>
  <c r="H254" i="3"/>
  <c r="G254" i="3"/>
  <c r="H398" i="3"/>
  <c r="G398" i="3"/>
  <c r="G173" i="3"/>
  <c r="H173" i="3"/>
  <c r="H308" i="3"/>
  <c r="G308" i="3"/>
  <c r="H209" i="3"/>
  <c r="G209" i="3"/>
  <c r="G245" i="3"/>
  <c r="H245" i="3"/>
  <c r="G263" i="3"/>
  <c r="H263" i="3"/>
  <c r="H506" i="3"/>
  <c r="G506" i="3"/>
  <c r="G335" i="3"/>
  <c r="H335" i="3"/>
  <c r="H326" i="3"/>
  <c r="G326" i="3"/>
  <c r="H281" i="3"/>
  <c r="G281" i="3"/>
  <c r="H290" i="3"/>
  <c r="G290" i="3"/>
  <c r="H191" i="3"/>
  <c r="G191" i="3"/>
  <c r="H272" i="3"/>
  <c r="G272" i="3"/>
  <c r="G443" i="3"/>
  <c r="H443" i="3"/>
  <c r="H362" i="3"/>
  <c r="G362" i="3"/>
  <c r="G128" i="3"/>
  <c r="H128" i="3"/>
  <c r="AE663" i="3"/>
  <c r="AE662" i="3"/>
  <c r="AD663" i="3" s="1"/>
  <c r="AE660" i="3"/>
  <c r="AE659" i="3"/>
  <c r="AD660" i="3" s="1"/>
  <c r="AE657" i="3"/>
  <c r="AE656" i="3"/>
  <c r="AD657" i="3" s="1"/>
  <c r="AE654" i="3"/>
  <c r="AE653" i="3"/>
  <c r="AD654" i="3" s="1"/>
  <c r="AE651" i="3"/>
  <c r="AE650" i="3"/>
  <c r="AD651" i="3" s="1"/>
  <c r="AE648" i="3"/>
  <c r="AE647" i="3"/>
  <c r="AD648" i="3" s="1"/>
  <c r="AE645" i="3"/>
  <c r="AE644" i="3"/>
  <c r="AD645" i="3" s="1"/>
  <c r="AE642" i="3"/>
  <c r="AE641" i="3"/>
  <c r="AD642" i="3" s="1"/>
  <c r="AE639" i="3"/>
  <c r="AE638" i="3"/>
  <c r="AD639" i="3" s="1"/>
  <c r="AE636" i="3"/>
  <c r="AE635" i="3"/>
  <c r="AD636" i="3" s="1"/>
  <c r="AE633" i="3"/>
  <c r="AE632" i="3"/>
  <c r="AD633" i="3" s="1"/>
  <c r="AE630" i="3"/>
  <c r="AE629" i="3"/>
  <c r="AD630" i="3" s="1"/>
  <c r="AE627" i="3"/>
  <c r="AE626" i="3"/>
  <c r="AD627" i="3" s="1"/>
  <c r="AE624" i="3"/>
  <c r="AE623" i="3"/>
  <c r="AD624" i="3" s="1"/>
  <c r="AE621" i="3"/>
  <c r="AE620" i="3"/>
  <c r="AD621" i="3" s="1"/>
  <c r="AE618" i="3"/>
  <c r="AE617" i="3"/>
  <c r="AD618" i="3" s="1"/>
  <c r="AE615" i="3"/>
  <c r="AE614" i="3"/>
  <c r="AD615" i="3" s="1"/>
  <c r="AE612" i="3"/>
  <c r="AE611" i="3"/>
  <c r="AD612" i="3" s="1"/>
  <c r="AE609" i="3"/>
  <c r="AE608" i="3"/>
  <c r="AD609" i="3" s="1"/>
  <c r="AE606" i="3"/>
  <c r="AE605" i="3"/>
  <c r="AD606" i="3" s="1"/>
  <c r="AE603" i="3"/>
  <c r="AE602" i="3"/>
  <c r="AD603" i="3" s="1"/>
  <c r="AE600" i="3"/>
  <c r="AE599" i="3"/>
  <c r="AD600" i="3" s="1"/>
  <c r="AE597" i="3"/>
  <c r="AE596" i="3"/>
  <c r="AD597" i="3" s="1"/>
  <c r="AE594" i="3"/>
  <c r="AE593" i="3"/>
  <c r="AD594" i="3" s="1"/>
  <c r="AE591" i="3"/>
  <c r="AE590" i="3"/>
  <c r="AD591" i="3" s="1"/>
  <c r="AE588" i="3"/>
  <c r="AE587" i="3"/>
  <c r="AD588" i="3" s="1"/>
  <c r="AE585" i="3"/>
  <c r="AE584" i="3"/>
  <c r="AD585" i="3" s="1"/>
  <c r="AE582" i="3"/>
  <c r="AE581" i="3"/>
  <c r="AD582" i="3" s="1"/>
  <c r="AE579" i="3"/>
  <c r="AE578" i="3"/>
  <c r="AD579" i="3" s="1"/>
  <c r="AE576" i="3"/>
  <c r="AE575" i="3"/>
  <c r="AD576" i="3" s="1"/>
  <c r="AE573" i="3"/>
  <c r="AE572" i="3"/>
  <c r="AD573" i="3" s="1"/>
  <c r="AE570" i="3"/>
  <c r="AE569" i="3"/>
  <c r="AD570" i="3" s="1"/>
  <c r="AE567" i="3"/>
  <c r="AE566" i="3"/>
  <c r="AD567" i="3" s="1"/>
  <c r="AE564" i="3"/>
  <c r="AE563" i="3"/>
  <c r="AD564" i="3" s="1"/>
  <c r="AE561" i="3"/>
  <c r="AE560" i="3"/>
  <c r="AD561" i="3" s="1"/>
  <c r="AE558" i="3"/>
  <c r="AE557" i="3"/>
  <c r="AD558" i="3" s="1"/>
  <c r="AE555" i="3"/>
  <c r="AE554" i="3"/>
  <c r="AD555" i="3" s="1"/>
  <c r="AE552" i="3"/>
  <c r="AE551" i="3"/>
  <c r="AD552" i="3" s="1"/>
  <c r="AE549" i="3"/>
  <c r="AE548" i="3"/>
  <c r="AD549" i="3" s="1"/>
  <c r="AE546" i="3"/>
  <c r="AE545" i="3"/>
  <c r="AD546" i="3" s="1"/>
  <c r="AE543" i="3"/>
  <c r="AE542" i="3"/>
  <c r="AD543" i="3" s="1"/>
  <c r="AE540" i="3"/>
  <c r="AE539" i="3"/>
  <c r="AD540" i="3" s="1"/>
  <c r="AE537" i="3"/>
  <c r="AE536" i="3"/>
  <c r="AD537" i="3" s="1"/>
  <c r="AE534" i="3"/>
  <c r="AE533" i="3"/>
  <c r="AD534" i="3" s="1"/>
  <c r="AE531" i="3"/>
  <c r="AE530" i="3"/>
  <c r="AD531" i="3" s="1"/>
  <c r="AE528" i="3"/>
  <c r="AE527" i="3"/>
  <c r="AD528" i="3" s="1"/>
  <c r="AE525" i="3"/>
  <c r="AE524" i="3"/>
  <c r="AD525" i="3" s="1"/>
  <c r="AE522" i="3"/>
  <c r="AE521" i="3"/>
  <c r="AD522" i="3" s="1"/>
  <c r="AE519" i="3"/>
  <c r="AE518" i="3"/>
  <c r="AD519" i="3" s="1"/>
  <c r="F518" i="3"/>
  <c r="F519" i="3"/>
  <c r="E400" i="3" l="1"/>
  <c r="E510" i="3"/>
  <c r="E509" i="3"/>
  <c r="E508" i="3"/>
  <c r="E501" i="3"/>
  <c r="E500" i="3"/>
  <c r="E499" i="3"/>
  <c r="E492" i="3"/>
  <c r="E491" i="3"/>
  <c r="E490" i="3"/>
  <c r="E483" i="3"/>
  <c r="E482" i="3"/>
  <c r="E481" i="3"/>
  <c r="E474" i="3"/>
  <c r="E473" i="3"/>
  <c r="E472" i="3"/>
  <c r="E465" i="3"/>
  <c r="E464" i="3"/>
  <c r="E463" i="3"/>
  <c r="E456" i="3"/>
  <c r="E455" i="3"/>
  <c r="E454" i="3"/>
  <c r="E447" i="3"/>
  <c r="E446" i="3"/>
  <c r="E445" i="3"/>
  <c r="E438" i="3"/>
  <c r="E437" i="3"/>
  <c r="E436" i="3"/>
  <c r="E429" i="3"/>
  <c r="E428" i="3"/>
  <c r="E427" i="3"/>
  <c r="E420" i="3"/>
  <c r="E419" i="3"/>
  <c r="E418" i="3"/>
  <c r="E411" i="3"/>
  <c r="E410" i="3"/>
  <c r="E409" i="3"/>
  <c r="E402" i="3"/>
  <c r="E401" i="3"/>
  <c r="E393" i="3"/>
  <c r="E392" i="3"/>
  <c r="E391" i="3"/>
  <c r="E384" i="3"/>
  <c r="E383" i="3"/>
  <c r="E382" i="3"/>
  <c r="E375" i="3"/>
  <c r="E374" i="3"/>
  <c r="E373" i="3"/>
  <c r="E366" i="3"/>
  <c r="E365" i="3"/>
  <c r="E364" i="3"/>
  <c r="E357" i="3"/>
  <c r="E356" i="3"/>
  <c r="E355" i="3"/>
  <c r="E348" i="3"/>
  <c r="E347" i="3"/>
  <c r="E346" i="3"/>
  <c r="E339" i="3"/>
  <c r="E338" i="3"/>
  <c r="E337" i="3"/>
  <c r="Y337" i="3"/>
  <c r="E330" i="3"/>
  <c r="E329" i="3"/>
  <c r="Y329" i="3"/>
  <c r="E328" i="3"/>
  <c r="Y328" i="3"/>
  <c r="E321" i="3"/>
  <c r="E319" i="3"/>
  <c r="Y319" i="3"/>
  <c r="E320" i="3"/>
  <c r="Y320" i="3"/>
  <c r="E312" i="3"/>
  <c r="E311" i="3"/>
  <c r="Y311" i="3"/>
  <c r="E310" i="3"/>
  <c r="Y310" i="3"/>
  <c r="E303" i="3"/>
  <c r="E302" i="3"/>
  <c r="Y302" i="3"/>
  <c r="E301" i="3"/>
  <c r="Y301" i="3"/>
  <c r="E294" i="3"/>
  <c r="E293" i="3"/>
  <c r="Y293" i="3"/>
  <c r="E292" i="3"/>
  <c r="Y292" i="3"/>
  <c r="E285" i="3"/>
  <c r="E284" i="3"/>
  <c r="Y284" i="3"/>
  <c r="E283" i="3"/>
  <c r="Y283" i="3"/>
  <c r="E276" i="3"/>
  <c r="E275" i="3"/>
  <c r="Y275" i="3"/>
  <c r="E274" i="3"/>
  <c r="Y274" i="3"/>
  <c r="E267" i="3"/>
  <c r="E266" i="3"/>
  <c r="Y266" i="3"/>
  <c r="E265" i="3"/>
  <c r="Y265" i="3"/>
  <c r="E258" i="3"/>
  <c r="E257" i="3"/>
  <c r="Y257" i="3"/>
  <c r="E256" i="3"/>
  <c r="Y256" i="3"/>
  <c r="E249" i="3"/>
  <c r="E248" i="3"/>
  <c r="Y248" i="3"/>
  <c r="E247" i="3"/>
  <c r="Y247" i="3"/>
  <c r="E240" i="3"/>
  <c r="E239" i="3"/>
  <c r="Y239" i="3"/>
  <c r="E238" i="3"/>
  <c r="Y238" i="3"/>
  <c r="E231" i="3"/>
  <c r="E230" i="3"/>
  <c r="Y230" i="3"/>
  <c r="E229" i="3"/>
  <c r="Y229" i="3"/>
  <c r="E222" i="3"/>
  <c r="E221" i="3"/>
  <c r="Y221" i="3"/>
  <c r="E220" i="3"/>
  <c r="Y220" i="3"/>
  <c r="E213" i="3"/>
  <c r="E212" i="3"/>
  <c r="Y212" i="3"/>
  <c r="E211" i="3"/>
  <c r="Y211" i="3"/>
  <c r="E204" i="3"/>
  <c r="E203" i="3"/>
  <c r="Y203" i="3"/>
  <c r="E202" i="3"/>
  <c r="Y202" i="3"/>
  <c r="E195" i="3"/>
  <c r="E194" i="3"/>
  <c r="Y194" i="3"/>
  <c r="E193" i="3"/>
  <c r="Y193" i="3"/>
  <c r="E186" i="3"/>
  <c r="E185" i="3"/>
  <c r="Y185" i="3"/>
  <c r="E184" i="3"/>
  <c r="Y184" i="3"/>
  <c r="E177" i="3"/>
  <c r="E176" i="3"/>
  <c r="Y176" i="3"/>
  <c r="E175" i="3"/>
  <c r="Y175" i="3"/>
  <c r="Y76" i="3"/>
  <c r="E168" i="3"/>
  <c r="E167" i="3"/>
  <c r="Y167" i="3"/>
  <c r="E166" i="3"/>
  <c r="Y166" i="3"/>
  <c r="E159" i="3"/>
  <c r="E158" i="3"/>
  <c r="Y158" i="3"/>
  <c r="E157" i="3"/>
  <c r="Y157" i="3"/>
  <c r="E150" i="3"/>
  <c r="E149" i="3"/>
  <c r="Y149" i="3"/>
  <c r="E148" i="3"/>
  <c r="Y148" i="3"/>
  <c r="E141" i="3"/>
  <c r="E140" i="3"/>
  <c r="Y140" i="3"/>
  <c r="E139" i="3"/>
  <c r="Y139" i="3"/>
  <c r="E132" i="3"/>
  <c r="E131" i="3"/>
  <c r="Y131" i="3"/>
  <c r="E130" i="3"/>
  <c r="Y130" i="3"/>
  <c r="E123" i="3"/>
  <c r="E122" i="3"/>
  <c r="Y122" i="3"/>
  <c r="E121" i="3"/>
  <c r="Y121" i="3"/>
  <c r="E114" i="3"/>
  <c r="E113" i="3"/>
  <c r="Y113" i="3"/>
  <c r="E112" i="3"/>
  <c r="Y112" i="3"/>
  <c r="E105" i="3"/>
  <c r="E104" i="3"/>
  <c r="Y104" i="3"/>
  <c r="E103" i="3"/>
  <c r="Y103" i="3"/>
  <c r="E96" i="3"/>
  <c r="E95" i="3"/>
  <c r="Y95" i="3"/>
  <c r="E94" i="3"/>
  <c r="Y94" i="3"/>
  <c r="E87" i="3"/>
  <c r="E86" i="3"/>
  <c r="Y86" i="3"/>
  <c r="E85" i="3"/>
  <c r="Y85" i="3"/>
  <c r="E78" i="3"/>
  <c r="E77" i="3"/>
  <c r="Y77" i="3"/>
  <c r="E76" i="3"/>
  <c r="E505" i="3"/>
  <c r="F505" i="3" s="1"/>
  <c r="Y505" i="3" s="1"/>
  <c r="E496" i="3"/>
  <c r="F496" i="3" s="1"/>
  <c r="Y496" i="3" s="1"/>
  <c r="E487" i="3"/>
  <c r="F487" i="3" s="1"/>
  <c r="Y487" i="3" s="1"/>
  <c r="E478" i="3"/>
  <c r="F478" i="3" s="1"/>
  <c r="Y478" i="3" s="1"/>
  <c r="E469" i="3"/>
  <c r="F469" i="3" s="1"/>
  <c r="Y469" i="3" s="1"/>
  <c r="E460" i="3"/>
  <c r="F460" i="3" s="1"/>
  <c r="Y460" i="3" s="1"/>
  <c r="E451" i="3"/>
  <c r="F451" i="3" s="1"/>
  <c r="Y451" i="3" s="1"/>
  <c r="E442" i="3"/>
  <c r="F442" i="3" s="1"/>
  <c r="Y442" i="3" s="1"/>
  <c r="E433" i="3"/>
  <c r="F433" i="3" s="1"/>
  <c r="Y433" i="3" s="1"/>
  <c r="E424" i="3"/>
  <c r="F424" i="3" s="1"/>
  <c r="Y424" i="3" s="1"/>
  <c r="E415" i="3"/>
  <c r="F415" i="3" s="1"/>
  <c r="Y415" i="3" s="1"/>
  <c r="E406" i="3"/>
  <c r="F406" i="3" s="1"/>
  <c r="Y406" i="3" s="1"/>
  <c r="E397" i="3"/>
  <c r="F397" i="3" s="1"/>
  <c r="Y397" i="3" s="1"/>
  <c r="E388" i="3"/>
  <c r="F388" i="3" s="1"/>
  <c r="Y388" i="3" s="1"/>
  <c r="E379" i="3"/>
  <c r="F379" i="3" s="1"/>
  <c r="Y379" i="3" s="1"/>
  <c r="E370" i="3"/>
  <c r="F370" i="3" s="1"/>
  <c r="Y370" i="3" s="1"/>
  <c r="E361" i="3"/>
  <c r="F361" i="3" s="1"/>
  <c r="Y361" i="3" s="1"/>
  <c r="E352" i="3"/>
  <c r="F352" i="3" s="1"/>
  <c r="Y352" i="3" s="1"/>
  <c r="E343" i="3"/>
  <c r="F343" i="3" s="1"/>
  <c r="Y343" i="3" s="1"/>
  <c r="E334" i="3"/>
  <c r="F334" i="3" s="1"/>
  <c r="Y334" i="3" s="1"/>
  <c r="E325" i="3"/>
  <c r="F325" i="3" s="1"/>
  <c r="Y325" i="3" s="1"/>
  <c r="E316" i="3"/>
  <c r="F316" i="3" s="1"/>
  <c r="Y316" i="3" s="1"/>
  <c r="E307" i="3"/>
  <c r="F307" i="3" s="1"/>
  <c r="Y307" i="3" s="1"/>
  <c r="E298" i="3"/>
  <c r="F298" i="3" s="1"/>
  <c r="Y298" i="3" s="1"/>
  <c r="E289" i="3"/>
  <c r="F289" i="3" s="1"/>
  <c r="Y289" i="3" s="1"/>
  <c r="E280" i="3"/>
  <c r="F280" i="3" s="1"/>
  <c r="Y280" i="3" s="1"/>
  <c r="E271" i="3"/>
  <c r="F271" i="3" s="1"/>
  <c r="Y271" i="3" s="1"/>
  <c r="E262" i="3"/>
  <c r="F262" i="3" s="1"/>
  <c r="Y262" i="3" s="1"/>
  <c r="E253" i="3"/>
  <c r="F253" i="3" s="1"/>
  <c r="Y253" i="3" s="1"/>
  <c r="E244" i="3"/>
  <c r="F244" i="3" s="1"/>
  <c r="Y244" i="3" s="1"/>
  <c r="E235" i="3"/>
  <c r="F235" i="3" s="1"/>
  <c r="Y235" i="3" s="1"/>
  <c r="E226" i="3"/>
  <c r="F226" i="3" s="1"/>
  <c r="Y226" i="3" s="1"/>
  <c r="E217" i="3"/>
  <c r="F217" i="3" s="1"/>
  <c r="Y217" i="3" s="1"/>
  <c r="E208" i="3"/>
  <c r="F208" i="3" s="1"/>
  <c r="Y208" i="3" s="1"/>
  <c r="E199" i="3"/>
  <c r="F199" i="3" s="1"/>
  <c r="Y199" i="3" s="1"/>
  <c r="E190" i="3"/>
  <c r="F190" i="3" s="1"/>
  <c r="Y190" i="3" s="1"/>
  <c r="E181" i="3"/>
  <c r="F181" i="3" s="1"/>
  <c r="Y181" i="3" s="1"/>
  <c r="E172" i="3"/>
  <c r="F172" i="3" s="1"/>
  <c r="Y172" i="3" s="1"/>
  <c r="E163" i="3"/>
  <c r="F163" i="3" s="1"/>
  <c r="Y163" i="3" s="1"/>
  <c r="E154" i="3"/>
  <c r="F154" i="3" s="1"/>
  <c r="Y154" i="3" s="1"/>
  <c r="E145" i="3"/>
  <c r="F145" i="3" s="1"/>
  <c r="Y145" i="3" s="1"/>
  <c r="E136" i="3"/>
  <c r="F136" i="3" s="1"/>
  <c r="Y136" i="3" s="1"/>
  <c r="E127" i="3"/>
  <c r="F127" i="3" s="1"/>
  <c r="Y127" i="3" s="1"/>
  <c r="E118" i="3"/>
  <c r="F118" i="3" s="1"/>
  <c r="Y118" i="3" s="1"/>
  <c r="E109" i="3"/>
  <c r="F109" i="3" s="1"/>
  <c r="Y109" i="3" s="1"/>
  <c r="E100" i="3"/>
  <c r="F100" i="3" s="1"/>
  <c r="Y100" i="3" s="1"/>
  <c r="E91" i="3"/>
  <c r="F91" i="3" s="1"/>
  <c r="E82" i="3"/>
  <c r="F82" i="3" s="1"/>
  <c r="E73" i="3"/>
  <c r="F73" i="3" s="1"/>
  <c r="G73" i="3" s="1"/>
  <c r="E503" i="3"/>
  <c r="F503" i="3" s="1"/>
  <c r="Y503" i="3" s="1"/>
  <c r="E494" i="3"/>
  <c r="F494" i="3" s="1"/>
  <c r="Y494" i="3" s="1"/>
  <c r="E485" i="3"/>
  <c r="F485" i="3" s="1"/>
  <c r="Y485" i="3" s="1"/>
  <c r="E476" i="3"/>
  <c r="F476" i="3" s="1"/>
  <c r="Y476" i="3" s="1"/>
  <c r="E467" i="3"/>
  <c r="F467" i="3" s="1"/>
  <c r="Y467" i="3" s="1"/>
  <c r="E458" i="3"/>
  <c r="F458" i="3" s="1"/>
  <c r="Y458" i="3" s="1"/>
  <c r="E449" i="3"/>
  <c r="F449" i="3" s="1"/>
  <c r="Y449" i="3" s="1"/>
  <c r="E440" i="3"/>
  <c r="F440" i="3" s="1"/>
  <c r="Y440" i="3" s="1"/>
  <c r="E431" i="3"/>
  <c r="F431" i="3" s="1"/>
  <c r="Y431" i="3" s="1"/>
  <c r="E422" i="3"/>
  <c r="F422" i="3" s="1"/>
  <c r="Y422" i="3" s="1"/>
  <c r="E413" i="3"/>
  <c r="F413" i="3" s="1"/>
  <c r="Y413" i="3" s="1"/>
  <c r="E404" i="3"/>
  <c r="F404" i="3" s="1"/>
  <c r="Y404" i="3" s="1"/>
  <c r="E395" i="3"/>
  <c r="F395" i="3" s="1"/>
  <c r="Y395" i="3" s="1"/>
  <c r="E386" i="3"/>
  <c r="F386" i="3" s="1"/>
  <c r="Y386" i="3" s="1"/>
  <c r="E377" i="3"/>
  <c r="F377" i="3" s="1"/>
  <c r="Y377" i="3" s="1"/>
  <c r="E368" i="3"/>
  <c r="F368" i="3" s="1"/>
  <c r="Y368" i="3" s="1"/>
  <c r="E359" i="3"/>
  <c r="F359" i="3" s="1"/>
  <c r="Y359" i="3" s="1"/>
  <c r="E350" i="3"/>
  <c r="F350" i="3" s="1"/>
  <c r="Y350" i="3" s="1"/>
  <c r="E341" i="3"/>
  <c r="F341" i="3" s="1"/>
  <c r="Y341" i="3" s="1"/>
  <c r="E332" i="3"/>
  <c r="F332" i="3" s="1"/>
  <c r="Y332" i="3" s="1"/>
  <c r="E323" i="3"/>
  <c r="F323" i="3" s="1"/>
  <c r="Y323" i="3" s="1"/>
  <c r="E314" i="3"/>
  <c r="F314" i="3" s="1"/>
  <c r="Y314" i="3" s="1"/>
  <c r="E305" i="3"/>
  <c r="F305" i="3" s="1"/>
  <c r="Y305" i="3" s="1"/>
  <c r="E296" i="3"/>
  <c r="F296" i="3" s="1"/>
  <c r="Y296" i="3" s="1"/>
  <c r="E287" i="3"/>
  <c r="F287" i="3" s="1"/>
  <c r="Y287" i="3" s="1"/>
  <c r="E278" i="3"/>
  <c r="F278" i="3" s="1"/>
  <c r="Y278" i="3" s="1"/>
  <c r="E269" i="3"/>
  <c r="F269" i="3" s="1"/>
  <c r="Y269" i="3" s="1"/>
  <c r="E260" i="3"/>
  <c r="F260" i="3" s="1"/>
  <c r="Y260" i="3" s="1"/>
  <c r="E251" i="3"/>
  <c r="F251" i="3" s="1"/>
  <c r="Y251" i="3" s="1"/>
  <c r="E242" i="3"/>
  <c r="F242" i="3" s="1"/>
  <c r="Y242" i="3" s="1"/>
  <c r="E233" i="3"/>
  <c r="F233" i="3" s="1"/>
  <c r="Y233" i="3" s="1"/>
  <c r="E224" i="3"/>
  <c r="F224" i="3" s="1"/>
  <c r="Y224" i="3" s="1"/>
  <c r="E215" i="3"/>
  <c r="F215" i="3" s="1"/>
  <c r="Y215" i="3" s="1"/>
  <c r="E206" i="3"/>
  <c r="F206" i="3" s="1"/>
  <c r="Y206" i="3" s="1"/>
  <c r="E197" i="3"/>
  <c r="E188" i="3"/>
  <c r="E179" i="3"/>
  <c r="E170" i="3"/>
  <c r="E161" i="3"/>
  <c r="E152" i="3"/>
  <c r="E143" i="3"/>
  <c r="E134" i="3"/>
  <c r="E125" i="3"/>
  <c r="E116" i="3"/>
  <c r="F116" i="3" s="1"/>
  <c r="Y116" i="3" s="1"/>
  <c r="E107" i="3"/>
  <c r="E98" i="3"/>
  <c r="E89" i="3"/>
  <c r="E80" i="3"/>
  <c r="E71" i="3"/>
  <c r="H65" i="3"/>
  <c r="AD59" i="14" s="1"/>
  <c r="H71" i="3"/>
  <c r="H80" i="3"/>
  <c r="Y84" i="3"/>
  <c r="H89" i="3"/>
  <c r="Z92" i="3"/>
  <c r="Y93" i="3"/>
  <c r="H98" i="3"/>
  <c r="Z101" i="3"/>
  <c r="Y102" i="3"/>
  <c r="H107" i="3"/>
  <c r="Z110" i="3"/>
  <c r="Y111" i="3"/>
  <c r="H116" i="3"/>
  <c r="Z119" i="3"/>
  <c r="Y120" i="3"/>
  <c r="H125" i="3"/>
  <c r="Z128" i="3"/>
  <c r="Y129" i="3"/>
  <c r="H134" i="3"/>
  <c r="Z137" i="3"/>
  <c r="Y138" i="3"/>
  <c r="H143" i="3"/>
  <c r="Y147" i="3"/>
  <c r="H152" i="3"/>
  <c r="Z155" i="3"/>
  <c r="Y156" i="3"/>
  <c r="H161" i="3"/>
  <c r="Z164" i="3"/>
  <c r="Y165" i="3"/>
  <c r="H170" i="3"/>
  <c r="Z173" i="3"/>
  <c r="Y174" i="3"/>
  <c r="H179" i="3"/>
  <c r="Z182" i="3"/>
  <c r="Y183" i="3"/>
  <c r="H188" i="3"/>
  <c r="Z191" i="3"/>
  <c r="Y192" i="3"/>
  <c r="H197" i="3"/>
  <c r="Z200" i="3"/>
  <c r="Y201" i="3"/>
  <c r="H206" i="3"/>
  <c r="Z209" i="3"/>
  <c r="Y210" i="3"/>
  <c r="H215" i="3"/>
  <c r="Z218" i="3"/>
  <c r="Y219" i="3"/>
  <c r="H224" i="3"/>
  <c r="Y228" i="3"/>
  <c r="H233" i="3"/>
  <c r="Z236" i="3"/>
  <c r="Y237" i="3"/>
  <c r="H242" i="3"/>
  <c r="Z245" i="3"/>
  <c r="Y246" i="3"/>
  <c r="H251" i="3"/>
  <c r="Z254" i="3"/>
  <c r="Y255" i="3"/>
  <c r="H260" i="3"/>
  <c r="Z263" i="3"/>
  <c r="Y264" i="3"/>
  <c r="H269" i="3"/>
  <c r="Y273" i="3"/>
  <c r="H278" i="3"/>
  <c r="Z281" i="3"/>
  <c r="Y282" i="3"/>
  <c r="H287" i="3"/>
  <c r="Y291" i="3"/>
  <c r="H296" i="3"/>
  <c r="Z299" i="3"/>
  <c r="Y300" i="3"/>
  <c r="H305" i="3"/>
  <c r="Z308" i="3"/>
  <c r="Y309" i="3"/>
  <c r="H314" i="3"/>
  <c r="Z317" i="3"/>
  <c r="Y318" i="3"/>
  <c r="H323" i="3"/>
  <c r="Z326" i="3"/>
  <c r="Y327" i="3"/>
  <c r="H332" i="3"/>
  <c r="Z335" i="3"/>
  <c r="Y336" i="3"/>
  <c r="Y338" i="3"/>
  <c r="H341" i="3"/>
  <c r="Z344" i="3"/>
  <c r="Y345" i="3"/>
  <c r="Y346" i="3"/>
  <c r="Y347" i="3"/>
  <c r="H350" i="3"/>
  <c r="Z353" i="3"/>
  <c r="Y354" i="3"/>
  <c r="Y355" i="3"/>
  <c r="Y356" i="3"/>
  <c r="H359" i="3"/>
  <c r="Z362" i="3"/>
  <c r="Y363" i="3"/>
  <c r="Y364" i="3"/>
  <c r="Y365" i="3"/>
  <c r="H368" i="3"/>
  <c r="Z371" i="3"/>
  <c r="Y372" i="3"/>
  <c r="Y373" i="3"/>
  <c r="Y374" i="3"/>
  <c r="H377" i="3"/>
  <c r="Z380" i="3"/>
  <c r="Y381" i="3"/>
  <c r="Y382" i="3"/>
  <c r="Y383" i="3"/>
  <c r="H386" i="3"/>
  <c r="Z389" i="3"/>
  <c r="Y390" i="3"/>
  <c r="Y391" i="3"/>
  <c r="Y392" i="3"/>
  <c r="H395" i="3"/>
  <c r="Z398" i="3"/>
  <c r="Y399" i="3"/>
  <c r="Y400" i="3"/>
  <c r="Y401" i="3"/>
  <c r="H404" i="3"/>
  <c r="Z407" i="3"/>
  <c r="Y408" i="3"/>
  <c r="Y409" i="3"/>
  <c r="Y410" i="3"/>
  <c r="H413" i="3"/>
  <c r="Z416" i="3"/>
  <c r="Y417" i="3"/>
  <c r="Y418" i="3"/>
  <c r="Y419" i="3"/>
  <c r="H422" i="3"/>
  <c r="Z425" i="3"/>
  <c r="Y426" i="3"/>
  <c r="Y427" i="3"/>
  <c r="Y428" i="3"/>
  <c r="H431" i="3"/>
  <c r="Z434" i="3"/>
  <c r="Y435" i="3"/>
  <c r="Y436" i="3"/>
  <c r="Y437" i="3"/>
  <c r="Z443" i="3"/>
  <c r="Y444" i="3"/>
  <c r="Y445" i="3"/>
  <c r="Y446" i="3"/>
  <c r="H449" i="3"/>
  <c r="Z452" i="3"/>
  <c r="Y453" i="3"/>
  <c r="Y454" i="3"/>
  <c r="Y455" i="3"/>
  <c r="H458" i="3"/>
  <c r="Z461" i="3"/>
  <c r="Y462" i="3"/>
  <c r="Y463" i="3"/>
  <c r="Y464" i="3"/>
  <c r="H467" i="3"/>
  <c r="Z470" i="3"/>
  <c r="Y471" i="3"/>
  <c r="Y472" i="3"/>
  <c r="Y473" i="3"/>
  <c r="H476" i="3"/>
  <c r="Z479" i="3"/>
  <c r="Y480" i="3"/>
  <c r="Y481" i="3"/>
  <c r="Y482" i="3"/>
  <c r="H485" i="3"/>
  <c r="Z488" i="3"/>
  <c r="Y489" i="3"/>
  <c r="Y490" i="3"/>
  <c r="Y491" i="3"/>
  <c r="H494" i="3"/>
  <c r="Z497" i="3"/>
  <c r="Y498" i="3"/>
  <c r="Y499" i="3"/>
  <c r="Y500" i="3"/>
  <c r="H503" i="3"/>
  <c r="Z506" i="3"/>
  <c r="Y507" i="3"/>
  <c r="Y508" i="3"/>
  <c r="Y509" i="3"/>
  <c r="H62" i="3"/>
  <c r="AR1149" i="8"/>
  <c r="F817" i="3" s="1"/>
  <c r="AR1147" i="8"/>
  <c r="F816" i="3" s="1"/>
  <c r="AR1145" i="8"/>
  <c r="F815" i="3" s="1"/>
  <c r="AR1142" i="8"/>
  <c r="F814" i="3" s="1"/>
  <c r="AR1140" i="8"/>
  <c r="F813" i="3" s="1"/>
  <c r="AR1138" i="8"/>
  <c r="F812" i="3" s="1"/>
  <c r="AR1135" i="8"/>
  <c r="F811" i="3" s="1"/>
  <c r="AR1133" i="8"/>
  <c r="F810" i="3" s="1"/>
  <c r="AR1131" i="8"/>
  <c r="F809" i="3" s="1"/>
  <c r="AR1128" i="8"/>
  <c r="F808" i="3" s="1"/>
  <c r="AR1126" i="8"/>
  <c r="F807" i="3" s="1"/>
  <c r="AR1124" i="8"/>
  <c r="F806" i="3" s="1"/>
  <c r="AR1121" i="8"/>
  <c r="F805" i="3" s="1"/>
  <c r="AR1119" i="8"/>
  <c r="F804" i="3" s="1"/>
  <c r="AR1117" i="8"/>
  <c r="F803" i="3" s="1"/>
  <c r="AR1114" i="8"/>
  <c r="F802" i="3" s="1"/>
  <c r="AR1112" i="8"/>
  <c r="F801" i="3" s="1"/>
  <c r="AR1110" i="8"/>
  <c r="F800" i="3" s="1"/>
  <c r="AR1107" i="8"/>
  <c r="F799" i="3" s="1"/>
  <c r="AR1105" i="8"/>
  <c r="F798" i="3" s="1"/>
  <c r="AR1103" i="8"/>
  <c r="F797" i="3" s="1"/>
  <c r="AR1100" i="8"/>
  <c r="F796" i="3" s="1"/>
  <c r="AR1098" i="8"/>
  <c r="F795" i="3" s="1"/>
  <c r="AR1096" i="8"/>
  <c r="F794" i="3" s="1"/>
  <c r="AR1093" i="8"/>
  <c r="F793" i="3" s="1"/>
  <c r="AR1091" i="8"/>
  <c r="F792" i="3" s="1"/>
  <c r="AR1089" i="8"/>
  <c r="F791" i="3" s="1"/>
  <c r="AR1086" i="8"/>
  <c r="F790" i="3" s="1"/>
  <c r="AR1084" i="8"/>
  <c r="F789" i="3" s="1"/>
  <c r="AR1082" i="8"/>
  <c r="F788" i="3" s="1"/>
  <c r="AR1079" i="8"/>
  <c r="F787" i="3" s="1"/>
  <c r="AR1077" i="8"/>
  <c r="F786" i="3" s="1"/>
  <c r="AR1075" i="8"/>
  <c r="F785" i="3" s="1"/>
  <c r="AR1072" i="8"/>
  <c r="F784" i="3" s="1"/>
  <c r="AR1070" i="8"/>
  <c r="F783" i="3" s="1"/>
  <c r="AR1068" i="8"/>
  <c r="F782" i="3" s="1"/>
  <c r="AR1065" i="8"/>
  <c r="F781" i="3" s="1"/>
  <c r="AR1063" i="8"/>
  <c r="F780" i="3" s="1"/>
  <c r="AR1061" i="8"/>
  <c r="F779" i="3" s="1"/>
  <c r="AR1058" i="8"/>
  <c r="F778" i="3" s="1"/>
  <c r="AR1056" i="8"/>
  <c r="F777" i="3" s="1"/>
  <c r="AR1054" i="8"/>
  <c r="F776" i="3" s="1"/>
  <c r="AR1051" i="8"/>
  <c r="F775" i="3" s="1"/>
  <c r="AR1049" i="8"/>
  <c r="F774" i="3" s="1"/>
  <c r="AR1047" i="8"/>
  <c r="F773" i="3" s="1"/>
  <c r="AR1044" i="8"/>
  <c r="F772" i="3" s="1"/>
  <c r="AR1042" i="8"/>
  <c r="F771" i="3" s="1"/>
  <c r="AR1040" i="8"/>
  <c r="F770" i="3" s="1"/>
  <c r="AR1037" i="8"/>
  <c r="F769" i="3" s="1"/>
  <c r="AR1035" i="8"/>
  <c r="F768" i="3" s="1"/>
  <c r="AR1033" i="8"/>
  <c r="F767" i="3" s="1"/>
  <c r="AR1030" i="8"/>
  <c r="F766" i="3" s="1"/>
  <c r="AR1028" i="8"/>
  <c r="F765" i="3" s="1"/>
  <c r="AR1026" i="8"/>
  <c r="F764" i="3" s="1"/>
  <c r="AR1023" i="8"/>
  <c r="F763" i="3" s="1"/>
  <c r="AR1021" i="8"/>
  <c r="F762" i="3" s="1"/>
  <c r="AR1019" i="8"/>
  <c r="F761" i="3" s="1"/>
  <c r="AR1016" i="8"/>
  <c r="F760" i="3" s="1"/>
  <c r="AR1014" i="8"/>
  <c r="F759" i="3" s="1"/>
  <c r="AR1012" i="8"/>
  <c r="F758" i="3" s="1"/>
  <c r="AR1009" i="8"/>
  <c r="F757" i="3" s="1"/>
  <c r="AR1007" i="8"/>
  <c r="F756" i="3" s="1"/>
  <c r="AR1005" i="8"/>
  <c r="F755" i="3" s="1"/>
  <c r="AR1002" i="8"/>
  <c r="F754" i="3" s="1"/>
  <c r="AR1000" i="8"/>
  <c r="F753" i="3" s="1"/>
  <c r="AR998" i="8"/>
  <c r="F752" i="3" s="1"/>
  <c r="AR995" i="8"/>
  <c r="F751" i="3" s="1"/>
  <c r="AR993" i="8"/>
  <c r="F750" i="3" s="1"/>
  <c r="AR991" i="8"/>
  <c r="F749" i="3" s="1"/>
  <c r="AR988" i="8"/>
  <c r="F748" i="3" s="1"/>
  <c r="AR986" i="8"/>
  <c r="F747" i="3" s="1"/>
  <c r="AR984" i="8"/>
  <c r="F746" i="3" s="1"/>
  <c r="AR981" i="8"/>
  <c r="F745" i="3" s="1"/>
  <c r="AR979" i="8"/>
  <c r="F744" i="3" s="1"/>
  <c r="AR977" i="8"/>
  <c r="F743" i="3" s="1"/>
  <c r="AR974" i="8"/>
  <c r="F742" i="3" s="1"/>
  <c r="AR972" i="8"/>
  <c r="F741" i="3" s="1"/>
  <c r="AR970" i="8"/>
  <c r="F740" i="3" s="1"/>
  <c r="AR967" i="8"/>
  <c r="F739" i="3" s="1"/>
  <c r="AR965" i="8"/>
  <c r="F738" i="3" s="1"/>
  <c r="AR963" i="8"/>
  <c r="F737" i="3" s="1"/>
  <c r="AR960" i="8"/>
  <c r="F736" i="3" s="1"/>
  <c r="AR958" i="8"/>
  <c r="F735" i="3" s="1"/>
  <c r="AR956" i="8"/>
  <c r="F734" i="3" s="1"/>
  <c r="AR953" i="8"/>
  <c r="F733" i="3" s="1"/>
  <c r="AR951" i="8"/>
  <c r="F732" i="3" s="1"/>
  <c r="AR949" i="8"/>
  <c r="F731" i="3" s="1"/>
  <c r="AR946" i="8"/>
  <c r="F730" i="3" s="1"/>
  <c r="AR944" i="8"/>
  <c r="F729" i="3" s="1"/>
  <c r="AR942" i="8"/>
  <c r="F728" i="3" s="1"/>
  <c r="AR939" i="8"/>
  <c r="F727" i="3" s="1"/>
  <c r="AR937" i="8"/>
  <c r="F726" i="3" s="1"/>
  <c r="AR935" i="8"/>
  <c r="F725" i="3" s="1"/>
  <c r="AR932" i="8"/>
  <c r="F724" i="3" s="1"/>
  <c r="AR930" i="8"/>
  <c r="F723" i="3" s="1"/>
  <c r="AR928" i="8"/>
  <c r="F722" i="3" s="1"/>
  <c r="AR925" i="8"/>
  <c r="F721" i="3" s="1"/>
  <c r="AR923" i="8"/>
  <c r="F720" i="3" s="1"/>
  <c r="AR921" i="8"/>
  <c r="F719" i="3" s="1"/>
  <c r="AR918" i="8"/>
  <c r="F718" i="3" s="1"/>
  <c r="AR916" i="8"/>
  <c r="F717" i="3" s="1"/>
  <c r="AR914" i="8"/>
  <c r="F716" i="3" s="1"/>
  <c r="AR911" i="8"/>
  <c r="F715" i="3" s="1"/>
  <c r="AR909" i="8"/>
  <c r="F714" i="3" s="1"/>
  <c r="AR907" i="8"/>
  <c r="F713" i="3" s="1"/>
  <c r="AR904" i="8"/>
  <c r="F712" i="3" s="1"/>
  <c r="AR902" i="8"/>
  <c r="F711" i="3" s="1"/>
  <c r="AR900" i="8"/>
  <c r="F710" i="3" s="1"/>
  <c r="AR897" i="8"/>
  <c r="F709" i="3" s="1"/>
  <c r="AR895" i="8"/>
  <c r="F708" i="3" s="1"/>
  <c r="AR893" i="8"/>
  <c r="F707" i="3" s="1"/>
  <c r="AR890" i="8"/>
  <c r="F706" i="3" s="1"/>
  <c r="AR888" i="8"/>
  <c r="F705" i="3" s="1"/>
  <c r="AR886" i="8"/>
  <c r="F704" i="3" s="1"/>
  <c r="AR883" i="8"/>
  <c r="F703" i="3" s="1"/>
  <c r="AR881" i="8"/>
  <c r="F702" i="3" s="1"/>
  <c r="AR879" i="8"/>
  <c r="F701" i="3" s="1"/>
  <c r="AR876" i="8"/>
  <c r="F700" i="3" s="1"/>
  <c r="AR874" i="8"/>
  <c r="F699" i="3" s="1"/>
  <c r="AR872" i="8"/>
  <c r="F698" i="3" s="1"/>
  <c r="AR869" i="8"/>
  <c r="F697" i="3" s="1"/>
  <c r="AR867" i="8"/>
  <c r="F696" i="3" s="1"/>
  <c r="AR865" i="8"/>
  <c r="F695" i="3" s="1"/>
  <c r="AR862" i="8"/>
  <c r="F694" i="3" s="1"/>
  <c r="AR860" i="8"/>
  <c r="F693" i="3" s="1"/>
  <c r="AR858" i="8"/>
  <c r="F692" i="3" s="1"/>
  <c r="AR855" i="8"/>
  <c r="F691" i="3" s="1"/>
  <c r="AR853" i="8"/>
  <c r="F690" i="3" s="1"/>
  <c r="AR851" i="8"/>
  <c r="F689" i="3" s="1"/>
  <c r="AR848" i="8"/>
  <c r="F688" i="3" s="1"/>
  <c r="AR846" i="8"/>
  <c r="F687" i="3" s="1"/>
  <c r="AR844" i="8"/>
  <c r="F686" i="3" s="1"/>
  <c r="AR841" i="8"/>
  <c r="F685" i="3" s="1"/>
  <c r="AR839" i="8"/>
  <c r="F684" i="3" s="1"/>
  <c r="AR837" i="8"/>
  <c r="F683" i="3" s="1"/>
  <c r="AR834" i="8"/>
  <c r="F682" i="3" s="1"/>
  <c r="AR832" i="8"/>
  <c r="F681" i="3" s="1"/>
  <c r="AR830" i="8"/>
  <c r="F680" i="3" s="1"/>
  <c r="AR827" i="8"/>
  <c r="F679" i="3" s="1"/>
  <c r="AR825" i="8"/>
  <c r="F678" i="3" s="1"/>
  <c r="AR823" i="8"/>
  <c r="F677" i="3" s="1"/>
  <c r="AR820" i="8"/>
  <c r="F676" i="3" s="1"/>
  <c r="AR818" i="8"/>
  <c r="F675" i="3" s="1"/>
  <c r="AR816" i="8"/>
  <c r="F674" i="3" s="1"/>
  <c r="AR813" i="8"/>
  <c r="F673" i="3" s="1"/>
  <c r="AR811" i="8"/>
  <c r="F672" i="3" s="1"/>
  <c r="AR809" i="8"/>
  <c r="F671" i="3" s="1"/>
  <c r="Z156" i="1"/>
  <c r="G82" i="3" l="1"/>
  <c r="Y82" i="3" s="1"/>
  <c r="G91" i="3"/>
  <c r="Y91" i="3" s="1"/>
  <c r="AD59" i="4"/>
  <c r="AD59" i="15"/>
  <c r="X381" i="3"/>
  <c r="AZ91" i="8" s="1"/>
  <c r="Y75" i="3"/>
  <c r="Z74" i="3"/>
  <c r="Y73" i="3"/>
  <c r="Y63" i="3"/>
  <c r="Y272" i="3"/>
  <c r="Y83" i="3"/>
  <c r="Y227" i="3"/>
  <c r="Y290" i="3"/>
  <c r="Z290" i="3"/>
  <c r="Y164" i="3"/>
  <c r="Y196" i="3"/>
  <c r="Y385" i="3"/>
  <c r="Y146" i="3"/>
  <c r="Z83" i="3"/>
  <c r="Y243" i="3"/>
  <c r="Y461" i="3"/>
  <c r="Y115" i="3"/>
  <c r="Z146" i="3"/>
  <c r="Z227" i="3"/>
  <c r="Z272" i="3"/>
  <c r="Y322" i="3"/>
  <c r="Y351" i="3"/>
  <c r="Y416" i="3"/>
  <c r="Y477" i="3"/>
  <c r="Y180" i="3"/>
  <c r="Y306" i="3"/>
  <c r="Y353" i="3"/>
  <c r="Y403" i="3"/>
  <c r="Y432" i="3"/>
  <c r="Y479" i="3"/>
  <c r="Y495" i="3"/>
  <c r="Y259" i="3"/>
  <c r="Y448" i="3"/>
  <c r="Y99" i="3"/>
  <c r="Y117" i="3"/>
  <c r="Y133" i="3"/>
  <c r="Y214" i="3"/>
  <c r="Y245" i="3"/>
  <c r="Y324" i="3"/>
  <c r="Y369" i="3"/>
  <c r="Y182" i="3"/>
  <c r="Y198" i="3"/>
  <c r="Y261" i="3"/>
  <c r="Y308" i="3"/>
  <c r="Y340" i="3"/>
  <c r="Y387" i="3"/>
  <c r="Y434" i="3"/>
  <c r="Y497" i="3"/>
  <c r="Y101" i="3"/>
  <c r="Y119" i="3"/>
  <c r="Y135" i="3"/>
  <c r="Y277" i="3"/>
  <c r="Y371" i="3"/>
  <c r="Y450" i="3"/>
  <c r="X450" i="3" s="1"/>
  <c r="Y70" i="3"/>
  <c r="Y81" i="3"/>
  <c r="Y151" i="3"/>
  <c r="Y200" i="3"/>
  <c r="Y216" i="3"/>
  <c r="Y232" i="3"/>
  <c r="Y263" i="3"/>
  <c r="Y326" i="3"/>
  <c r="Y389" i="3"/>
  <c r="Y405" i="3"/>
  <c r="Y295" i="3"/>
  <c r="Y421" i="3"/>
  <c r="Y466" i="3"/>
  <c r="Y88" i="3"/>
  <c r="Y137" i="3"/>
  <c r="Y169" i="3"/>
  <c r="Y218" i="3"/>
  <c r="Y279" i="3"/>
  <c r="Y342" i="3"/>
  <c r="Y407" i="3"/>
  <c r="X407" i="3" s="1"/>
  <c r="Y72" i="3"/>
  <c r="Y153" i="3"/>
  <c r="Y234" i="3"/>
  <c r="Y313" i="3"/>
  <c r="Y358" i="3"/>
  <c r="Y439" i="3"/>
  <c r="Y452" i="3"/>
  <c r="Y484" i="3"/>
  <c r="Y502" i="3"/>
  <c r="Y187" i="3"/>
  <c r="Y250" i="3"/>
  <c r="Y281" i="3"/>
  <c r="Y297" i="3"/>
  <c r="Y344" i="3"/>
  <c r="Y376" i="3"/>
  <c r="Y423" i="3"/>
  <c r="Y468" i="3"/>
  <c r="X468" i="3" s="1"/>
  <c r="Y74" i="3"/>
  <c r="Y106" i="3"/>
  <c r="Y124" i="3"/>
  <c r="Y155" i="3"/>
  <c r="Y171" i="3"/>
  <c r="Y236" i="3"/>
  <c r="Y315" i="3"/>
  <c r="Y486" i="3"/>
  <c r="X486" i="3" s="1"/>
  <c r="Y90" i="3"/>
  <c r="Y189" i="3"/>
  <c r="Y205" i="3"/>
  <c r="Y299" i="3"/>
  <c r="Y360" i="3"/>
  <c r="Y394" i="3"/>
  <c r="Y425" i="3"/>
  <c r="Y441" i="3"/>
  <c r="Y470" i="3"/>
  <c r="Y504" i="3"/>
  <c r="Y108" i="3"/>
  <c r="Y173" i="3"/>
  <c r="Y317" i="3"/>
  <c r="Y331" i="3"/>
  <c r="Y378" i="3"/>
  <c r="X378" i="3" s="1"/>
  <c r="Y488" i="3"/>
  <c r="Y92" i="3"/>
  <c r="Y142" i="3"/>
  <c r="Y191" i="3"/>
  <c r="Y223" i="3"/>
  <c r="Y252" i="3"/>
  <c r="Y268" i="3"/>
  <c r="Y362" i="3"/>
  <c r="Y443" i="3"/>
  <c r="Y506" i="3"/>
  <c r="X506" i="3" s="1"/>
  <c r="Y110" i="3"/>
  <c r="Y126" i="3"/>
  <c r="Y207" i="3"/>
  <c r="Y286" i="3"/>
  <c r="Y380" i="3"/>
  <c r="Y396" i="3"/>
  <c r="Y412" i="3"/>
  <c r="Y457" i="3"/>
  <c r="Y79" i="3"/>
  <c r="Y160" i="3"/>
  <c r="X160" i="3" s="1"/>
  <c r="Y254" i="3"/>
  <c r="Y333" i="3"/>
  <c r="Y128" i="3"/>
  <c r="Y144" i="3"/>
  <c r="Y209" i="3"/>
  <c r="Y225" i="3"/>
  <c r="Y270" i="3"/>
  <c r="Y349" i="3"/>
  <c r="Y398" i="3"/>
  <c r="Y475" i="3"/>
  <c r="X475" i="3" s="1"/>
  <c r="Y241" i="3"/>
  <c r="Y288" i="3"/>
  <c r="Y335" i="3"/>
  <c r="Y414" i="3"/>
  <c r="Y97" i="3"/>
  <c r="Y162" i="3"/>
  <c r="Y178" i="3"/>
  <c r="Y304" i="3"/>
  <c r="Y367" i="3"/>
  <c r="Y430" i="3"/>
  <c r="X430" i="3" s="1"/>
  <c r="Y459" i="3"/>
  <c r="Y493" i="3"/>
  <c r="Y61" i="3"/>
  <c r="F517" i="3"/>
  <c r="AA509" i="3"/>
  <c r="X509" i="3" s="1"/>
  <c r="BB119" i="8" s="1"/>
  <c r="AA508" i="3"/>
  <c r="X508" i="3" s="1"/>
  <c r="BA119" i="8" s="1"/>
  <c r="AA507" i="3"/>
  <c r="X507" i="3" s="1"/>
  <c r="AZ119" i="8" s="1"/>
  <c r="AB506" i="3"/>
  <c r="AA506" i="3"/>
  <c r="AA505" i="3"/>
  <c r="X505" i="3" s="1"/>
  <c r="AX119" i="8" s="1"/>
  <c r="AA504" i="3"/>
  <c r="AA502" i="3"/>
  <c r="AA503" i="3"/>
  <c r="X503" i="3" s="1"/>
  <c r="AV119" i="8" s="1"/>
  <c r="AA500" i="3"/>
  <c r="X500" i="3" s="1"/>
  <c r="BB117" i="8" s="1"/>
  <c r="AA499" i="3"/>
  <c r="X499" i="3" s="1"/>
  <c r="BA117" i="8" s="1"/>
  <c r="AA498" i="3"/>
  <c r="X498" i="3" s="1"/>
  <c r="AZ117" i="8" s="1"/>
  <c r="AB497" i="3"/>
  <c r="AA497" i="3"/>
  <c r="AA496" i="3"/>
  <c r="X496" i="3" s="1"/>
  <c r="AX117" i="8" s="1"/>
  <c r="AA495" i="3"/>
  <c r="AA494" i="3"/>
  <c r="X494" i="3" s="1"/>
  <c r="AV117" i="8" s="1"/>
  <c r="AA493" i="3"/>
  <c r="AA491" i="3"/>
  <c r="X491" i="3" s="1"/>
  <c r="BB115" i="8" s="1"/>
  <c r="AA490" i="3"/>
  <c r="X490" i="3" s="1"/>
  <c r="BA115" i="8" s="1"/>
  <c r="AA489" i="3"/>
  <c r="X489" i="3" s="1"/>
  <c r="AZ115" i="8" s="1"/>
  <c r="AB488" i="3"/>
  <c r="AA488" i="3"/>
  <c r="AA487" i="3"/>
  <c r="X487" i="3" s="1"/>
  <c r="AX115" i="8" s="1"/>
  <c r="AA486" i="3"/>
  <c r="AA484" i="3"/>
  <c r="AA485" i="3"/>
  <c r="X485" i="3" s="1"/>
  <c r="AV115" i="8" s="1"/>
  <c r="AA482" i="3"/>
  <c r="X482" i="3" s="1"/>
  <c r="BB113" i="8" s="1"/>
  <c r="AA481" i="3"/>
  <c r="X481" i="3" s="1"/>
  <c r="BA113" i="8" s="1"/>
  <c r="AA480" i="3"/>
  <c r="X480" i="3" s="1"/>
  <c r="AZ113" i="8" s="1"/>
  <c r="AB479" i="3"/>
  <c r="AA479" i="3"/>
  <c r="AA478" i="3"/>
  <c r="X478" i="3" s="1"/>
  <c r="AX113" i="8" s="1"/>
  <c r="AA477" i="3"/>
  <c r="AA475" i="3"/>
  <c r="AA476" i="3"/>
  <c r="X476" i="3" s="1"/>
  <c r="AV113" i="8" s="1"/>
  <c r="AA473" i="3"/>
  <c r="X473" i="3" s="1"/>
  <c r="BB111" i="8" s="1"/>
  <c r="AA472" i="3"/>
  <c r="X472" i="3" s="1"/>
  <c r="BA111" i="8" s="1"/>
  <c r="AA471" i="3"/>
  <c r="X471" i="3" s="1"/>
  <c r="AZ111" i="8" s="1"/>
  <c r="AB470" i="3"/>
  <c r="AA470" i="3"/>
  <c r="AA469" i="3"/>
  <c r="X469" i="3" s="1"/>
  <c r="AX111" i="8" s="1"/>
  <c r="AA468" i="3"/>
  <c r="AA466" i="3"/>
  <c r="AA467" i="3"/>
  <c r="X467" i="3" s="1"/>
  <c r="AV111" i="8" s="1"/>
  <c r="AA464" i="3"/>
  <c r="X464" i="3" s="1"/>
  <c r="BB109" i="8" s="1"/>
  <c r="AA463" i="3"/>
  <c r="X463" i="3" s="1"/>
  <c r="BA109" i="8" s="1"/>
  <c r="AA462" i="3"/>
  <c r="X462" i="3" s="1"/>
  <c r="AZ109" i="8" s="1"/>
  <c r="AB461" i="3"/>
  <c r="AA461" i="3"/>
  <c r="AA460" i="3"/>
  <c r="X460" i="3" s="1"/>
  <c r="AX109" i="8" s="1"/>
  <c r="AA459" i="3"/>
  <c r="AA457" i="3"/>
  <c r="AA458" i="3"/>
  <c r="X458" i="3" s="1"/>
  <c r="AV109" i="8" s="1"/>
  <c r="AA455" i="3"/>
  <c r="X455" i="3" s="1"/>
  <c r="BB107" i="8" s="1"/>
  <c r="AA454" i="3"/>
  <c r="X454" i="3" s="1"/>
  <c r="BA107" i="8" s="1"/>
  <c r="AA453" i="3"/>
  <c r="X453" i="3" s="1"/>
  <c r="AZ107" i="8" s="1"/>
  <c r="AB452" i="3"/>
  <c r="AA452" i="3"/>
  <c r="AA451" i="3"/>
  <c r="X451" i="3" s="1"/>
  <c r="AX107" i="8" s="1"/>
  <c r="AA450" i="3"/>
  <c r="AA448" i="3"/>
  <c r="AA446" i="3"/>
  <c r="X446" i="3" s="1"/>
  <c r="BB105" i="8" s="1"/>
  <c r="AA445" i="3"/>
  <c r="X445" i="3" s="1"/>
  <c r="BA105" i="8" s="1"/>
  <c r="AA444" i="3"/>
  <c r="X444" i="3" s="1"/>
  <c r="AZ105" i="8" s="1"/>
  <c r="AB443" i="3"/>
  <c r="AA443" i="3"/>
  <c r="AA442" i="3"/>
  <c r="X442" i="3" s="1"/>
  <c r="AX105" i="8" s="1"/>
  <c r="AA441" i="3"/>
  <c r="AA440" i="3"/>
  <c r="X440" i="3" s="1"/>
  <c r="AV105" i="8" s="1"/>
  <c r="AA439" i="3"/>
  <c r="AA437" i="3"/>
  <c r="X437" i="3" s="1"/>
  <c r="BB103" i="8" s="1"/>
  <c r="AA436" i="3"/>
  <c r="X436" i="3" s="1"/>
  <c r="BA103" i="8" s="1"/>
  <c r="AA435" i="3"/>
  <c r="X435" i="3" s="1"/>
  <c r="AZ103" i="8" s="1"/>
  <c r="AB434" i="3"/>
  <c r="AA434" i="3"/>
  <c r="AA433" i="3"/>
  <c r="X433" i="3" s="1"/>
  <c r="AX103" i="8" s="1"/>
  <c r="AA432" i="3"/>
  <c r="AA430" i="3"/>
  <c r="AA428" i="3"/>
  <c r="X428" i="3" s="1"/>
  <c r="BB101" i="8" s="1"/>
  <c r="AA427" i="3"/>
  <c r="X427" i="3" s="1"/>
  <c r="BA101" i="8" s="1"/>
  <c r="AA426" i="3"/>
  <c r="X426" i="3" s="1"/>
  <c r="AZ101" i="8" s="1"/>
  <c r="AB425" i="3"/>
  <c r="AA425" i="3"/>
  <c r="AA424" i="3"/>
  <c r="X424" i="3" s="1"/>
  <c r="AX101" i="8" s="1"/>
  <c r="AA423" i="3"/>
  <c r="AA421" i="3"/>
  <c r="AA422" i="3"/>
  <c r="X422" i="3" s="1"/>
  <c r="AV101" i="8" s="1"/>
  <c r="AA419" i="3"/>
  <c r="X419" i="3" s="1"/>
  <c r="BB99" i="8" s="1"/>
  <c r="AA418" i="3"/>
  <c r="X418" i="3" s="1"/>
  <c r="BA99" i="8" s="1"/>
  <c r="AA417" i="3"/>
  <c r="X417" i="3" s="1"/>
  <c r="AZ99" i="8" s="1"/>
  <c r="AB416" i="3"/>
  <c r="AA416" i="3"/>
  <c r="AA415" i="3"/>
  <c r="X415" i="3" s="1"/>
  <c r="AX99" i="8" s="1"/>
  <c r="AA414" i="3"/>
  <c r="AA412" i="3"/>
  <c r="AA413" i="3"/>
  <c r="X413" i="3" s="1"/>
  <c r="AV99" i="8" s="1"/>
  <c r="AA410" i="3"/>
  <c r="X410" i="3" s="1"/>
  <c r="BB97" i="8" s="1"/>
  <c r="AA409" i="3"/>
  <c r="X409" i="3" s="1"/>
  <c r="BA97" i="8" s="1"/>
  <c r="AA408" i="3"/>
  <c r="X408" i="3" s="1"/>
  <c r="AZ97" i="8" s="1"/>
  <c r="AB407" i="3"/>
  <c r="AA407" i="3"/>
  <c r="AA406" i="3"/>
  <c r="X406" i="3" s="1"/>
  <c r="AX97" i="8" s="1"/>
  <c r="AA405" i="3"/>
  <c r="AA403" i="3"/>
  <c r="AA401" i="3"/>
  <c r="X401" i="3" s="1"/>
  <c r="BB95" i="8" s="1"/>
  <c r="AA400" i="3"/>
  <c r="X400" i="3" s="1"/>
  <c r="BA95" i="8" s="1"/>
  <c r="AA399" i="3"/>
  <c r="X399" i="3" s="1"/>
  <c r="AZ95" i="8" s="1"/>
  <c r="AB398" i="3"/>
  <c r="AA398" i="3"/>
  <c r="AA397" i="3"/>
  <c r="X397" i="3" s="1"/>
  <c r="AX95" i="8" s="1"/>
  <c r="AA396" i="3"/>
  <c r="AA394" i="3"/>
  <c r="AA392" i="3"/>
  <c r="X392" i="3" s="1"/>
  <c r="BB93" i="8" s="1"/>
  <c r="AA391" i="3"/>
  <c r="X391" i="3" s="1"/>
  <c r="BA93" i="8" s="1"/>
  <c r="AA390" i="3"/>
  <c r="X390" i="3" s="1"/>
  <c r="AZ93" i="8" s="1"/>
  <c r="AB389" i="3"/>
  <c r="AA389" i="3"/>
  <c r="AA388" i="3"/>
  <c r="X388" i="3" s="1"/>
  <c r="AX93" i="8" s="1"/>
  <c r="AA387" i="3"/>
  <c r="AA385" i="3"/>
  <c r="AA386" i="3"/>
  <c r="X386" i="3" s="1"/>
  <c r="AV93" i="8" s="1"/>
  <c r="AA383" i="3"/>
  <c r="X383" i="3" s="1"/>
  <c r="BB91" i="8" s="1"/>
  <c r="AA382" i="3"/>
  <c r="X382" i="3" s="1"/>
  <c r="BA91" i="8" s="1"/>
  <c r="AA381" i="3"/>
  <c r="AB380" i="3"/>
  <c r="AA380" i="3"/>
  <c r="AA379" i="3"/>
  <c r="X379" i="3" s="1"/>
  <c r="AX91" i="8" s="1"/>
  <c r="AA378" i="3"/>
  <c r="AA376" i="3"/>
  <c r="AA377" i="3"/>
  <c r="X377" i="3" s="1"/>
  <c r="AV91" i="8" s="1"/>
  <c r="AA374" i="3"/>
  <c r="X374" i="3" s="1"/>
  <c r="BB89" i="8" s="1"/>
  <c r="AA373" i="3"/>
  <c r="X373" i="3" s="1"/>
  <c r="BA89" i="8" s="1"/>
  <c r="AA372" i="3"/>
  <c r="X372" i="3" s="1"/>
  <c r="AZ89" i="8" s="1"/>
  <c r="AB371" i="3"/>
  <c r="AA371" i="3"/>
  <c r="AA370" i="3"/>
  <c r="X370" i="3" s="1"/>
  <c r="AX89" i="8" s="1"/>
  <c r="AA369" i="3"/>
  <c r="AA367" i="3"/>
  <c r="AA368" i="3"/>
  <c r="X368" i="3" s="1"/>
  <c r="AV89" i="8" s="1"/>
  <c r="AA365" i="3"/>
  <c r="X365" i="3" s="1"/>
  <c r="BB87" i="8" s="1"/>
  <c r="AA364" i="3"/>
  <c r="X364" i="3" s="1"/>
  <c r="BA87" i="8" s="1"/>
  <c r="AA363" i="3"/>
  <c r="X363" i="3" s="1"/>
  <c r="AZ87" i="8" s="1"/>
  <c r="AB362" i="3"/>
  <c r="AA362" i="3"/>
  <c r="AA361" i="3"/>
  <c r="X361" i="3" s="1"/>
  <c r="AX87" i="8" s="1"/>
  <c r="AA360" i="3"/>
  <c r="AA359" i="3"/>
  <c r="X359" i="3" s="1"/>
  <c r="AV87" i="8" s="1"/>
  <c r="AA358" i="3"/>
  <c r="AA356" i="3"/>
  <c r="X356" i="3" s="1"/>
  <c r="BB85" i="8" s="1"/>
  <c r="AA355" i="3"/>
  <c r="X355" i="3" s="1"/>
  <c r="BA85" i="8" s="1"/>
  <c r="AA354" i="3"/>
  <c r="X354" i="3" s="1"/>
  <c r="AZ85" i="8" s="1"/>
  <c r="AB353" i="3"/>
  <c r="AA353" i="3"/>
  <c r="AA352" i="3"/>
  <c r="X352" i="3" s="1"/>
  <c r="AX85" i="8" s="1"/>
  <c r="AA351" i="3"/>
  <c r="AA349" i="3"/>
  <c r="AA347" i="3"/>
  <c r="X347" i="3" s="1"/>
  <c r="BB83" i="8" s="1"/>
  <c r="AA346" i="3"/>
  <c r="X346" i="3" s="1"/>
  <c r="BA83" i="8" s="1"/>
  <c r="AA345" i="3"/>
  <c r="X345" i="3" s="1"/>
  <c r="AZ83" i="8" s="1"/>
  <c r="AB344" i="3"/>
  <c r="AA344" i="3"/>
  <c r="AA343" i="3"/>
  <c r="X343" i="3" s="1"/>
  <c r="AX83" i="8" s="1"/>
  <c r="AA342" i="3"/>
  <c r="AA340" i="3"/>
  <c r="AA341" i="3"/>
  <c r="X341" i="3" s="1"/>
  <c r="AV83" i="8" s="1"/>
  <c r="AA338" i="3"/>
  <c r="X338" i="3" s="1"/>
  <c r="BB81" i="8" s="1"/>
  <c r="AA337" i="3"/>
  <c r="X337" i="3" s="1"/>
  <c r="BA81" i="8" s="1"/>
  <c r="AA336" i="3"/>
  <c r="X336" i="3" s="1"/>
  <c r="AZ81" i="8" s="1"/>
  <c r="AB335" i="3"/>
  <c r="AA335" i="3"/>
  <c r="AA334" i="3"/>
  <c r="X334" i="3" s="1"/>
  <c r="AX81" i="8" s="1"/>
  <c r="AA333" i="3"/>
  <c r="AA331" i="3"/>
  <c r="AA332" i="3"/>
  <c r="X332" i="3" s="1"/>
  <c r="AV81" i="8" s="1"/>
  <c r="AA329" i="3"/>
  <c r="X329" i="3" s="1"/>
  <c r="BB79" i="8" s="1"/>
  <c r="AA328" i="3"/>
  <c r="X328" i="3" s="1"/>
  <c r="BA79" i="8" s="1"/>
  <c r="AA327" i="3"/>
  <c r="X327" i="3" s="1"/>
  <c r="AZ79" i="8" s="1"/>
  <c r="AB326" i="3"/>
  <c r="AA326" i="3"/>
  <c r="AA325" i="3"/>
  <c r="X325" i="3" s="1"/>
  <c r="AX79" i="8" s="1"/>
  <c r="AA324" i="3"/>
  <c r="AA322" i="3"/>
  <c r="AA323" i="3"/>
  <c r="X323" i="3" s="1"/>
  <c r="AV79" i="8" s="1"/>
  <c r="AA320" i="3"/>
  <c r="X320" i="3" s="1"/>
  <c r="BB77" i="8" s="1"/>
  <c r="AA319" i="3"/>
  <c r="X319" i="3" s="1"/>
  <c r="BA77" i="8" s="1"/>
  <c r="AA318" i="3"/>
  <c r="X318" i="3" s="1"/>
  <c r="AZ77" i="8" s="1"/>
  <c r="AB317" i="3"/>
  <c r="AA317" i="3"/>
  <c r="AA316" i="3"/>
  <c r="X316" i="3" s="1"/>
  <c r="AX77" i="8" s="1"/>
  <c r="AA315" i="3"/>
  <c r="AA313" i="3"/>
  <c r="AA314" i="3"/>
  <c r="X314" i="3" s="1"/>
  <c r="AV77" i="8" s="1"/>
  <c r="AA311" i="3"/>
  <c r="X311" i="3" s="1"/>
  <c r="BB75" i="8" s="1"/>
  <c r="AA310" i="3"/>
  <c r="X310" i="3" s="1"/>
  <c r="BA75" i="8" s="1"/>
  <c r="AA309" i="3"/>
  <c r="X309" i="3" s="1"/>
  <c r="AZ75" i="8" s="1"/>
  <c r="AB308" i="3"/>
  <c r="AA308" i="3"/>
  <c r="AA307" i="3"/>
  <c r="X307" i="3" s="1"/>
  <c r="AX75" i="8" s="1"/>
  <c r="AA306" i="3"/>
  <c r="AA304" i="3"/>
  <c r="AA302" i="3"/>
  <c r="X302" i="3" s="1"/>
  <c r="BB73" i="8" s="1"/>
  <c r="AA301" i="3"/>
  <c r="X301" i="3" s="1"/>
  <c r="BA73" i="8" s="1"/>
  <c r="AA300" i="3"/>
  <c r="X300" i="3" s="1"/>
  <c r="AZ73" i="8" s="1"/>
  <c r="AB299" i="3"/>
  <c r="AA299" i="3"/>
  <c r="AA298" i="3"/>
  <c r="X298" i="3" s="1"/>
  <c r="AX73" i="8" s="1"/>
  <c r="AA297" i="3"/>
  <c r="AA295" i="3"/>
  <c r="AA296" i="3"/>
  <c r="X296" i="3" s="1"/>
  <c r="AV73" i="8" s="1"/>
  <c r="AA293" i="3"/>
  <c r="X293" i="3" s="1"/>
  <c r="BB71" i="8" s="1"/>
  <c r="AA292" i="3"/>
  <c r="X292" i="3" s="1"/>
  <c r="BA71" i="8" s="1"/>
  <c r="AA291" i="3"/>
  <c r="X291" i="3" s="1"/>
  <c r="AZ71" i="8" s="1"/>
  <c r="AB290" i="3"/>
  <c r="AA290" i="3"/>
  <c r="AA289" i="3"/>
  <c r="X289" i="3" s="1"/>
  <c r="AX71" i="8" s="1"/>
  <c r="AA288" i="3"/>
  <c r="AA286" i="3"/>
  <c r="AA284" i="3"/>
  <c r="X284" i="3" s="1"/>
  <c r="BB69" i="8" s="1"/>
  <c r="AA283" i="3"/>
  <c r="X283" i="3" s="1"/>
  <c r="BA69" i="8" s="1"/>
  <c r="AA282" i="3"/>
  <c r="X282" i="3" s="1"/>
  <c r="AZ69" i="8" s="1"/>
  <c r="AB281" i="3"/>
  <c r="AA281" i="3"/>
  <c r="AA280" i="3"/>
  <c r="X280" i="3" s="1"/>
  <c r="AX69" i="8" s="1"/>
  <c r="AA279" i="3"/>
  <c r="AA277" i="3"/>
  <c r="AA275" i="3"/>
  <c r="X275" i="3" s="1"/>
  <c r="BB67" i="8" s="1"/>
  <c r="AA274" i="3"/>
  <c r="X274" i="3" s="1"/>
  <c r="BA67" i="8" s="1"/>
  <c r="AA273" i="3"/>
  <c r="X273" i="3" s="1"/>
  <c r="AZ67" i="8" s="1"/>
  <c r="AB272" i="3"/>
  <c r="AA272" i="3"/>
  <c r="AA271" i="3"/>
  <c r="X271" i="3" s="1"/>
  <c r="AX67" i="8" s="1"/>
  <c r="AA270" i="3"/>
  <c r="AA268" i="3"/>
  <c r="AA269" i="3"/>
  <c r="X269" i="3" s="1"/>
  <c r="AV67" i="8" s="1"/>
  <c r="AA266" i="3"/>
  <c r="X266" i="3" s="1"/>
  <c r="BB65" i="8" s="1"/>
  <c r="AA265" i="3"/>
  <c r="X265" i="3" s="1"/>
  <c r="BA65" i="8" s="1"/>
  <c r="AA264" i="3"/>
  <c r="X264" i="3" s="1"/>
  <c r="AZ65" i="8" s="1"/>
  <c r="AB263" i="3"/>
  <c r="AA263" i="3"/>
  <c r="AA262" i="3"/>
  <c r="X262" i="3" s="1"/>
  <c r="AX65" i="8" s="1"/>
  <c r="AA261" i="3"/>
  <c r="AA259" i="3"/>
  <c r="AA257" i="3"/>
  <c r="X257" i="3" s="1"/>
  <c r="BB63" i="8" s="1"/>
  <c r="AA256" i="3"/>
  <c r="X256" i="3" s="1"/>
  <c r="BA63" i="8" s="1"/>
  <c r="AA255" i="3"/>
  <c r="X255" i="3" s="1"/>
  <c r="AZ63" i="8" s="1"/>
  <c r="AB254" i="3"/>
  <c r="AA254" i="3"/>
  <c r="AA253" i="3"/>
  <c r="X253" i="3" s="1"/>
  <c r="AX63" i="8" s="1"/>
  <c r="AA252" i="3"/>
  <c r="AA251" i="3"/>
  <c r="X251" i="3" s="1"/>
  <c r="AV63" i="8" s="1"/>
  <c r="AA250" i="3"/>
  <c r="AA248" i="3"/>
  <c r="X248" i="3" s="1"/>
  <c r="BB61" i="8" s="1"/>
  <c r="AA247" i="3"/>
  <c r="X247" i="3" s="1"/>
  <c r="BA61" i="8" s="1"/>
  <c r="AA246" i="3"/>
  <c r="X246" i="3" s="1"/>
  <c r="AZ61" i="8" s="1"/>
  <c r="AB245" i="3"/>
  <c r="AA245" i="3"/>
  <c r="AA244" i="3"/>
  <c r="X244" i="3" s="1"/>
  <c r="AX61" i="8" s="1"/>
  <c r="AA243" i="3"/>
  <c r="AA241" i="3"/>
  <c r="AA242" i="3"/>
  <c r="X242" i="3" s="1"/>
  <c r="AV61" i="8" s="1"/>
  <c r="AA239" i="3"/>
  <c r="X239" i="3" s="1"/>
  <c r="BB59" i="8" s="1"/>
  <c r="AA238" i="3"/>
  <c r="X238" i="3" s="1"/>
  <c r="BA59" i="8" s="1"/>
  <c r="AA237" i="3"/>
  <c r="X237" i="3" s="1"/>
  <c r="AZ59" i="8" s="1"/>
  <c r="AB236" i="3"/>
  <c r="AA236" i="3"/>
  <c r="AA235" i="3"/>
  <c r="X235" i="3" s="1"/>
  <c r="AX59" i="8" s="1"/>
  <c r="AA234" i="3"/>
  <c r="AA232" i="3"/>
  <c r="AA233" i="3"/>
  <c r="X233" i="3" s="1"/>
  <c r="AV59" i="8" s="1"/>
  <c r="AA230" i="3"/>
  <c r="X230" i="3" s="1"/>
  <c r="BB57" i="8" s="1"/>
  <c r="AA229" i="3"/>
  <c r="X229" i="3" s="1"/>
  <c r="BA57" i="8" s="1"/>
  <c r="AA228" i="3"/>
  <c r="X228" i="3" s="1"/>
  <c r="AZ57" i="8" s="1"/>
  <c r="AB227" i="3"/>
  <c r="AA227" i="3"/>
  <c r="AA226" i="3"/>
  <c r="X226" i="3" s="1"/>
  <c r="AX57" i="8" s="1"/>
  <c r="AA225" i="3"/>
  <c r="AA223" i="3"/>
  <c r="AA221" i="3"/>
  <c r="X221" i="3" s="1"/>
  <c r="BB55" i="8" s="1"/>
  <c r="AA220" i="3"/>
  <c r="X220" i="3" s="1"/>
  <c r="BA55" i="8" s="1"/>
  <c r="AA219" i="3"/>
  <c r="X219" i="3" s="1"/>
  <c r="AZ55" i="8" s="1"/>
  <c r="AB218" i="3"/>
  <c r="AA218" i="3"/>
  <c r="AA217" i="3"/>
  <c r="X217" i="3" s="1"/>
  <c r="AX55" i="8" s="1"/>
  <c r="AA216" i="3"/>
  <c r="AA214" i="3"/>
  <c r="AA212" i="3"/>
  <c r="X212" i="3" s="1"/>
  <c r="BB53" i="8" s="1"/>
  <c r="AA211" i="3"/>
  <c r="X211" i="3" s="1"/>
  <c r="BA53" i="8" s="1"/>
  <c r="AA210" i="3"/>
  <c r="X210" i="3" s="1"/>
  <c r="AZ53" i="8" s="1"/>
  <c r="AB209" i="3"/>
  <c r="AA209" i="3"/>
  <c r="AA208" i="3"/>
  <c r="X208" i="3" s="1"/>
  <c r="AX53" i="8" s="1"/>
  <c r="AA207" i="3"/>
  <c r="AA205" i="3"/>
  <c r="AA206" i="3"/>
  <c r="X206" i="3" s="1"/>
  <c r="AV53" i="8" s="1"/>
  <c r="AA203" i="3"/>
  <c r="X203" i="3" s="1"/>
  <c r="BB51" i="8" s="1"/>
  <c r="AA202" i="3"/>
  <c r="X202" i="3" s="1"/>
  <c r="BA51" i="8" s="1"/>
  <c r="AA201" i="3"/>
  <c r="X201" i="3" s="1"/>
  <c r="AZ51" i="8" s="1"/>
  <c r="AB200" i="3"/>
  <c r="AA200" i="3"/>
  <c r="AA199" i="3"/>
  <c r="X199" i="3" s="1"/>
  <c r="AX51" i="8" s="1"/>
  <c r="AA198" i="3"/>
  <c r="F197" i="3"/>
  <c r="AA196" i="3"/>
  <c r="AA194" i="3"/>
  <c r="X194" i="3" s="1"/>
  <c r="BB49" i="8" s="1"/>
  <c r="AA193" i="3"/>
  <c r="X193" i="3" s="1"/>
  <c r="BA49" i="8" s="1"/>
  <c r="AA192" i="3"/>
  <c r="X192" i="3" s="1"/>
  <c r="AZ49" i="8" s="1"/>
  <c r="AB191" i="3"/>
  <c r="AA191" i="3"/>
  <c r="AA190" i="3"/>
  <c r="X190" i="3" s="1"/>
  <c r="AX49" i="8" s="1"/>
  <c r="AA189" i="3"/>
  <c r="F188" i="3"/>
  <c r="AA187" i="3"/>
  <c r="AA188" i="3"/>
  <c r="AA185" i="3"/>
  <c r="X185" i="3" s="1"/>
  <c r="BB47" i="8" s="1"/>
  <c r="AA184" i="3"/>
  <c r="X184" i="3" s="1"/>
  <c r="BA47" i="8" s="1"/>
  <c r="AA183" i="3"/>
  <c r="X183" i="3" s="1"/>
  <c r="AZ47" i="8" s="1"/>
  <c r="AB182" i="3"/>
  <c r="AA182" i="3"/>
  <c r="AA181" i="3"/>
  <c r="X181" i="3" s="1"/>
  <c r="AX47" i="8" s="1"/>
  <c r="AA180" i="3"/>
  <c r="F179" i="3"/>
  <c r="AA178" i="3"/>
  <c r="AA176" i="3"/>
  <c r="X176" i="3" s="1"/>
  <c r="BB45" i="8" s="1"/>
  <c r="AA175" i="3"/>
  <c r="X175" i="3" s="1"/>
  <c r="BA45" i="8" s="1"/>
  <c r="AA174" i="3"/>
  <c r="X174" i="3" s="1"/>
  <c r="AZ45" i="8" s="1"/>
  <c r="AB173" i="3"/>
  <c r="AA173" i="3"/>
  <c r="AA172" i="3"/>
  <c r="X172" i="3" s="1"/>
  <c r="AX45" i="8" s="1"/>
  <c r="AA171" i="3"/>
  <c r="F170" i="3"/>
  <c r="AA169" i="3"/>
  <c r="AA167" i="3"/>
  <c r="X167" i="3" s="1"/>
  <c r="BB43" i="8" s="1"/>
  <c r="AA166" i="3"/>
  <c r="X166" i="3" s="1"/>
  <c r="BA43" i="8" s="1"/>
  <c r="AA165" i="3"/>
  <c r="X165" i="3" s="1"/>
  <c r="AZ43" i="8" s="1"/>
  <c r="AB164" i="3"/>
  <c r="AA164" i="3"/>
  <c r="AA163" i="3"/>
  <c r="X163" i="3" s="1"/>
  <c r="AX43" i="8" s="1"/>
  <c r="AA162" i="3"/>
  <c r="F161" i="3"/>
  <c r="AA160" i="3"/>
  <c r="AA158" i="3"/>
  <c r="X158" i="3" s="1"/>
  <c r="BB41" i="8" s="1"/>
  <c r="AA157" i="3"/>
  <c r="X157" i="3" s="1"/>
  <c r="BA41" i="8" s="1"/>
  <c r="AA156" i="3"/>
  <c r="X156" i="3" s="1"/>
  <c r="AZ41" i="8" s="1"/>
  <c r="AB155" i="3"/>
  <c r="AA155" i="3"/>
  <c r="AA154" i="3"/>
  <c r="X154" i="3" s="1"/>
  <c r="AX41" i="8" s="1"/>
  <c r="AA153" i="3"/>
  <c r="F152" i="3"/>
  <c r="AA151" i="3"/>
  <c r="AA152" i="3"/>
  <c r="AB663" i="3"/>
  <c r="AB662" i="3"/>
  <c r="AB661" i="3"/>
  <c r="AB660" i="3"/>
  <c r="AB659" i="3"/>
  <c r="AB658" i="3"/>
  <c r="AB657" i="3"/>
  <c r="AB656" i="3"/>
  <c r="AB655" i="3"/>
  <c r="AB654" i="3"/>
  <c r="AB653" i="3"/>
  <c r="AB652" i="3"/>
  <c r="AB651" i="3"/>
  <c r="AB650" i="3"/>
  <c r="AB649" i="3"/>
  <c r="AB648" i="3"/>
  <c r="AB647" i="3"/>
  <c r="AB646" i="3"/>
  <c r="AB645" i="3"/>
  <c r="AB644" i="3"/>
  <c r="AB643" i="3"/>
  <c r="AB642" i="3"/>
  <c r="AB641" i="3"/>
  <c r="AB640" i="3"/>
  <c r="AB639" i="3"/>
  <c r="AB638" i="3"/>
  <c r="AB637" i="3"/>
  <c r="AB636" i="3"/>
  <c r="AB635" i="3"/>
  <c r="AB634" i="3"/>
  <c r="AB633" i="3"/>
  <c r="AB632" i="3"/>
  <c r="AB631" i="3"/>
  <c r="AB630" i="3"/>
  <c r="AB629" i="3"/>
  <c r="AB628" i="3"/>
  <c r="AB627" i="3"/>
  <c r="AB626" i="3"/>
  <c r="AB625" i="3"/>
  <c r="AB624" i="3"/>
  <c r="AB623" i="3"/>
  <c r="AB622" i="3"/>
  <c r="AB621" i="3"/>
  <c r="AB620" i="3"/>
  <c r="AB619" i="3"/>
  <c r="AB618" i="3"/>
  <c r="AB617" i="3"/>
  <c r="AB616" i="3"/>
  <c r="AB615" i="3"/>
  <c r="AB614" i="3"/>
  <c r="AB613" i="3"/>
  <c r="AB612" i="3"/>
  <c r="AB611" i="3"/>
  <c r="AB610" i="3"/>
  <c r="AB609" i="3"/>
  <c r="AB608" i="3"/>
  <c r="AB607" i="3"/>
  <c r="AB606" i="3"/>
  <c r="AB605" i="3"/>
  <c r="AB604" i="3"/>
  <c r="AB603" i="3"/>
  <c r="AB602" i="3"/>
  <c r="AB601" i="3"/>
  <c r="AB600" i="3"/>
  <c r="AB599" i="3"/>
  <c r="AB598" i="3"/>
  <c r="AB597" i="3"/>
  <c r="AB596" i="3"/>
  <c r="AB595" i="3"/>
  <c r="AB594" i="3"/>
  <c r="AB593" i="3"/>
  <c r="AB592" i="3"/>
  <c r="AB591" i="3"/>
  <c r="AB590" i="3"/>
  <c r="AB589" i="3"/>
  <c r="AB588" i="3"/>
  <c r="AB587" i="3"/>
  <c r="AB586" i="3"/>
  <c r="AB585" i="3"/>
  <c r="AB584" i="3"/>
  <c r="AB583" i="3"/>
  <c r="AB582" i="3"/>
  <c r="AB581" i="3"/>
  <c r="AB580" i="3"/>
  <c r="AB579" i="3"/>
  <c r="AB578" i="3"/>
  <c r="AB577" i="3"/>
  <c r="AB576" i="3"/>
  <c r="AB575" i="3"/>
  <c r="AB574" i="3"/>
  <c r="AB573" i="3"/>
  <c r="AB572" i="3"/>
  <c r="AB571" i="3"/>
  <c r="AB570" i="3"/>
  <c r="AB569" i="3"/>
  <c r="AB568" i="3"/>
  <c r="AB567" i="3"/>
  <c r="AB566" i="3"/>
  <c r="AB565" i="3"/>
  <c r="AB564" i="3"/>
  <c r="AB563" i="3"/>
  <c r="AB562" i="3"/>
  <c r="AB561" i="3"/>
  <c r="AB560" i="3"/>
  <c r="AB559" i="3"/>
  <c r="AB558" i="3"/>
  <c r="AB557" i="3"/>
  <c r="AB556" i="3"/>
  <c r="AB555" i="3"/>
  <c r="AB554" i="3"/>
  <c r="AB553" i="3"/>
  <c r="AB552" i="3"/>
  <c r="AB551" i="3"/>
  <c r="AB550" i="3"/>
  <c r="AB549" i="3"/>
  <c r="AB548" i="3"/>
  <c r="AB547" i="3"/>
  <c r="AB546" i="3"/>
  <c r="AB545" i="3"/>
  <c r="AB544" i="3"/>
  <c r="W453" i="3" l="1"/>
  <c r="W422" i="3"/>
  <c r="W413" i="3"/>
  <c r="W462" i="3"/>
  <c r="W211" i="3"/>
  <c r="W359" i="3"/>
  <c r="W442" i="3"/>
  <c r="W482" i="3"/>
  <c r="W399" i="3"/>
  <c r="W293" i="3"/>
  <c r="W292" i="3"/>
  <c r="W183" i="3"/>
  <c r="W436" i="3"/>
  <c r="W238" i="3"/>
  <c r="W235" i="3"/>
  <c r="W388" i="3"/>
  <c r="W190" i="3"/>
  <c r="W257" i="3"/>
  <c r="W256" i="3"/>
  <c r="W355" i="3"/>
  <c r="W246" i="3"/>
  <c r="W472" i="3"/>
  <c r="W336" i="3"/>
  <c r="W202" i="3"/>
  <c r="W314" i="3"/>
  <c r="W208" i="3"/>
  <c r="W221" i="3"/>
  <c r="W220" i="3"/>
  <c r="W427" i="3"/>
  <c r="W478" i="3"/>
  <c r="W508" i="3"/>
  <c r="W409" i="3"/>
  <c r="W424" i="3"/>
  <c r="W373" i="3"/>
  <c r="W467" i="3"/>
  <c r="W269" i="3"/>
  <c r="W185" i="3"/>
  <c r="W184" i="3"/>
  <c r="W463" i="3"/>
  <c r="W298" i="3"/>
  <c r="W437" i="3"/>
  <c r="W481" i="3"/>
  <c r="W244" i="3"/>
  <c r="W374" i="3"/>
  <c r="W346" i="3"/>
  <c r="W352" i="3"/>
  <c r="W334" i="3"/>
  <c r="W435" i="3"/>
  <c r="W377" i="3"/>
  <c r="W509" i="3"/>
  <c r="W503" i="3"/>
  <c r="W507" i="3"/>
  <c r="W156" i="3"/>
  <c r="W361" i="3"/>
  <c r="W172" i="3"/>
  <c r="W154" i="3"/>
  <c r="W496" i="3"/>
  <c r="W320" i="3"/>
  <c r="W451" i="3"/>
  <c r="W345" i="3"/>
  <c r="W323" i="3"/>
  <c r="W406" i="3"/>
  <c r="W282" i="3"/>
  <c r="W181" i="3"/>
  <c r="W316" i="3"/>
  <c r="W283" i="3"/>
  <c r="W271" i="3"/>
  <c r="W372" i="3"/>
  <c r="W226" i="3"/>
  <c r="W337" i="3"/>
  <c r="W440" i="3"/>
  <c r="W251" i="3"/>
  <c r="W233" i="3"/>
  <c r="W247" i="3"/>
  <c r="W382" i="3"/>
  <c r="W408" i="3"/>
  <c r="W485" i="3"/>
  <c r="W301" i="3"/>
  <c r="W163" i="3"/>
  <c r="W174" i="3"/>
  <c r="W365" i="3"/>
  <c r="W444" i="3"/>
  <c r="W265" i="3"/>
  <c r="W165" i="3"/>
  <c r="W300" i="3"/>
  <c r="W237" i="3"/>
  <c r="W356" i="3"/>
  <c r="W175" i="3"/>
  <c r="W401" i="3"/>
  <c r="W167" i="3"/>
  <c r="W480" i="3"/>
  <c r="W410" i="3"/>
  <c r="W229" i="3"/>
  <c r="W228" i="3"/>
  <c r="W391" i="3"/>
  <c r="W354" i="3"/>
  <c r="W464" i="3"/>
  <c r="W469" i="3"/>
  <c r="W473" i="3"/>
  <c r="W433" i="3"/>
  <c r="W494" i="3"/>
  <c r="W302" i="3"/>
  <c r="W193" i="3"/>
  <c r="W347" i="3"/>
  <c r="W499" i="3"/>
  <c r="W390" i="3"/>
  <c r="W319" i="3"/>
  <c r="W289" i="3"/>
  <c r="W311" i="3"/>
  <c r="W253" i="3"/>
  <c r="W273" i="3"/>
  <c r="W266" i="3"/>
  <c r="W379" i="3"/>
  <c r="W383" i="3"/>
  <c r="W309" i="3"/>
  <c r="W426" i="3"/>
  <c r="W284" i="3"/>
  <c r="W368" i="3"/>
  <c r="W275" i="3"/>
  <c r="W332" i="3"/>
  <c r="W445" i="3"/>
  <c r="W230" i="3"/>
  <c r="W199" i="3"/>
  <c r="W419" i="3"/>
  <c r="W428" i="3"/>
  <c r="W248" i="3"/>
  <c r="W460" i="3"/>
  <c r="W239" i="3"/>
  <c r="W201" i="3"/>
  <c r="W210" i="3"/>
  <c r="W194" i="3"/>
  <c r="W458" i="3"/>
  <c r="W455" i="3"/>
  <c r="W500" i="3"/>
  <c r="W498" i="3"/>
  <c r="W212" i="3"/>
  <c r="W280" i="3"/>
  <c r="W203" i="3"/>
  <c r="W264" i="3"/>
  <c r="W446" i="3"/>
  <c r="W397" i="3"/>
  <c r="W491" i="3"/>
  <c r="W176" i="3"/>
  <c r="W338" i="3"/>
  <c r="W381" i="3"/>
  <c r="W217" i="3"/>
  <c r="W219" i="3"/>
  <c r="W242" i="3"/>
  <c r="W343" i="3"/>
  <c r="W487" i="3"/>
  <c r="W192" i="3"/>
  <c r="W262" i="3"/>
  <c r="W454" i="3"/>
  <c r="W489" i="3"/>
  <c r="W476" i="3"/>
  <c r="W417" i="3"/>
  <c r="W363" i="3"/>
  <c r="W307" i="3"/>
  <c r="W255" i="3"/>
  <c r="W341" i="3"/>
  <c r="W471" i="3"/>
  <c r="W418" i="3"/>
  <c r="W296" i="3"/>
  <c r="W490" i="3"/>
  <c r="W392" i="3"/>
  <c r="W505" i="3"/>
  <c r="W386" i="3"/>
  <c r="W364" i="3"/>
  <c r="W327" i="3"/>
  <c r="W310" i="3"/>
  <c r="W318" i="3"/>
  <c r="W291" i="3"/>
  <c r="W157" i="3"/>
  <c r="W329" i="3"/>
  <c r="W328" i="3"/>
  <c r="W325" i="3"/>
  <c r="W206" i="3"/>
  <c r="W400" i="3"/>
  <c r="W415" i="3"/>
  <c r="W274" i="3"/>
  <c r="W166" i="3"/>
  <c r="W158" i="3"/>
  <c r="W370" i="3"/>
  <c r="X405" i="3"/>
  <c r="AW97" i="8" s="1"/>
  <c r="X477" i="3"/>
  <c r="AW113" i="8" s="1"/>
  <c r="X398" i="3"/>
  <c r="AY95" i="8" s="1"/>
  <c r="X416" i="3"/>
  <c r="AY99" i="8" s="1"/>
  <c r="X270" i="3"/>
  <c r="AW67" i="8" s="1"/>
  <c r="X268" i="3"/>
  <c r="AU67" i="8" s="1"/>
  <c r="X252" i="3"/>
  <c r="AW63" i="8" s="1"/>
  <c r="X367" i="3"/>
  <c r="AU89" i="8" s="1"/>
  <c r="AT89" i="8" s="1"/>
  <c r="X331" i="3"/>
  <c r="W331" i="3" s="1"/>
  <c r="X342" i="3"/>
  <c r="AW83" i="8" s="1"/>
  <c r="X376" i="3"/>
  <c r="AU91" i="8" s="1"/>
  <c r="AT91" i="8" s="1"/>
  <c r="X466" i="3"/>
  <c r="AU111" i="8" s="1"/>
  <c r="AT111" i="8" s="1"/>
  <c r="X371" i="3"/>
  <c r="AY89" i="8" s="1"/>
  <c r="X448" i="3"/>
  <c r="AU107" i="8" s="1"/>
  <c r="AT107" i="8" s="1"/>
  <c r="X304" i="3"/>
  <c r="AU75" i="8" s="1"/>
  <c r="AT75" i="8" s="1"/>
  <c r="X457" i="3"/>
  <c r="AU109" i="8" s="1"/>
  <c r="AT109" i="8" s="1"/>
  <c r="X317" i="3"/>
  <c r="AY77" i="8" s="1"/>
  <c r="X279" i="3"/>
  <c r="AW69" i="8" s="1"/>
  <c r="X277" i="3"/>
  <c r="AU69" i="8" s="1"/>
  <c r="AT69" i="8" s="1"/>
  <c r="X259" i="3"/>
  <c r="AU65" i="8" s="1"/>
  <c r="AT65" i="8" s="1"/>
  <c r="X385" i="3"/>
  <c r="AU93" i="8" s="1"/>
  <c r="AT93" i="8" s="1"/>
  <c r="X178" i="3"/>
  <c r="AU47" i="8" s="1"/>
  <c r="X412" i="3"/>
  <c r="AU99" i="8" s="1"/>
  <c r="AT99" i="8" s="1"/>
  <c r="X173" i="3"/>
  <c r="AY45" i="8" s="1"/>
  <c r="X218" i="3"/>
  <c r="AY55" i="8" s="1"/>
  <c r="X495" i="3"/>
  <c r="AW117" i="8" s="1"/>
  <c r="X196" i="3"/>
  <c r="AU51" i="8" s="1"/>
  <c r="X162" i="3"/>
  <c r="AW43" i="8" s="1"/>
  <c r="X396" i="3"/>
  <c r="AW95" i="8" s="1"/>
  <c r="X423" i="3"/>
  <c r="AW101" i="8" s="1"/>
  <c r="X169" i="3"/>
  <c r="AU45" i="8" s="1"/>
  <c r="X479" i="3"/>
  <c r="AY113" i="8" s="1"/>
  <c r="X164" i="3"/>
  <c r="AY43" i="8" s="1"/>
  <c r="X380" i="3"/>
  <c r="AY91" i="8" s="1"/>
  <c r="X504" i="3"/>
  <c r="AW119" i="8" s="1"/>
  <c r="X432" i="3"/>
  <c r="AW103" i="8" s="1"/>
  <c r="X414" i="3"/>
  <c r="AW99" i="8" s="1"/>
  <c r="X286" i="3"/>
  <c r="AU71" i="8" s="1"/>
  <c r="X470" i="3"/>
  <c r="AY111" i="8" s="1"/>
  <c r="X344" i="3"/>
  <c r="AY83" i="8" s="1"/>
  <c r="X497" i="3"/>
  <c r="AY117" i="8" s="1"/>
  <c r="X403" i="3"/>
  <c r="AU97" i="8" s="1"/>
  <c r="AT97" i="8" s="1"/>
  <c r="X335" i="3"/>
  <c r="AY81" i="8" s="1"/>
  <c r="X207" i="3"/>
  <c r="AW53" i="8" s="1"/>
  <c r="X441" i="3"/>
  <c r="AW105" i="8" s="1"/>
  <c r="X297" i="3"/>
  <c r="AW73" i="8" s="1"/>
  <c r="X434" i="3"/>
  <c r="AY103" i="8" s="1"/>
  <c r="X353" i="3"/>
  <c r="AY85" i="8" s="1"/>
  <c r="X288" i="3"/>
  <c r="AW71" i="8" s="1"/>
  <c r="X425" i="3"/>
  <c r="AY101" i="8" s="1"/>
  <c r="X281" i="3"/>
  <c r="AY69" i="8" s="1"/>
  <c r="X421" i="3"/>
  <c r="W421" i="3" s="1"/>
  <c r="X387" i="3"/>
  <c r="AW93" i="8" s="1"/>
  <c r="X306" i="3"/>
  <c r="AW75" i="8" s="1"/>
  <c r="X241" i="3"/>
  <c r="AU61" i="8" s="1"/>
  <c r="AT61" i="8" s="1"/>
  <c r="X394" i="3"/>
  <c r="AU95" i="8" s="1"/>
  <c r="AT95" i="8" s="1"/>
  <c r="X250" i="3"/>
  <c r="AU63" i="8" s="1"/>
  <c r="AT63" i="8" s="1"/>
  <c r="X295" i="3"/>
  <c r="AU73" i="8" s="1"/>
  <c r="AT73" i="8" s="1"/>
  <c r="X340" i="3"/>
  <c r="AU83" i="8" s="1"/>
  <c r="AT83" i="8" s="1"/>
  <c r="X180" i="3"/>
  <c r="AW47" i="8" s="1"/>
  <c r="X360" i="3"/>
  <c r="AW87" i="8" s="1"/>
  <c r="X187" i="3"/>
  <c r="AU49" i="8" s="1"/>
  <c r="X308" i="3"/>
  <c r="AY75" i="8" s="1"/>
  <c r="X443" i="3"/>
  <c r="AY105" i="8" s="1"/>
  <c r="X299" i="3"/>
  <c r="AY73" i="8" s="1"/>
  <c r="X502" i="3"/>
  <c r="AU119" i="8" s="1"/>
  <c r="AT119" i="8" s="1"/>
  <c r="X389" i="3"/>
  <c r="AY93" i="8" s="1"/>
  <c r="X261" i="3"/>
  <c r="AW65" i="8" s="1"/>
  <c r="X349" i="3"/>
  <c r="AU85" i="8" s="1"/>
  <c r="AT85" i="8" s="1"/>
  <c r="X362" i="3"/>
  <c r="AY87" i="8" s="1"/>
  <c r="X205" i="3"/>
  <c r="AU53" i="8" s="1"/>
  <c r="AT53" i="8" s="1"/>
  <c r="X484" i="3"/>
  <c r="AU115" i="8" s="1"/>
  <c r="AT115" i="8" s="1"/>
  <c r="X326" i="3"/>
  <c r="AY79" i="8" s="1"/>
  <c r="X198" i="3"/>
  <c r="AW51" i="8" s="1"/>
  <c r="X351" i="3"/>
  <c r="AW85" i="8" s="1"/>
  <c r="X189" i="3"/>
  <c r="AW49" i="8" s="1"/>
  <c r="X452" i="3"/>
  <c r="AY107" i="8" s="1"/>
  <c r="X263" i="3"/>
  <c r="AY65" i="8" s="1"/>
  <c r="X182" i="3"/>
  <c r="AY47" i="8" s="1"/>
  <c r="X322" i="3"/>
  <c r="AU79" i="8" s="1"/>
  <c r="AT79" i="8" s="1"/>
  <c r="X225" i="3"/>
  <c r="AW57" i="8" s="1"/>
  <c r="X439" i="3"/>
  <c r="AU105" i="8" s="1"/>
  <c r="AT105" i="8" s="1"/>
  <c r="X232" i="3"/>
  <c r="AU59" i="8" s="1"/>
  <c r="AT59" i="8" s="1"/>
  <c r="X369" i="3"/>
  <c r="AW89" i="8" s="1"/>
  <c r="X209" i="3"/>
  <c r="AY53" i="8" s="1"/>
  <c r="X223" i="3"/>
  <c r="AU57" i="8" s="1"/>
  <c r="X358" i="3"/>
  <c r="AU87" i="8" s="1"/>
  <c r="AT87" i="8" s="1"/>
  <c r="X216" i="3"/>
  <c r="AW55" i="8" s="1"/>
  <c r="X324" i="3"/>
  <c r="AW79" i="8" s="1"/>
  <c r="X191" i="3"/>
  <c r="AY49" i="8" s="1"/>
  <c r="X315" i="3"/>
  <c r="AW77" i="8" s="1"/>
  <c r="X313" i="3"/>
  <c r="AU77" i="8" s="1"/>
  <c r="AT77" i="8" s="1"/>
  <c r="X200" i="3"/>
  <c r="AY51" i="8" s="1"/>
  <c r="X245" i="3"/>
  <c r="AY61" i="8" s="1"/>
  <c r="X236" i="3"/>
  <c r="AY59" i="8" s="1"/>
  <c r="X234" i="3"/>
  <c r="AW59" i="8" s="1"/>
  <c r="X151" i="3"/>
  <c r="AU41" i="8" s="1"/>
  <c r="X214" i="3"/>
  <c r="AU55" i="8" s="1"/>
  <c r="AT55" i="8" s="1"/>
  <c r="X493" i="3"/>
  <c r="AU117" i="8" s="1"/>
  <c r="AT117" i="8" s="1"/>
  <c r="X333" i="3"/>
  <c r="AW81" i="8" s="1"/>
  <c r="X171" i="3"/>
  <c r="AW45" i="8" s="1"/>
  <c r="X153" i="3"/>
  <c r="AW41" i="8" s="1"/>
  <c r="X461" i="3"/>
  <c r="AY109" i="8" s="1"/>
  <c r="X459" i="3"/>
  <c r="AW109" i="8" s="1"/>
  <c r="X254" i="3"/>
  <c r="AY63" i="8" s="1"/>
  <c r="X488" i="3"/>
  <c r="AY115" i="8" s="1"/>
  <c r="X155" i="3"/>
  <c r="AY41" i="8" s="1"/>
  <c r="X243" i="3"/>
  <c r="AW61" i="8" s="1"/>
  <c r="AU113" i="8"/>
  <c r="AT113" i="8" s="1"/>
  <c r="W475" i="3"/>
  <c r="AY119" i="8"/>
  <c r="W506" i="3"/>
  <c r="AW115" i="8"/>
  <c r="W486" i="3"/>
  <c r="AU43" i="8"/>
  <c r="W160" i="3"/>
  <c r="AY97" i="8"/>
  <c r="W407" i="3"/>
  <c r="AW107" i="8"/>
  <c r="W450" i="3"/>
  <c r="AU103" i="8"/>
  <c r="AT103" i="8" s="1"/>
  <c r="W430" i="3"/>
  <c r="AW91" i="8"/>
  <c r="W378" i="3"/>
  <c r="AW111" i="8"/>
  <c r="W468" i="3"/>
  <c r="I215" i="8"/>
  <c r="F532" i="3"/>
  <c r="I301" i="8"/>
  <c r="F552" i="3"/>
  <c r="I388" i="8"/>
  <c r="F572" i="3"/>
  <c r="I475" i="8"/>
  <c r="F592" i="3"/>
  <c r="I561" i="8"/>
  <c r="F612" i="3"/>
  <c r="I648" i="8"/>
  <c r="F632" i="3"/>
  <c r="I735" i="8"/>
  <c r="F652" i="3"/>
  <c r="I306" i="8"/>
  <c r="F553" i="3"/>
  <c r="I566" i="8"/>
  <c r="F613" i="3"/>
  <c r="I652" i="8"/>
  <c r="F633" i="3"/>
  <c r="I310" i="8"/>
  <c r="F554" i="3"/>
  <c r="I479" i="8"/>
  <c r="F593" i="3"/>
  <c r="I228" i="8"/>
  <c r="F535" i="3"/>
  <c r="I314" i="8"/>
  <c r="F555" i="3"/>
  <c r="I401" i="8"/>
  <c r="F575" i="3"/>
  <c r="I488" i="8"/>
  <c r="F595" i="3"/>
  <c r="I574" i="8"/>
  <c r="F615" i="3"/>
  <c r="I661" i="8"/>
  <c r="F635" i="3"/>
  <c r="I748" i="8"/>
  <c r="F655" i="3"/>
  <c r="I219" i="8"/>
  <c r="F533" i="3"/>
  <c r="I397" i="8"/>
  <c r="F574" i="3"/>
  <c r="I232" i="8"/>
  <c r="F536" i="3"/>
  <c r="I319" i="8"/>
  <c r="F556" i="3"/>
  <c r="I405" i="8"/>
  <c r="F576" i="3"/>
  <c r="I492" i="8"/>
  <c r="F596" i="3"/>
  <c r="I579" i="8"/>
  <c r="F616" i="3"/>
  <c r="I665" i="8"/>
  <c r="F636" i="3"/>
  <c r="I752" i="8"/>
  <c r="F656" i="3"/>
  <c r="I392" i="8"/>
  <c r="F573" i="3"/>
  <c r="I236" i="8"/>
  <c r="F537" i="3"/>
  <c r="I323" i="8"/>
  <c r="F557" i="3"/>
  <c r="I410" i="8"/>
  <c r="F577" i="3"/>
  <c r="I496" i="8"/>
  <c r="F597" i="3"/>
  <c r="I583" i="8"/>
  <c r="F617" i="3"/>
  <c r="I670" i="8"/>
  <c r="F637" i="3"/>
  <c r="I756" i="8"/>
  <c r="F657" i="3"/>
  <c r="I223" i="8"/>
  <c r="F534" i="3"/>
  <c r="I483" i="8"/>
  <c r="F594" i="3"/>
  <c r="I241" i="8"/>
  <c r="F538" i="3"/>
  <c r="I327" i="8"/>
  <c r="F558" i="3"/>
  <c r="I414" i="8"/>
  <c r="F578" i="3"/>
  <c r="I501" i="8"/>
  <c r="F598" i="3"/>
  <c r="I587" i="8"/>
  <c r="F618" i="3"/>
  <c r="I674" i="8"/>
  <c r="F638" i="3"/>
  <c r="I761" i="8"/>
  <c r="F658" i="3"/>
  <c r="I657" i="8"/>
  <c r="F634" i="3"/>
  <c r="I245" i="8"/>
  <c r="F539" i="3"/>
  <c r="I332" i="8"/>
  <c r="F559" i="3"/>
  <c r="I418" i="8"/>
  <c r="F579" i="3"/>
  <c r="I505" i="8"/>
  <c r="F599" i="3"/>
  <c r="I592" i="8"/>
  <c r="F619" i="3"/>
  <c r="I678" i="8"/>
  <c r="F639" i="3"/>
  <c r="I765" i="8"/>
  <c r="F659" i="3"/>
  <c r="I570" i="8"/>
  <c r="F614" i="3"/>
  <c r="I163" i="8"/>
  <c r="F520" i="3"/>
  <c r="I249" i="8"/>
  <c r="F540" i="3"/>
  <c r="I336" i="8"/>
  <c r="F560" i="3"/>
  <c r="I423" i="8"/>
  <c r="F580" i="3"/>
  <c r="I509" i="8"/>
  <c r="F600" i="3"/>
  <c r="I596" i="8"/>
  <c r="F620" i="3"/>
  <c r="I683" i="8"/>
  <c r="F640" i="3"/>
  <c r="I769" i="8"/>
  <c r="F660" i="3"/>
  <c r="I743" i="8"/>
  <c r="F654" i="3"/>
  <c r="I167" i="8"/>
  <c r="F521" i="3"/>
  <c r="I254" i="8"/>
  <c r="F541" i="3"/>
  <c r="I340" i="8"/>
  <c r="F561" i="3"/>
  <c r="I427" i="8"/>
  <c r="F581" i="3"/>
  <c r="I514" i="8"/>
  <c r="F601" i="3"/>
  <c r="I600" i="8"/>
  <c r="F621" i="3"/>
  <c r="I687" i="8"/>
  <c r="F641" i="3"/>
  <c r="I774" i="8"/>
  <c r="F661" i="3"/>
  <c r="I739" i="8"/>
  <c r="F653" i="3"/>
  <c r="I171" i="8"/>
  <c r="F522" i="3"/>
  <c r="I258" i="8"/>
  <c r="F542" i="3"/>
  <c r="I345" i="8"/>
  <c r="F562" i="3"/>
  <c r="I431" i="8"/>
  <c r="F582" i="3"/>
  <c r="I518" i="8"/>
  <c r="F602" i="3"/>
  <c r="I605" i="8"/>
  <c r="F622" i="3"/>
  <c r="I691" i="8"/>
  <c r="F642" i="3"/>
  <c r="I778" i="8"/>
  <c r="F662" i="3"/>
  <c r="I696" i="8"/>
  <c r="F643" i="3"/>
  <c r="I522" i="8"/>
  <c r="F603" i="3"/>
  <c r="I613" i="8"/>
  <c r="F624" i="3"/>
  <c r="I700" i="8"/>
  <c r="F644" i="3"/>
  <c r="I184" i="8"/>
  <c r="F525" i="3"/>
  <c r="I271" i="8"/>
  <c r="F545" i="3"/>
  <c r="I358" i="8"/>
  <c r="F565" i="3"/>
  <c r="I444" i="8"/>
  <c r="F585" i="3"/>
  <c r="I531" i="8"/>
  <c r="F605" i="3"/>
  <c r="I618" i="8"/>
  <c r="F625" i="3"/>
  <c r="I704" i="8"/>
  <c r="F645" i="3"/>
  <c r="I176" i="8"/>
  <c r="F523" i="3"/>
  <c r="I440" i="8"/>
  <c r="F584" i="3"/>
  <c r="I189" i="8"/>
  <c r="F526" i="3"/>
  <c r="I275" i="8"/>
  <c r="F546" i="3"/>
  <c r="I362" i="8"/>
  <c r="F566" i="3"/>
  <c r="I449" i="8"/>
  <c r="F586" i="3"/>
  <c r="I535" i="8"/>
  <c r="F606" i="3"/>
  <c r="I622" i="8"/>
  <c r="F626" i="3"/>
  <c r="I709" i="8"/>
  <c r="F646" i="3"/>
  <c r="I262" i="8"/>
  <c r="F543" i="3"/>
  <c r="I267" i="8"/>
  <c r="F544" i="3"/>
  <c r="I193" i="8"/>
  <c r="F527" i="3"/>
  <c r="I280" i="8"/>
  <c r="F547" i="3"/>
  <c r="I366" i="8"/>
  <c r="F567" i="3"/>
  <c r="I453" i="8"/>
  <c r="F587" i="3"/>
  <c r="I540" i="8"/>
  <c r="F607" i="3"/>
  <c r="I626" i="8"/>
  <c r="F627" i="3"/>
  <c r="I713" i="8"/>
  <c r="F647" i="3"/>
  <c r="I349" i="8"/>
  <c r="F563" i="3"/>
  <c r="I353" i="8"/>
  <c r="F564" i="3"/>
  <c r="I197" i="8"/>
  <c r="F528" i="3"/>
  <c r="I284" i="8"/>
  <c r="F548" i="3"/>
  <c r="I371" i="8"/>
  <c r="F568" i="3"/>
  <c r="I457" i="8"/>
  <c r="F588" i="3"/>
  <c r="I544" i="8"/>
  <c r="F608" i="3"/>
  <c r="I631" i="8"/>
  <c r="F628" i="3"/>
  <c r="I717" i="8"/>
  <c r="F648" i="3"/>
  <c r="I436" i="8"/>
  <c r="F583" i="3"/>
  <c r="I782" i="8"/>
  <c r="F663" i="3"/>
  <c r="I202" i="8"/>
  <c r="F529" i="3"/>
  <c r="I288" i="8"/>
  <c r="F549" i="3"/>
  <c r="I375" i="8"/>
  <c r="F569" i="3"/>
  <c r="I462" i="8"/>
  <c r="F589" i="3"/>
  <c r="I548" i="8"/>
  <c r="F609" i="3"/>
  <c r="I635" i="8"/>
  <c r="F629" i="3"/>
  <c r="I722" i="8"/>
  <c r="F649" i="3"/>
  <c r="I527" i="8"/>
  <c r="F604" i="3"/>
  <c r="I206" i="8"/>
  <c r="F530" i="3"/>
  <c r="I293" i="8"/>
  <c r="F550" i="3"/>
  <c r="I379" i="8"/>
  <c r="F570" i="3"/>
  <c r="I466" i="8"/>
  <c r="F590" i="3"/>
  <c r="I553" i="8"/>
  <c r="F610" i="3"/>
  <c r="I639" i="8"/>
  <c r="F630" i="3"/>
  <c r="I726" i="8"/>
  <c r="F650" i="3"/>
  <c r="I609" i="8"/>
  <c r="F623" i="3"/>
  <c r="I180" i="8"/>
  <c r="F524" i="3"/>
  <c r="I210" i="8"/>
  <c r="F531" i="3"/>
  <c r="I297" i="8"/>
  <c r="F551" i="3"/>
  <c r="I384" i="8"/>
  <c r="F571" i="3"/>
  <c r="I470" i="8"/>
  <c r="F591" i="3"/>
  <c r="I557" i="8"/>
  <c r="F611" i="3"/>
  <c r="I644" i="8"/>
  <c r="F631" i="3"/>
  <c r="I730" i="8"/>
  <c r="F651" i="3"/>
  <c r="I158" i="8"/>
  <c r="I154" i="8"/>
  <c r="I150" i="8"/>
  <c r="X272" i="3"/>
  <c r="X227" i="3"/>
  <c r="X290" i="3"/>
  <c r="Y170" i="3"/>
  <c r="Y161" i="3"/>
  <c r="Y197" i="3"/>
  <c r="Y152" i="3"/>
  <c r="X152" i="3" s="1"/>
  <c r="W152" i="3" s="1"/>
  <c r="Y188" i="3"/>
  <c r="X188" i="3" s="1"/>
  <c r="Y179" i="3"/>
  <c r="AA449" i="3"/>
  <c r="X449" i="3" s="1"/>
  <c r="AA170" i="3"/>
  <c r="AA404" i="3"/>
  <c r="X404" i="3" s="1"/>
  <c r="AA431" i="3"/>
  <c r="X431" i="3" s="1"/>
  <c r="AA287" i="3"/>
  <c r="X287" i="3" s="1"/>
  <c r="AA350" i="3"/>
  <c r="X350" i="3" s="1"/>
  <c r="AA395" i="3"/>
  <c r="X395" i="3" s="1"/>
  <c r="AA260" i="3"/>
  <c r="X260" i="3" s="1"/>
  <c r="AA224" i="3"/>
  <c r="X224" i="3" s="1"/>
  <c r="AA197" i="3"/>
  <c r="AA278" i="3"/>
  <c r="X278" i="3" s="1"/>
  <c r="AA305" i="3"/>
  <c r="X305" i="3" s="1"/>
  <c r="AA179" i="3"/>
  <c r="AA161" i="3"/>
  <c r="AA215" i="3"/>
  <c r="X215" i="3" s="1"/>
  <c r="W396" i="3" l="1"/>
  <c r="W214" i="3"/>
  <c r="W225" i="3"/>
  <c r="W493" i="3"/>
  <c r="W279" i="3"/>
  <c r="W169" i="3"/>
  <c r="W385" i="3"/>
  <c r="W286" i="3"/>
  <c r="W367" i="3"/>
  <c r="W362" i="3"/>
  <c r="W277" i="3"/>
  <c r="W234" i="3"/>
  <c r="W358" i="3"/>
  <c r="W268" i="3"/>
  <c r="W288" i="3"/>
  <c r="W380" i="3"/>
  <c r="W333" i="3"/>
  <c r="W151" i="3"/>
  <c r="W369" i="3"/>
  <c r="W488" i="3"/>
  <c r="W416" i="3"/>
  <c r="W448" i="3"/>
  <c r="W425" i="3"/>
  <c r="W236" i="3"/>
  <c r="W207" i="3"/>
  <c r="W344" i="3"/>
  <c r="W209" i="3"/>
  <c r="W191" i="3"/>
  <c r="W322" i="3"/>
  <c r="W452" i="3"/>
  <c r="W254" i="3"/>
  <c r="W443" i="3"/>
  <c r="W459" i="3"/>
  <c r="W340" i="3"/>
  <c r="W353" i="3"/>
  <c r="W349" i="3"/>
  <c r="W297" i="3"/>
  <c r="W261" i="3"/>
  <c r="W324" i="3"/>
  <c r="W502" i="3"/>
  <c r="W497" i="3"/>
  <c r="W216" i="3"/>
  <c r="W299" i="3"/>
  <c r="W479" i="3"/>
  <c r="W295" i="3"/>
  <c r="W162" i="3"/>
  <c r="W223" i="3"/>
  <c r="W414" i="3"/>
  <c r="W495" i="3"/>
  <c r="W218" i="3"/>
  <c r="W243" i="3"/>
  <c r="W182" i="3"/>
  <c r="W250" i="3"/>
  <c r="W155" i="3"/>
  <c r="W263" i="3"/>
  <c r="W306" i="3"/>
  <c r="W317" i="3"/>
  <c r="W198" i="3"/>
  <c r="W470" i="3"/>
  <c r="W178" i="3"/>
  <c r="AV97" i="8"/>
  <c r="W404" i="3"/>
  <c r="W259" i="3"/>
  <c r="W326" i="3"/>
  <c r="W360" i="3"/>
  <c r="W441" i="3"/>
  <c r="W484" i="3"/>
  <c r="AV107" i="8"/>
  <c r="W449" i="3"/>
  <c r="W315" i="3"/>
  <c r="W205" i="3"/>
  <c r="W403" i="3"/>
  <c r="W313" i="3"/>
  <c r="W376" i="3"/>
  <c r="W371" i="3"/>
  <c r="W461" i="3"/>
  <c r="W232" i="3"/>
  <c r="W180" i="3"/>
  <c r="W504" i="3"/>
  <c r="W241" i="3"/>
  <c r="AV55" i="8"/>
  <c r="W215" i="3"/>
  <c r="W342" i="3"/>
  <c r="W153" i="3"/>
  <c r="W439" i="3"/>
  <c r="W389" i="3"/>
  <c r="W394" i="3"/>
  <c r="W432" i="3"/>
  <c r="W171" i="3"/>
  <c r="W252" i="3"/>
  <c r="W335" i="3"/>
  <c r="W164" i="3"/>
  <c r="AV75" i="8"/>
  <c r="W305" i="3"/>
  <c r="W387" i="3"/>
  <c r="AV69" i="8"/>
  <c r="W278" i="3"/>
  <c r="W196" i="3"/>
  <c r="W398" i="3"/>
  <c r="W281" i="3"/>
  <c r="W423" i="3"/>
  <c r="W189" i="3"/>
  <c r="AV95" i="8"/>
  <c r="W395" i="3"/>
  <c r="W457" i="3"/>
  <c r="AV85" i="8"/>
  <c r="W350" i="3"/>
  <c r="W173" i="3"/>
  <c r="W245" i="3"/>
  <c r="W270" i="3"/>
  <c r="W308" i="3"/>
  <c r="W434" i="3"/>
  <c r="W304" i="3"/>
  <c r="W477" i="3"/>
  <c r="AV71" i="8"/>
  <c r="W287" i="3"/>
  <c r="W412" i="3"/>
  <c r="W200" i="3"/>
  <c r="W351" i="3"/>
  <c r="W405" i="3"/>
  <c r="W466" i="3"/>
  <c r="AV57" i="8"/>
  <c r="W224" i="3"/>
  <c r="AV65" i="8"/>
  <c r="W260" i="3"/>
  <c r="AV103" i="8"/>
  <c r="W431" i="3"/>
  <c r="W187" i="3"/>
  <c r="X197" i="3"/>
  <c r="AV51" i="8" s="1"/>
  <c r="AT51" i="8" s="1"/>
  <c r="X170" i="3"/>
  <c r="AV45" i="8" s="1"/>
  <c r="AT45" i="8" s="1"/>
  <c r="AU81" i="8"/>
  <c r="AT81" i="8" s="1"/>
  <c r="AU101" i="8"/>
  <c r="AT101" i="8" s="1"/>
  <c r="X161" i="3"/>
  <c r="AV43" i="8" s="1"/>
  <c r="AT43" i="8" s="1"/>
  <c r="X179" i="3"/>
  <c r="AV47" i="8" s="1"/>
  <c r="AT47" i="8" s="1"/>
  <c r="AY67" i="8"/>
  <c r="AT67" i="8" s="1"/>
  <c r="W272" i="3"/>
  <c r="AV49" i="8"/>
  <c r="AT49" i="8" s="1"/>
  <c r="W188" i="3"/>
  <c r="AY71" i="8"/>
  <c r="AT71" i="8" s="1"/>
  <c r="W290" i="3"/>
  <c r="AY57" i="8"/>
  <c r="AT57" i="8" s="1"/>
  <c r="W227" i="3"/>
  <c r="AV41" i="8"/>
  <c r="AT41" i="8" s="1"/>
  <c r="Z158" i="1"/>
  <c r="F669" i="3" s="1"/>
  <c r="F804" i="8" s="1"/>
  <c r="AR804" i="8" s="1"/>
  <c r="Z160" i="1"/>
  <c r="F670" i="3" s="1"/>
  <c r="AB516" i="3"/>
  <c r="AB517" i="3"/>
  <c r="AB518" i="3"/>
  <c r="AB519" i="3"/>
  <c r="AB520" i="3"/>
  <c r="AB521" i="3"/>
  <c r="AB522" i="3"/>
  <c r="AB523" i="3"/>
  <c r="AB524" i="3"/>
  <c r="AB525" i="3"/>
  <c r="AB526" i="3"/>
  <c r="AB527" i="3"/>
  <c r="AB528" i="3"/>
  <c r="AB529" i="3"/>
  <c r="AB530" i="3"/>
  <c r="AB531" i="3"/>
  <c r="AB532" i="3"/>
  <c r="AB533" i="3"/>
  <c r="AB534" i="3"/>
  <c r="AB535" i="3"/>
  <c r="AB536" i="3"/>
  <c r="AB537" i="3"/>
  <c r="AB538" i="3"/>
  <c r="AB539" i="3"/>
  <c r="AB540" i="3"/>
  <c r="AB541" i="3"/>
  <c r="AB542" i="3"/>
  <c r="AB543" i="3"/>
  <c r="AB515" i="3"/>
  <c r="W179" i="3" l="1"/>
  <c r="W161" i="3"/>
  <c r="W170" i="3"/>
  <c r="W197" i="3"/>
  <c r="F806" i="8"/>
  <c r="AR806" i="8" s="1"/>
  <c r="I134" i="1" l="1"/>
  <c r="Y183" i="1"/>
  <c r="Y78" i="1"/>
  <c r="Y229" i="1"/>
  <c r="Y214" i="1"/>
  <c r="Y94" i="1"/>
  <c r="Y12" i="1"/>
  <c r="H245" i="1" l="1"/>
  <c r="D248" i="1"/>
  <c r="I130" i="1"/>
  <c r="F515" i="3"/>
  <c r="I138" i="1"/>
  <c r="E69" i="3"/>
  <c r="G69" i="3" s="1"/>
  <c r="E68" i="3"/>
  <c r="G68" i="3" s="1"/>
  <c r="E67" i="3"/>
  <c r="G67" i="3" s="1"/>
  <c r="E64" i="3"/>
  <c r="F64" i="3" s="1"/>
  <c r="G64" i="3" s="1"/>
  <c r="D34" i="3"/>
  <c r="E34" i="3" s="1"/>
  <c r="D33" i="3"/>
  <c r="D32" i="3"/>
  <c r="D31" i="3"/>
  <c r="D24" i="3"/>
  <c r="D23" i="3"/>
  <c r="D22" i="3"/>
  <c r="D12" i="3"/>
  <c r="E12" i="3" s="1"/>
  <c r="H139" i="8" l="1"/>
  <c r="T515" i="3"/>
  <c r="S515" i="3"/>
  <c r="R515" i="3"/>
  <c r="Q515" i="3"/>
  <c r="O515" i="3"/>
  <c r="M515" i="3"/>
  <c r="L515" i="3"/>
  <c r="G515" i="3"/>
  <c r="N515" i="3"/>
  <c r="AG59" i="4"/>
  <c r="AG59" i="15"/>
  <c r="AG59" i="14"/>
  <c r="K515" i="3" l="1"/>
  <c r="J515" i="3"/>
  <c r="I515" i="3"/>
  <c r="H515" i="3"/>
  <c r="P515" i="3"/>
  <c r="Y515" i="3"/>
  <c r="S59" i="4"/>
  <c r="S59" i="15"/>
  <c r="S59" i="14"/>
  <c r="F12" i="3"/>
  <c r="B14" i="16" s="1"/>
  <c r="D11" i="3"/>
  <c r="F11" i="3" s="1"/>
  <c r="B12" i="16" s="1"/>
  <c r="D10" i="3"/>
  <c r="F10" i="3" s="1"/>
  <c r="B11" i="16" s="1"/>
  <c r="D9" i="3"/>
  <c r="F9" i="3" s="1"/>
  <c r="B10" i="16" s="1"/>
  <c r="P252" i="1"/>
  <c r="N252" i="1"/>
  <c r="L252" i="1"/>
  <c r="J252" i="1"/>
  <c r="H252" i="1"/>
  <c r="F252" i="1"/>
  <c r="D252" i="1"/>
  <c r="C98" i="1"/>
  <c r="J96" i="1"/>
  <c r="D96" i="1"/>
  <c r="J38" i="1"/>
  <c r="J145" i="15" l="1"/>
  <c r="AF11" i="14"/>
  <c r="AF11" i="15"/>
  <c r="J345" i="14"/>
  <c r="AF9" i="14"/>
  <c r="AF9" i="15"/>
  <c r="P61" i="1"/>
  <c r="C44" i="1"/>
  <c r="C49" i="1"/>
  <c r="D61" i="1"/>
  <c r="L61" i="1"/>
  <c r="C66" i="1"/>
  <c r="AF27" i="3" l="1"/>
  <c r="AA39" i="3" l="1"/>
  <c r="AA38" i="3"/>
  <c r="AA24" i="3"/>
  <c r="AA23" i="3"/>
  <c r="AA15" i="3"/>
  <c r="AA14" i="3"/>
  <c r="AF668" i="3" l="1"/>
  <c r="AB820" i="3"/>
  <c r="F21" i="8" l="1"/>
  <c r="AE516" i="3"/>
  <c r="AE515" i="3"/>
  <c r="AD516" i="3" s="1"/>
  <c r="G670" i="3" l="1"/>
  <c r="G669" i="3"/>
  <c r="G668" i="3"/>
  <c r="I668" i="3"/>
  <c r="I669" i="3"/>
  <c r="I670" i="3"/>
  <c r="H79" i="14" l="1"/>
  <c r="H99" i="14"/>
  <c r="H80" i="14"/>
  <c r="H100" i="14"/>
  <c r="H78" i="14"/>
  <c r="H81" i="14"/>
  <c r="H101" i="14"/>
  <c r="H82" i="14"/>
  <c r="H102" i="14"/>
  <c r="H83" i="14"/>
  <c r="H103" i="14"/>
  <c r="H84" i="14"/>
  <c r="H104" i="14"/>
  <c r="H85" i="14"/>
  <c r="H105" i="14"/>
  <c r="H86" i="14"/>
  <c r="H106" i="14"/>
  <c r="H60" i="4"/>
  <c r="H67" i="14"/>
  <c r="H87" i="14"/>
  <c r="H107" i="14"/>
  <c r="H68" i="15"/>
  <c r="H68" i="14"/>
  <c r="H88" i="14"/>
  <c r="H108" i="14"/>
  <c r="H67" i="15"/>
  <c r="H69" i="14"/>
  <c r="H89" i="14"/>
  <c r="H61" i="14"/>
  <c r="S61" i="14" s="1"/>
  <c r="H66" i="15"/>
  <c r="H70" i="14"/>
  <c r="H90" i="14"/>
  <c r="H62" i="14"/>
  <c r="S62" i="14" s="1"/>
  <c r="H65" i="15"/>
  <c r="H71" i="14"/>
  <c r="H91" i="14"/>
  <c r="H63" i="14"/>
  <c r="H64" i="15"/>
  <c r="H72" i="14"/>
  <c r="H92" i="14"/>
  <c r="H64" i="14"/>
  <c r="H63" i="15"/>
  <c r="H73" i="14"/>
  <c r="H93" i="14"/>
  <c r="H65" i="14"/>
  <c r="H97" i="14"/>
  <c r="H62" i="15"/>
  <c r="H74" i="14"/>
  <c r="H94" i="14"/>
  <c r="H66" i="14"/>
  <c r="H61" i="15"/>
  <c r="H75" i="14"/>
  <c r="H95" i="14"/>
  <c r="H60" i="14"/>
  <c r="H77" i="14"/>
  <c r="H60" i="15"/>
  <c r="H76" i="14"/>
  <c r="H96" i="14"/>
  <c r="H98" i="14"/>
  <c r="D710" i="3"/>
  <c r="D735" i="3"/>
  <c r="D747" i="3"/>
  <c r="D760" i="3"/>
  <c r="D785" i="3"/>
  <c r="D797" i="3"/>
  <c r="D810" i="3"/>
  <c r="D812" i="3"/>
  <c r="D723" i="3"/>
  <c r="D773" i="3"/>
  <c r="D698" i="3"/>
  <c r="D711" i="3"/>
  <c r="D736" i="3"/>
  <c r="D748" i="3"/>
  <c r="D761" i="3"/>
  <c r="D786" i="3"/>
  <c r="D798" i="3"/>
  <c r="D811" i="3"/>
  <c r="D699" i="3"/>
  <c r="D712" i="3"/>
  <c r="D724" i="3"/>
  <c r="D749" i="3"/>
  <c r="D762" i="3"/>
  <c r="D774" i="3"/>
  <c r="D799" i="3"/>
  <c r="D700" i="3"/>
  <c r="D725" i="3"/>
  <c r="D737" i="3"/>
  <c r="D750" i="3"/>
  <c r="D775" i="3"/>
  <c r="D787" i="3"/>
  <c r="D800" i="3"/>
  <c r="D813" i="3"/>
  <c r="D713" i="3"/>
  <c r="D763" i="3"/>
  <c r="D701" i="3"/>
  <c r="D726" i="3"/>
  <c r="D738" i="3"/>
  <c r="D751" i="3"/>
  <c r="D776" i="3"/>
  <c r="D788" i="3"/>
  <c r="D801" i="3"/>
  <c r="D814" i="3"/>
  <c r="D702" i="3"/>
  <c r="D714" i="3"/>
  <c r="D739" i="3"/>
  <c r="D752" i="3"/>
  <c r="D764" i="3"/>
  <c r="D789" i="3"/>
  <c r="D802" i="3"/>
  <c r="D815" i="3"/>
  <c r="D715" i="3"/>
  <c r="D727" i="3"/>
  <c r="D740" i="3"/>
  <c r="D765" i="3"/>
  <c r="D777" i="3"/>
  <c r="D790" i="3"/>
  <c r="D746" i="3"/>
  <c r="D703" i="3"/>
  <c r="D753" i="3"/>
  <c r="D803" i="3"/>
  <c r="D816" i="3"/>
  <c r="D716" i="3"/>
  <c r="D728" i="3"/>
  <c r="D741" i="3"/>
  <c r="D766" i="3"/>
  <c r="D778" i="3"/>
  <c r="D791" i="3"/>
  <c r="D808" i="3"/>
  <c r="D704" i="3"/>
  <c r="D729" i="3"/>
  <c r="D742" i="3"/>
  <c r="D754" i="3"/>
  <c r="D779" i="3"/>
  <c r="D792" i="3"/>
  <c r="D804" i="3"/>
  <c r="D817" i="3"/>
  <c r="D758" i="3"/>
  <c r="D705" i="3"/>
  <c r="D717" i="3"/>
  <c r="D730" i="3"/>
  <c r="D755" i="3"/>
  <c r="D767" i="3"/>
  <c r="D780" i="3"/>
  <c r="D805" i="3"/>
  <c r="D743" i="3"/>
  <c r="D793" i="3"/>
  <c r="D706" i="3"/>
  <c r="D718" i="3"/>
  <c r="D731" i="3"/>
  <c r="D756" i="3"/>
  <c r="D768" i="3"/>
  <c r="D781" i="3"/>
  <c r="D806" i="3"/>
  <c r="D719" i="3"/>
  <c r="D732" i="3"/>
  <c r="D744" i="3"/>
  <c r="D769" i="3"/>
  <c r="D782" i="3"/>
  <c r="D794" i="3"/>
  <c r="D708" i="3"/>
  <c r="D707" i="3"/>
  <c r="D720" i="3"/>
  <c r="D745" i="3"/>
  <c r="D757" i="3"/>
  <c r="D770" i="3"/>
  <c r="D795" i="3"/>
  <c r="D807" i="3"/>
  <c r="D771" i="3"/>
  <c r="D733" i="3"/>
  <c r="D783" i="3"/>
  <c r="D721" i="3"/>
  <c r="D709" i="3"/>
  <c r="D722" i="3"/>
  <c r="D734" i="3"/>
  <c r="D759" i="3"/>
  <c r="D772" i="3"/>
  <c r="D784" i="3"/>
  <c r="D809" i="3"/>
  <c r="D796" i="3"/>
  <c r="E520" i="3"/>
  <c r="E640" i="3"/>
  <c r="E521" i="3"/>
  <c r="E541" i="3"/>
  <c r="E561" i="3"/>
  <c r="E581" i="3"/>
  <c r="E601" i="3"/>
  <c r="E621" i="3"/>
  <c r="E641" i="3"/>
  <c r="E661" i="3"/>
  <c r="E522" i="3"/>
  <c r="E542" i="3"/>
  <c r="E562" i="3"/>
  <c r="E582" i="3"/>
  <c r="E602" i="3"/>
  <c r="E622" i="3"/>
  <c r="E642" i="3"/>
  <c r="E662" i="3"/>
  <c r="E523" i="3"/>
  <c r="E543" i="3"/>
  <c r="E563" i="3"/>
  <c r="E583" i="3"/>
  <c r="E603" i="3"/>
  <c r="E623" i="3"/>
  <c r="E643" i="3"/>
  <c r="E663" i="3"/>
  <c r="E658" i="3"/>
  <c r="E579" i="3"/>
  <c r="E524" i="3"/>
  <c r="E544" i="3"/>
  <c r="E564" i="3"/>
  <c r="E584" i="3"/>
  <c r="E604" i="3"/>
  <c r="E624" i="3"/>
  <c r="E644" i="3"/>
  <c r="E525" i="3"/>
  <c r="E545" i="3"/>
  <c r="E565" i="3"/>
  <c r="E585" i="3"/>
  <c r="E605" i="3"/>
  <c r="E625" i="3"/>
  <c r="E645" i="3"/>
  <c r="E526" i="3"/>
  <c r="E546" i="3"/>
  <c r="E566" i="3"/>
  <c r="E586" i="3"/>
  <c r="E606" i="3"/>
  <c r="E626" i="3"/>
  <c r="E646" i="3"/>
  <c r="E556" i="3"/>
  <c r="E618" i="3"/>
  <c r="E599" i="3"/>
  <c r="E540" i="3"/>
  <c r="E600" i="3"/>
  <c r="E660" i="3"/>
  <c r="E527" i="3"/>
  <c r="E547" i="3"/>
  <c r="E567" i="3"/>
  <c r="E587" i="3"/>
  <c r="E607" i="3"/>
  <c r="E627" i="3"/>
  <c r="E647" i="3"/>
  <c r="E530" i="3"/>
  <c r="E590" i="3"/>
  <c r="E650" i="3"/>
  <c r="E552" i="3"/>
  <c r="E632" i="3"/>
  <c r="E593" i="3"/>
  <c r="E576" i="3"/>
  <c r="E578" i="3"/>
  <c r="E659" i="3"/>
  <c r="E528" i="3"/>
  <c r="E548" i="3"/>
  <c r="E568" i="3"/>
  <c r="E588" i="3"/>
  <c r="E608" i="3"/>
  <c r="E628" i="3"/>
  <c r="E648" i="3"/>
  <c r="E550" i="3"/>
  <c r="E610" i="3"/>
  <c r="E532" i="3"/>
  <c r="E612" i="3"/>
  <c r="E573" i="3"/>
  <c r="E613" i="3"/>
  <c r="E653" i="3"/>
  <c r="E596" i="3"/>
  <c r="E598" i="3"/>
  <c r="E619" i="3"/>
  <c r="E529" i="3"/>
  <c r="E549" i="3"/>
  <c r="E569" i="3"/>
  <c r="E589" i="3"/>
  <c r="E609" i="3"/>
  <c r="E629" i="3"/>
  <c r="E649" i="3"/>
  <c r="E570" i="3"/>
  <c r="E630" i="3"/>
  <c r="E572" i="3"/>
  <c r="E652" i="3"/>
  <c r="E553" i="3"/>
  <c r="E616" i="3"/>
  <c r="E538" i="3"/>
  <c r="E531" i="3"/>
  <c r="E551" i="3"/>
  <c r="E571" i="3"/>
  <c r="E591" i="3"/>
  <c r="E611" i="3"/>
  <c r="E631" i="3"/>
  <c r="E651" i="3"/>
  <c r="E592" i="3"/>
  <c r="E533" i="3"/>
  <c r="E633" i="3"/>
  <c r="E636" i="3"/>
  <c r="E638" i="3"/>
  <c r="E559" i="3"/>
  <c r="E534" i="3"/>
  <c r="E554" i="3"/>
  <c r="E574" i="3"/>
  <c r="E594" i="3"/>
  <c r="E614" i="3"/>
  <c r="E634" i="3"/>
  <c r="E654" i="3"/>
  <c r="E535" i="3"/>
  <c r="E555" i="3"/>
  <c r="E575" i="3"/>
  <c r="E595" i="3"/>
  <c r="E615" i="3"/>
  <c r="E635" i="3"/>
  <c r="E655" i="3"/>
  <c r="E536" i="3"/>
  <c r="E656" i="3"/>
  <c r="E558" i="3"/>
  <c r="E639" i="3"/>
  <c r="E560" i="3"/>
  <c r="E580" i="3"/>
  <c r="E620" i="3"/>
  <c r="E537" i="3"/>
  <c r="E557" i="3"/>
  <c r="E577" i="3"/>
  <c r="E597" i="3"/>
  <c r="E617" i="3"/>
  <c r="E637" i="3"/>
  <c r="E657" i="3"/>
  <c r="E539" i="3"/>
  <c r="C852" i="3"/>
  <c r="C858" i="3"/>
  <c r="C843" i="3"/>
  <c r="C861" i="3"/>
  <c r="C849" i="3"/>
  <c r="C837" i="3"/>
  <c r="C840" i="3"/>
  <c r="C864" i="3"/>
  <c r="C842" i="3"/>
  <c r="C869" i="3"/>
  <c r="C866" i="3"/>
  <c r="C834" i="3"/>
  <c r="C831" i="3"/>
  <c r="C867" i="3"/>
  <c r="C847" i="3"/>
  <c r="C854" i="3"/>
  <c r="C856" i="3"/>
  <c r="C853" i="3"/>
  <c r="C838" i="3"/>
  <c r="C851" i="3"/>
  <c r="C833" i="3"/>
  <c r="C846" i="3"/>
  <c r="C862" i="3"/>
  <c r="C841" i="3"/>
  <c r="C844" i="3"/>
  <c r="C850" i="3"/>
  <c r="C839" i="3"/>
  <c r="C855" i="3"/>
  <c r="C865" i="3"/>
  <c r="C859" i="3"/>
  <c r="C832" i="3"/>
  <c r="C868" i="3"/>
  <c r="C835" i="3"/>
  <c r="C845" i="3"/>
  <c r="C863" i="3"/>
  <c r="C857" i="3"/>
  <c r="C860" i="3"/>
  <c r="C836" i="3"/>
  <c r="C830" i="3"/>
  <c r="C848" i="3"/>
  <c r="C16" i="8"/>
  <c r="C825" i="3"/>
  <c r="C826" i="3"/>
  <c r="C827" i="3"/>
  <c r="C828" i="3"/>
  <c r="C829" i="3"/>
  <c r="C823" i="3"/>
  <c r="C821" i="3"/>
  <c r="C824" i="3"/>
  <c r="C822" i="3"/>
  <c r="C125" i="8"/>
  <c r="D685" i="3"/>
  <c r="D686" i="3"/>
  <c r="D687" i="3"/>
  <c r="D688" i="3"/>
  <c r="D689" i="3"/>
  <c r="D670" i="3"/>
  <c r="D690" i="3"/>
  <c r="D671" i="3"/>
  <c r="D691" i="3"/>
  <c r="D672" i="3"/>
  <c r="D692" i="3"/>
  <c r="D673" i="3"/>
  <c r="D693" i="3"/>
  <c r="D674" i="3"/>
  <c r="D694" i="3"/>
  <c r="D675" i="3"/>
  <c r="D695" i="3"/>
  <c r="D676" i="3"/>
  <c r="D696" i="3"/>
  <c r="D677" i="3"/>
  <c r="D697" i="3"/>
  <c r="D678" i="3"/>
  <c r="D669" i="3"/>
  <c r="D679" i="3"/>
  <c r="D680" i="3"/>
  <c r="D681" i="3"/>
  <c r="D682" i="3"/>
  <c r="D683" i="3"/>
  <c r="D684" i="3"/>
  <c r="E517" i="3"/>
  <c r="E518" i="3"/>
  <c r="E519" i="3"/>
  <c r="T617" i="3" l="1"/>
  <c r="S617" i="3"/>
  <c r="R617" i="3"/>
  <c r="Q617" i="3"/>
  <c r="Q634" i="3"/>
  <c r="S634" i="3"/>
  <c r="T634" i="3"/>
  <c r="R634" i="3"/>
  <c r="S616" i="3"/>
  <c r="T616" i="3"/>
  <c r="R616" i="3"/>
  <c r="Q616" i="3"/>
  <c r="T532" i="3"/>
  <c r="S532" i="3"/>
  <c r="R532" i="3"/>
  <c r="Q532" i="3"/>
  <c r="T627" i="3"/>
  <c r="S627" i="3"/>
  <c r="R627" i="3"/>
  <c r="Q627" i="3"/>
  <c r="T625" i="3"/>
  <c r="S625" i="3"/>
  <c r="R625" i="3"/>
  <c r="Q625" i="3"/>
  <c r="T563" i="3"/>
  <c r="S563" i="3"/>
  <c r="R563" i="3"/>
  <c r="Q563" i="3"/>
  <c r="T520" i="3"/>
  <c r="S520" i="3"/>
  <c r="Q520" i="3"/>
  <c r="R520" i="3"/>
  <c r="T597" i="3"/>
  <c r="S597" i="3"/>
  <c r="R597" i="3"/>
  <c r="Q597" i="3"/>
  <c r="Q614" i="3"/>
  <c r="T614" i="3"/>
  <c r="S614" i="3"/>
  <c r="R614" i="3"/>
  <c r="T553" i="3"/>
  <c r="S553" i="3"/>
  <c r="R553" i="3"/>
  <c r="Q553" i="3"/>
  <c r="T610" i="3"/>
  <c r="S610" i="3"/>
  <c r="Q610" i="3"/>
  <c r="R610" i="3"/>
  <c r="T607" i="3"/>
  <c r="S607" i="3"/>
  <c r="R607" i="3"/>
  <c r="Q607" i="3"/>
  <c r="T605" i="3"/>
  <c r="S605" i="3"/>
  <c r="R605" i="3"/>
  <c r="Q605" i="3"/>
  <c r="T543" i="3"/>
  <c r="S543" i="3"/>
  <c r="R543" i="3"/>
  <c r="Q543" i="3"/>
  <c r="T577" i="3"/>
  <c r="R577" i="3"/>
  <c r="S577" i="3"/>
  <c r="Q577" i="3"/>
  <c r="Q594" i="3"/>
  <c r="T594" i="3"/>
  <c r="S594" i="3"/>
  <c r="R594" i="3"/>
  <c r="T652" i="3"/>
  <c r="S652" i="3"/>
  <c r="R652" i="3"/>
  <c r="Q652" i="3"/>
  <c r="T550" i="3"/>
  <c r="S550" i="3"/>
  <c r="Q550" i="3"/>
  <c r="R550" i="3"/>
  <c r="T587" i="3"/>
  <c r="R587" i="3"/>
  <c r="S587" i="3"/>
  <c r="Q587" i="3"/>
  <c r="T585" i="3"/>
  <c r="S585" i="3"/>
  <c r="Q585" i="3"/>
  <c r="R585" i="3"/>
  <c r="T523" i="3"/>
  <c r="S523" i="3"/>
  <c r="R523" i="3"/>
  <c r="Q523" i="3"/>
  <c r="T557" i="3"/>
  <c r="R557" i="3"/>
  <c r="S557" i="3"/>
  <c r="Q557" i="3"/>
  <c r="Q574" i="3"/>
  <c r="T574" i="3"/>
  <c r="S574" i="3"/>
  <c r="R574" i="3"/>
  <c r="T572" i="3"/>
  <c r="S572" i="3"/>
  <c r="R572" i="3"/>
  <c r="Q572" i="3"/>
  <c r="T648" i="3"/>
  <c r="S648" i="3"/>
  <c r="R648" i="3"/>
  <c r="Q648" i="3"/>
  <c r="T567" i="3"/>
  <c r="R567" i="3"/>
  <c r="S567" i="3"/>
  <c r="Q567" i="3"/>
  <c r="T565" i="3"/>
  <c r="S565" i="3"/>
  <c r="Q565" i="3"/>
  <c r="R565" i="3"/>
  <c r="T662" i="3"/>
  <c r="S662" i="3"/>
  <c r="R662" i="3"/>
  <c r="Q662" i="3"/>
  <c r="T537" i="3"/>
  <c r="R537" i="3"/>
  <c r="S537" i="3"/>
  <c r="Q537" i="3"/>
  <c r="Q554" i="3"/>
  <c r="T554" i="3"/>
  <c r="S554" i="3"/>
  <c r="R554" i="3"/>
  <c r="T630" i="3"/>
  <c r="S630" i="3"/>
  <c r="Q630" i="3"/>
  <c r="R630" i="3"/>
  <c r="T628" i="3"/>
  <c r="S628" i="3"/>
  <c r="R628" i="3"/>
  <c r="Q628" i="3"/>
  <c r="T547" i="3"/>
  <c r="R547" i="3"/>
  <c r="S547" i="3"/>
  <c r="Q547" i="3"/>
  <c r="T545" i="3"/>
  <c r="S545" i="3"/>
  <c r="R545" i="3"/>
  <c r="Q545" i="3"/>
  <c r="T642" i="3"/>
  <c r="R642" i="3"/>
  <c r="S642" i="3"/>
  <c r="Q642" i="3"/>
  <c r="T620" i="3"/>
  <c r="S620" i="3"/>
  <c r="Q620" i="3"/>
  <c r="R620" i="3"/>
  <c r="T534" i="3"/>
  <c r="S534" i="3"/>
  <c r="Q534" i="3"/>
  <c r="R534" i="3"/>
  <c r="T570" i="3"/>
  <c r="S570" i="3"/>
  <c r="R570" i="3"/>
  <c r="Q570" i="3"/>
  <c r="T608" i="3"/>
  <c r="S608" i="3"/>
  <c r="R608" i="3"/>
  <c r="Q608" i="3"/>
  <c r="T527" i="3"/>
  <c r="R527" i="3"/>
  <c r="S527" i="3"/>
  <c r="Q527" i="3"/>
  <c r="T525" i="3"/>
  <c r="S525" i="3"/>
  <c r="R525" i="3"/>
  <c r="Q525" i="3"/>
  <c r="T622" i="3"/>
  <c r="R622" i="3"/>
  <c r="S622" i="3"/>
  <c r="Q622" i="3"/>
  <c r="T580" i="3"/>
  <c r="S580" i="3"/>
  <c r="R580" i="3"/>
  <c r="Q580" i="3"/>
  <c r="T559" i="3"/>
  <c r="Q559" i="3"/>
  <c r="S559" i="3"/>
  <c r="R559" i="3"/>
  <c r="Q649" i="3"/>
  <c r="T649" i="3"/>
  <c r="S649" i="3"/>
  <c r="R649" i="3"/>
  <c r="T588" i="3"/>
  <c r="S588" i="3"/>
  <c r="R588" i="3"/>
  <c r="Q588" i="3"/>
  <c r="T660" i="3"/>
  <c r="S660" i="3"/>
  <c r="R660" i="3"/>
  <c r="Q660" i="3"/>
  <c r="Q644" i="3"/>
  <c r="S644" i="3"/>
  <c r="T644" i="3"/>
  <c r="R644" i="3"/>
  <c r="T602" i="3"/>
  <c r="R602" i="3"/>
  <c r="S602" i="3"/>
  <c r="Q602" i="3"/>
  <c r="T560" i="3"/>
  <c r="S560" i="3"/>
  <c r="R560" i="3"/>
  <c r="Q560" i="3"/>
  <c r="T638" i="3"/>
  <c r="S638" i="3"/>
  <c r="R638" i="3"/>
  <c r="Q638" i="3"/>
  <c r="Q629" i="3"/>
  <c r="S629" i="3"/>
  <c r="T629" i="3"/>
  <c r="R629" i="3"/>
  <c r="T568" i="3"/>
  <c r="S568" i="3"/>
  <c r="R568" i="3"/>
  <c r="Q568" i="3"/>
  <c r="T600" i="3"/>
  <c r="S600" i="3"/>
  <c r="Q600" i="3"/>
  <c r="R600" i="3"/>
  <c r="Q624" i="3"/>
  <c r="S624" i="3"/>
  <c r="T624" i="3"/>
  <c r="R624" i="3"/>
  <c r="T582" i="3"/>
  <c r="S582" i="3"/>
  <c r="R582" i="3"/>
  <c r="Q582" i="3"/>
  <c r="Q639" i="3"/>
  <c r="S639" i="3"/>
  <c r="T639" i="3"/>
  <c r="R639" i="3"/>
  <c r="S636" i="3"/>
  <c r="T636" i="3"/>
  <c r="R636" i="3"/>
  <c r="Q636" i="3"/>
  <c r="Q609" i="3"/>
  <c r="T609" i="3"/>
  <c r="S609" i="3"/>
  <c r="R609" i="3"/>
  <c r="T548" i="3"/>
  <c r="S548" i="3"/>
  <c r="R548" i="3"/>
  <c r="Q548" i="3"/>
  <c r="T540" i="3"/>
  <c r="S540" i="3"/>
  <c r="Q540" i="3"/>
  <c r="R540" i="3"/>
  <c r="Q604" i="3"/>
  <c r="S604" i="3"/>
  <c r="T604" i="3"/>
  <c r="R604" i="3"/>
  <c r="T562" i="3"/>
  <c r="S562" i="3"/>
  <c r="R562" i="3"/>
  <c r="Q562" i="3"/>
  <c r="T558" i="3"/>
  <c r="S558" i="3"/>
  <c r="R558" i="3"/>
  <c r="Q558" i="3"/>
  <c r="T633" i="3"/>
  <c r="S633" i="3"/>
  <c r="R633" i="3"/>
  <c r="Q633" i="3"/>
  <c r="Q589" i="3"/>
  <c r="S589" i="3"/>
  <c r="T589" i="3"/>
  <c r="R589" i="3"/>
  <c r="T528" i="3"/>
  <c r="S528" i="3"/>
  <c r="Q528" i="3"/>
  <c r="R528" i="3"/>
  <c r="S599" i="3"/>
  <c r="Q599" i="3"/>
  <c r="T599" i="3"/>
  <c r="R599" i="3"/>
  <c r="Q584" i="3"/>
  <c r="S584" i="3"/>
  <c r="T584" i="3"/>
  <c r="R584" i="3"/>
  <c r="T542" i="3"/>
  <c r="S542" i="3"/>
  <c r="R542" i="3"/>
  <c r="Q542" i="3"/>
  <c r="R656" i="3"/>
  <c r="S656" i="3"/>
  <c r="T656" i="3"/>
  <c r="Q656" i="3"/>
  <c r="T533" i="3"/>
  <c r="S533" i="3"/>
  <c r="R533" i="3"/>
  <c r="Q533" i="3"/>
  <c r="Q569" i="3"/>
  <c r="T569" i="3"/>
  <c r="S569" i="3"/>
  <c r="R569" i="3"/>
  <c r="Q659" i="3"/>
  <c r="T659" i="3"/>
  <c r="S659" i="3"/>
  <c r="R659" i="3"/>
  <c r="T618" i="3"/>
  <c r="S618" i="3"/>
  <c r="R618" i="3"/>
  <c r="Q618" i="3"/>
  <c r="S564" i="3"/>
  <c r="Q564" i="3"/>
  <c r="T564" i="3"/>
  <c r="R564" i="3"/>
  <c r="T522" i="3"/>
  <c r="S522" i="3"/>
  <c r="R522" i="3"/>
  <c r="Q522" i="3"/>
  <c r="S536" i="3"/>
  <c r="R536" i="3"/>
  <c r="T536" i="3"/>
  <c r="Q536" i="3"/>
  <c r="T592" i="3"/>
  <c r="R592" i="3"/>
  <c r="S592" i="3"/>
  <c r="Q592" i="3"/>
  <c r="Q549" i="3"/>
  <c r="S549" i="3"/>
  <c r="T549" i="3"/>
  <c r="R549" i="3"/>
  <c r="T578" i="3"/>
  <c r="S578" i="3"/>
  <c r="R578" i="3"/>
  <c r="Q578" i="3"/>
  <c r="S556" i="3"/>
  <c r="R556" i="3"/>
  <c r="T556" i="3"/>
  <c r="Q556" i="3"/>
  <c r="S544" i="3"/>
  <c r="T544" i="3"/>
  <c r="R544" i="3"/>
  <c r="Q544" i="3"/>
  <c r="T661" i="3"/>
  <c r="S661" i="3"/>
  <c r="R661" i="3"/>
  <c r="Q661" i="3"/>
  <c r="T655" i="3"/>
  <c r="S655" i="3"/>
  <c r="Q655" i="3"/>
  <c r="R655" i="3"/>
  <c r="R651" i="3"/>
  <c r="T651" i="3"/>
  <c r="S651" i="3"/>
  <c r="Q651" i="3"/>
  <c r="S529" i="3"/>
  <c r="Q529" i="3"/>
  <c r="T529" i="3"/>
  <c r="R529" i="3"/>
  <c r="S576" i="3"/>
  <c r="T576" i="3"/>
  <c r="R576" i="3"/>
  <c r="Q576" i="3"/>
  <c r="S646" i="3"/>
  <c r="R646" i="3"/>
  <c r="T646" i="3"/>
  <c r="Q646" i="3"/>
  <c r="Q524" i="3"/>
  <c r="S524" i="3"/>
  <c r="T524" i="3"/>
  <c r="R524" i="3"/>
  <c r="T641" i="3"/>
  <c r="S641" i="3"/>
  <c r="R641" i="3"/>
  <c r="Q641" i="3"/>
  <c r="T635" i="3"/>
  <c r="S635" i="3"/>
  <c r="R635" i="3"/>
  <c r="Q635" i="3"/>
  <c r="R631" i="3"/>
  <c r="T631" i="3"/>
  <c r="S631" i="3"/>
  <c r="Q631" i="3"/>
  <c r="Q619" i="3"/>
  <c r="S619" i="3"/>
  <c r="T619" i="3"/>
  <c r="R619" i="3"/>
  <c r="T593" i="3"/>
  <c r="S593" i="3"/>
  <c r="R593" i="3"/>
  <c r="Q593" i="3"/>
  <c r="R626" i="3"/>
  <c r="S626" i="3"/>
  <c r="T626" i="3"/>
  <c r="Q626" i="3"/>
  <c r="S579" i="3"/>
  <c r="T579" i="3"/>
  <c r="Q579" i="3"/>
  <c r="R579" i="3"/>
  <c r="T621" i="3"/>
  <c r="S621" i="3"/>
  <c r="R621" i="3"/>
  <c r="Q621" i="3"/>
  <c r="Q519" i="3"/>
  <c r="T519" i="3"/>
  <c r="S519" i="3"/>
  <c r="R519" i="3"/>
  <c r="T615" i="3"/>
  <c r="S615" i="3"/>
  <c r="R615" i="3"/>
  <c r="Q615" i="3"/>
  <c r="R611" i="3"/>
  <c r="T611" i="3"/>
  <c r="S611" i="3"/>
  <c r="Q611" i="3"/>
  <c r="T598" i="3"/>
  <c r="S598" i="3"/>
  <c r="R598" i="3"/>
  <c r="Q598" i="3"/>
  <c r="T632" i="3"/>
  <c r="R632" i="3"/>
  <c r="S632" i="3"/>
  <c r="Q632" i="3"/>
  <c r="R606" i="3"/>
  <c r="S606" i="3"/>
  <c r="T606" i="3"/>
  <c r="Q606" i="3"/>
  <c r="T658" i="3"/>
  <c r="S658" i="3"/>
  <c r="R658" i="3"/>
  <c r="Q658" i="3"/>
  <c r="T601" i="3"/>
  <c r="S601" i="3"/>
  <c r="R601" i="3"/>
  <c r="Q601" i="3"/>
  <c r="T518" i="3"/>
  <c r="S518" i="3"/>
  <c r="R518" i="3"/>
  <c r="Q518" i="3"/>
  <c r="T595" i="3"/>
  <c r="S595" i="3"/>
  <c r="Q595" i="3"/>
  <c r="R595" i="3"/>
  <c r="T591" i="3"/>
  <c r="S591" i="3"/>
  <c r="R591" i="3"/>
  <c r="Q591" i="3"/>
  <c r="S596" i="3"/>
  <c r="R596" i="3"/>
  <c r="T596" i="3"/>
  <c r="Q596" i="3"/>
  <c r="T552" i="3"/>
  <c r="S552" i="3"/>
  <c r="R552" i="3"/>
  <c r="Q552" i="3"/>
  <c r="R586" i="3"/>
  <c r="S586" i="3"/>
  <c r="T586" i="3"/>
  <c r="Q586" i="3"/>
  <c r="T663" i="3"/>
  <c r="S663" i="3"/>
  <c r="R663" i="3"/>
  <c r="Q663" i="3"/>
  <c r="R581" i="3"/>
  <c r="T581" i="3"/>
  <c r="S581" i="3"/>
  <c r="Q581" i="3"/>
  <c r="T575" i="3"/>
  <c r="S575" i="3"/>
  <c r="Q575" i="3"/>
  <c r="R575" i="3"/>
  <c r="R571" i="3"/>
  <c r="T571" i="3"/>
  <c r="S571" i="3"/>
  <c r="Q571" i="3"/>
  <c r="T653" i="3"/>
  <c r="S653" i="3"/>
  <c r="R653" i="3"/>
  <c r="Q653" i="3"/>
  <c r="T650" i="3"/>
  <c r="S650" i="3"/>
  <c r="R650" i="3"/>
  <c r="Q650" i="3"/>
  <c r="R566" i="3"/>
  <c r="S566" i="3"/>
  <c r="T566" i="3"/>
  <c r="Q566" i="3"/>
  <c r="T643" i="3"/>
  <c r="S643" i="3"/>
  <c r="R643" i="3"/>
  <c r="Q643" i="3"/>
  <c r="T561" i="3"/>
  <c r="S561" i="3"/>
  <c r="R561" i="3"/>
  <c r="Q561" i="3"/>
  <c r="Q539" i="3"/>
  <c r="T539" i="3"/>
  <c r="S539" i="3"/>
  <c r="R539" i="3"/>
  <c r="T555" i="3"/>
  <c r="S555" i="3"/>
  <c r="Q555" i="3"/>
  <c r="R555" i="3"/>
  <c r="R551" i="3"/>
  <c r="T551" i="3"/>
  <c r="S551" i="3"/>
  <c r="Q551" i="3"/>
  <c r="T613" i="3"/>
  <c r="S613" i="3"/>
  <c r="R613" i="3"/>
  <c r="Q613" i="3"/>
  <c r="T590" i="3"/>
  <c r="S590" i="3"/>
  <c r="R590" i="3"/>
  <c r="Q590" i="3"/>
  <c r="S546" i="3"/>
  <c r="T546" i="3"/>
  <c r="R546" i="3"/>
  <c r="Q546" i="3"/>
  <c r="T623" i="3"/>
  <c r="S623" i="3"/>
  <c r="R623" i="3"/>
  <c r="Q623" i="3"/>
  <c r="R541" i="3"/>
  <c r="T541" i="3"/>
  <c r="S541" i="3"/>
  <c r="Q541" i="3"/>
  <c r="T657" i="3"/>
  <c r="R657" i="3"/>
  <c r="S657" i="3"/>
  <c r="Q657" i="3"/>
  <c r="T535" i="3"/>
  <c r="S535" i="3"/>
  <c r="R535" i="3"/>
  <c r="Q535" i="3"/>
  <c r="T531" i="3"/>
  <c r="S531" i="3"/>
  <c r="R531" i="3"/>
  <c r="Q531" i="3"/>
  <c r="T573" i="3"/>
  <c r="S573" i="3"/>
  <c r="R573" i="3"/>
  <c r="Q573" i="3"/>
  <c r="T530" i="3"/>
  <c r="S530" i="3"/>
  <c r="Q530" i="3"/>
  <c r="R530" i="3"/>
  <c r="R526" i="3"/>
  <c r="S526" i="3"/>
  <c r="T526" i="3"/>
  <c r="Q526" i="3"/>
  <c r="T603" i="3"/>
  <c r="S603" i="3"/>
  <c r="R603" i="3"/>
  <c r="Q603" i="3"/>
  <c r="T521" i="3"/>
  <c r="S521" i="3"/>
  <c r="R521" i="3"/>
  <c r="Q521" i="3"/>
  <c r="T517" i="3"/>
  <c r="R517" i="3"/>
  <c r="S517" i="3"/>
  <c r="Q517" i="3"/>
  <c r="T637" i="3"/>
  <c r="S637" i="3"/>
  <c r="R637" i="3"/>
  <c r="Q637" i="3"/>
  <c r="Q654" i="3"/>
  <c r="T654" i="3"/>
  <c r="S654" i="3"/>
  <c r="R654" i="3"/>
  <c r="T538" i="3"/>
  <c r="S538" i="3"/>
  <c r="R538" i="3"/>
  <c r="Q538" i="3"/>
  <c r="T612" i="3"/>
  <c r="R612" i="3"/>
  <c r="S612" i="3"/>
  <c r="Q612" i="3"/>
  <c r="T647" i="3"/>
  <c r="S647" i="3"/>
  <c r="R647" i="3"/>
  <c r="Q647" i="3"/>
  <c r="T645" i="3"/>
  <c r="S645" i="3"/>
  <c r="Q645" i="3"/>
  <c r="R645" i="3"/>
  <c r="T583" i="3"/>
  <c r="S583" i="3"/>
  <c r="R583" i="3"/>
  <c r="Q583" i="3"/>
  <c r="T640" i="3"/>
  <c r="S640" i="3"/>
  <c r="R640" i="3"/>
  <c r="Q640" i="3"/>
  <c r="O617" i="3"/>
  <c r="M617" i="3"/>
  <c r="N617" i="3"/>
  <c r="L617" i="3"/>
  <c r="G617" i="3"/>
  <c r="O634" i="3"/>
  <c r="M634" i="3"/>
  <c r="N634" i="3"/>
  <c r="L634" i="3"/>
  <c r="G634" i="3"/>
  <c r="O616" i="3"/>
  <c r="M616" i="3"/>
  <c r="N616" i="3"/>
  <c r="L616" i="3"/>
  <c r="G616" i="3"/>
  <c r="N532" i="3"/>
  <c r="L532" i="3"/>
  <c r="O532" i="3"/>
  <c r="M532" i="3"/>
  <c r="G532" i="3"/>
  <c r="N627" i="3"/>
  <c r="L627" i="3"/>
  <c r="O627" i="3"/>
  <c r="M627" i="3"/>
  <c r="G627" i="3"/>
  <c r="N625" i="3"/>
  <c r="L625" i="3"/>
  <c r="G625" i="3"/>
  <c r="O625" i="3"/>
  <c r="M625" i="3"/>
  <c r="O563" i="3"/>
  <c r="M563" i="3"/>
  <c r="G563" i="3"/>
  <c r="L563" i="3"/>
  <c r="N563" i="3"/>
  <c r="O520" i="3"/>
  <c r="M520" i="3"/>
  <c r="G520" i="3"/>
  <c r="N520" i="3"/>
  <c r="L520" i="3"/>
  <c r="O597" i="3"/>
  <c r="M597" i="3"/>
  <c r="N597" i="3"/>
  <c r="L597" i="3"/>
  <c r="G597" i="3"/>
  <c r="O614" i="3"/>
  <c r="M614" i="3"/>
  <c r="N614" i="3"/>
  <c r="L614" i="3"/>
  <c r="G614" i="3"/>
  <c r="N553" i="3"/>
  <c r="L553" i="3"/>
  <c r="O553" i="3"/>
  <c r="M553" i="3"/>
  <c r="G553" i="3"/>
  <c r="G610" i="3"/>
  <c r="N610" i="3"/>
  <c r="L610" i="3"/>
  <c r="O610" i="3"/>
  <c r="M610" i="3"/>
  <c r="N607" i="3"/>
  <c r="L607" i="3"/>
  <c r="O607" i="3"/>
  <c r="M607" i="3"/>
  <c r="G607" i="3"/>
  <c r="N605" i="3"/>
  <c r="L605" i="3"/>
  <c r="G605" i="3"/>
  <c r="O605" i="3"/>
  <c r="M605" i="3"/>
  <c r="O543" i="3"/>
  <c r="M543" i="3"/>
  <c r="G543" i="3"/>
  <c r="N543" i="3"/>
  <c r="L543" i="3"/>
  <c r="O577" i="3"/>
  <c r="M577" i="3"/>
  <c r="N577" i="3"/>
  <c r="L577" i="3"/>
  <c r="G577" i="3"/>
  <c r="O594" i="3"/>
  <c r="M594" i="3"/>
  <c r="N594" i="3"/>
  <c r="L594" i="3"/>
  <c r="G594" i="3"/>
  <c r="N652" i="3"/>
  <c r="L652" i="3"/>
  <c r="O652" i="3"/>
  <c r="M652" i="3"/>
  <c r="G550" i="3"/>
  <c r="N550" i="3"/>
  <c r="L550" i="3"/>
  <c r="O550" i="3"/>
  <c r="M550" i="3"/>
  <c r="N587" i="3"/>
  <c r="L587" i="3"/>
  <c r="O587" i="3"/>
  <c r="M587" i="3"/>
  <c r="G587" i="3"/>
  <c r="N585" i="3"/>
  <c r="L585" i="3"/>
  <c r="G585" i="3"/>
  <c r="O585" i="3"/>
  <c r="M585" i="3"/>
  <c r="O523" i="3"/>
  <c r="M523" i="3"/>
  <c r="G523" i="3"/>
  <c r="N523" i="3"/>
  <c r="L523" i="3"/>
  <c r="O557" i="3"/>
  <c r="M557" i="3"/>
  <c r="N557" i="3"/>
  <c r="L557" i="3"/>
  <c r="G557" i="3"/>
  <c r="O574" i="3"/>
  <c r="M574" i="3"/>
  <c r="N574" i="3"/>
  <c r="L574" i="3"/>
  <c r="G574" i="3"/>
  <c r="N572" i="3"/>
  <c r="L572" i="3"/>
  <c r="O572" i="3"/>
  <c r="M572" i="3"/>
  <c r="G572" i="3"/>
  <c r="N648" i="3"/>
  <c r="L648" i="3"/>
  <c r="O648" i="3"/>
  <c r="M648" i="3"/>
  <c r="L567" i="3"/>
  <c r="N567" i="3"/>
  <c r="O567" i="3"/>
  <c r="M567" i="3"/>
  <c r="G567" i="3"/>
  <c r="N565" i="3"/>
  <c r="L565" i="3"/>
  <c r="G565" i="3"/>
  <c r="O565" i="3"/>
  <c r="M565" i="3"/>
  <c r="O662" i="3"/>
  <c r="M662" i="3"/>
  <c r="N662" i="3"/>
  <c r="L662" i="3"/>
  <c r="O537" i="3"/>
  <c r="M537" i="3"/>
  <c r="N537" i="3"/>
  <c r="L537" i="3"/>
  <c r="G537" i="3"/>
  <c r="O554" i="3"/>
  <c r="M554" i="3"/>
  <c r="N554" i="3"/>
  <c r="L554" i="3"/>
  <c r="G554" i="3"/>
  <c r="G630" i="3"/>
  <c r="N630" i="3"/>
  <c r="L630" i="3"/>
  <c r="O630" i="3"/>
  <c r="M630" i="3"/>
  <c r="N628" i="3"/>
  <c r="L628" i="3"/>
  <c r="O628" i="3"/>
  <c r="M628" i="3"/>
  <c r="G628" i="3"/>
  <c r="N547" i="3"/>
  <c r="L547" i="3"/>
  <c r="O547" i="3"/>
  <c r="M547" i="3"/>
  <c r="G547" i="3"/>
  <c r="N545" i="3"/>
  <c r="L545" i="3"/>
  <c r="G545" i="3"/>
  <c r="O545" i="3"/>
  <c r="M545" i="3"/>
  <c r="O642" i="3"/>
  <c r="M642" i="3"/>
  <c r="N642" i="3"/>
  <c r="L642" i="3"/>
  <c r="O620" i="3"/>
  <c r="M620" i="3"/>
  <c r="G620" i="3"/>
  <c r="N620" i="3"/>
  <c r="L620" i="3"/>
  <c r="O534" i="3"/>
  <c r="M534" i="3"/>
  <c r="N534" i="3"/>
  <c r="L534" i="3"/>
  <c r="G534" i="3"/>
  <c r="G570" i="3"/>
  <c r="N570" i="3"/>
  <c r="L570" i="3"/>
  <c r="O570" i="3"/>
  <c r="M570" i="3"/>
  <c r="N608" i="3"/>
  <c r="L608" i="3"/>
  <c r="O608" i="3"/>
  <c r="M608" i="3"/>
  <c r="G608" i="3"/>
  <c r="N527" i="3"/>
  <c r="L527" i="3"/>
  <c r="O527" i="3"/>
  <c r="M527" i="3"/>
  <c r="G527" i="3"/>
  <c r="N525" i="3"/>
  <c r="L525" i="3"/>
  <c r="G525" i="3"/>
  <c r="O525" i="3"/>
  <c r="M525" i="3"/>
  <c r="O622" i="3"/>
  <c r="M622" i="3"/>
  <c r="G622" i="3"/>
  <c r="N622" i="3"/>
  <c r="L622" i="3"/>
  <c r="O559" i="3"/>
  <c r="M559" i="3"/>
  <c r="G559" i="3"/>
  <c r="N559" i="3"/>
  <c r="L559" i="3"/>
  <c r="N649" i="3"/>
  <c r="L649" i="3"/>
  <c r="O649" i="3"/>
  <c r="M649" i="3"/>
  <c r="N588" i="3"/>
  <c r="L588" i="3"/>
  <c r="O588" i="3"/>
  <c r="M588" i="3"/>
  <c r="G588" i="3"/>
  <c r="O660" i="3"/>
  <c r="M660" i="3"/>
  <c r="N660" i="3"/>
  <c r="L660" i="3"/>
  <c r="N644" i="3"/>
  <c r="L644" i="3"/>
  <c r="O644" i="3"/>
  <c r="M644" i="3"/>
  <c r="O602" i="3"/>
  <c r="M602" i="3"/>
  <c r="G602" i="3"/>
  <c r="N602" i="3"/>
  <c r="L602" i="3"/>
  <c r="O560" i="3"/>
  <c r="M560" i="3"/>
  <c r="G560" i="3"/>
  <c r="N560" i="3"/>
  <c r="L560" i="3"/>
  <c r="O638" i="3"/>
  <c r="M638" i="3"/>
  <c r="G638" i="3"/>
  <c r="N638" i="3"/>
  <c r="L638" i="3"/>
  <c r="G629" i="3"/>
  <c r="N629" i="3"/>
  <c r="L629" i="3"/>
  <c r="O629" i="3"/>
  <c r="M629" i="3"/>
  <c r="N568" i="3"/>
  <c r="L568" i="3"/>
  <c r="O568" i="3"/>
  <c r="M568" i="3"/>
  <c r="G568" i="3"/>
  <c r="O600" i="3"/>
  <c r="M600" i="3"/>
  <c r="G600" i="3"/>
  <c r="N600" i="3"/>
  <c r="L600" i="3"/>
  <c r="N624" i="3"/>
  <c r="L624" i="3"/>
  <c r="O624" i="3"/>
  <c r="M624" i="3"/>
  <c r="G624" i="3"/>
  <c r="O582" i="3"/>
  <c r="M582" i="3"/>
  <c r="G582" i="3"/>
  <c r="N582" i="3"/>
  <c r="L582" i="3"/>
  <c r="O639" i="3"/>
  <c r="M639" i="3"/>
  <c r="G639" i="3"/>
  <c r="N639" i="3"/>
  <c r="L639" i="3"/>
  <c r="O636" i="3"/>
  <c r="M636" i="3"/>
  <c r="N636" i="3"/>
  <c r="L636" i="3"/>
  <c r="G636" i="3"/>
  <c r="G609" i="3"/>
  <c r="N609" i="3"/>
  <c r="L609" i="3"/>
  <c r="O609" i="3"/>
  <c r="M609" i="3"/>
  <c r="N548" i="3"/>
  <c r="L548" i="3"/>
  <c r="O548" i="3"/>
  <c r="M548" i="3"/>
  <c r="G548" i="3"/>
  <c r="O540" i="3"/>
  <c r="M540" i="3"/>
  <c r="G540" i="3"/>
  <c r="N540" i="3"/>
  <c r="L540" i="3"/>
  <c r="N604" i="3"/>
  <c r="L604" i="3"/>
  <c r="O604" i="3"/>
  <c r="M604" i="3"/>
  <c r="G604" i="3"/>
  <c r="O562" i="3"/>
  <c r="M562" i="3"/>
  <c r="G562" i="3"/>
  <c r="N562" i="3"/>
  <c r="L562" i="3"/>
  <c r="O580" i="3"/>
  <c r="M580" i="3"/>
  <c r="G580" i="3"/>
  <c r="N580" i="3"/>
  <c r="L580" i="3"/>
  <c r="O558" i="3"/>
  <c r="M558" i="3"/>
  <c r="G558" i="3"/>
  <c r="N558" i="3"/>
  <c r="L558" i="3"/>
  <c r="N633" i="3"/>
  <c r="L633" i="3"/>
  <c r="G633" i="3"/>
  <c r="O633" i="3"/>
  <c r="M633" i="3"/>
  <c r="G589" i="3"/>
  <c r="N589" i="3"/>
  <c r="L589" i="3"/>
  <c r="O589" i="3"/>
  <c r="M589" i="3"/>
  <c r="N528" i="3"/>
  <c r="L528" i="3"/>
  <c r="O528" i="3"/>
  <c r="M528" i="3"/>
  <c r="G528" i="3"/>
  <c r="O599" i="3"/>
  <c r="M599" i="3"/>
  <c r="G599" i="3"/>
  <c r="N599" i="3"/>
  <c r="L599" i="3"/>
  <c r="N584" i="3"/>
  <c r="L584" i="3"/>
  <c r="O584" i="3"/>
  <c r="M584" i="3"/>
  <c r="G584" i="3"/>
  <c r="O542" i="3"/>
  <c r="M542" i="3"/>
  <c r="G542" i="3"/>
  <c r="N542" i="3"/>
  <c r="L542" i="3"/>
  <c r="O656" i="3"/>
  <c r="M656" i="3"/>
  <c r="N656" i="3"/>
  <c r="L656" i="3"/>
  <c r="N533" i="3"/>
  <c r="L533" i="3"/>
  <c r="O533" i="3"/>
  <c r="M533" i="3"/>
  <c r="G533" i="3"/>
  <c r="G569" i="3"/>
  <c r="N569" i="3"/>
  <c r="L569" i="3"/>
  <c r="O569" i="3"/>
  <c r="M569" i="3"/>
  <c r="O659" i="3"/>
  <c r="M659" i="3"/>
  <c r="N659" i="3"/>
  <c r="L659" i="3"/>
  <c r="O618" i="3"/>
  <c r="M618" i="3"/>
  <c r="G618" i="3"/>
  <c r="N618" i="3"/>
  <c r="L618" i="3"/>
  <c r="N564" i="3"/>
  <c r="L564" i="3"/>
  <c r="O564" i="3"/>
  <c r="M564" i="3"/>
  <c r="G564" i="3"/>
  <c r="O522" i="3"/>
  <c r="M522" i="3"/>
  <c r="G522" i="3"/>
  <c r="N522" i="3"/>
  <c r="L522" i="3"/>
  <c r="O536" i="3"/>
  <c r="M536" i="3"/>
  <c r="N536" i="3"/>
  <c r="L536" i="3"/>
  <c r="G536" i="3"/>
  <c r="N592" i="3"/>
  <c r="L592" i="3"/>
  <c r="O592" i="3"/>
  <c r="M592" i="3"/>
  <c r="G592" i="3"/>
  <c r="G549" i="3"/>
  <c r="N549" i="3"/>
  <c r="L549" i="3"/>
  <c r="O549" i="3"/>
  <c r="M549" i="3"/>
  <c r="O578" i="3"/>
  <c r="M578" i="3"/>
  <c r="G578" i="3"/>
  <c r="N578" i="3"/>
  <c r="L578" i="3"/>
  <c r="O556" i="3"/>
  <c r="M556" i="3"/>
  <c r="N556" i="3"/>
  <c r="L556" i="3"/>
  <c r="G556" i="3"/>
  <c r="N544" i="3"/>
  <c r="L544" i="3"/>
  <c r="O544" i="3"/>
  <c r="M544" i="3"/>
  <c r="G544" i="3"/>
  <c r="M661" i="3"/>
  <c r="O661" i="3"/>
  <c r="N661" i="3"/>
  <c r="L661" i="3"/>
  <c r="O655" i="3"/>
  <c r="M655" i="3"/>
  <c r="N655" i="3"/>
  <c r="L655" i="3"/>
  <c r="N651" i="3"/>
  <c r="L651" i="3"/>
  <c r="O651" i="3"/>
  <c r="M651" i="3"/>
  <c r="G529" i="3"/>
  <c r="N529" i="3"/>
  <c r="L529" i="3"/>
  <c r="O529" i="3"/>
  <c r="M529" i="3"/>
  <c r="O576" i="3"/>
  <c r="M576" i="3"/>
  <c r="N576" i="3"/>
  <c r="L576" i="3"/>
  <c r="G576" i="3"/>
  <c r="N646" i="3"/>
  <c r="L646" i="3"/>
  <c r="O646" i="3"/>
  <c r="M646" i="3"/>
  <c r="N524" i="3"/>
  <c r="L524" i="3"/>
  <c r="O524" i="3"/>
  <c r="M524" i="3"/>
  <c r="G524" i="3"/>
  <c r="O641" i="3"/>
  <c r="M641" i="3"/>
  <c r="G641" i="3"/>
  <c r="N641" i="3"/>
  <c r="L641" i="3"/>
  <c r="O519" i="3"/>
  <c r="M519" i="3"/>
  <c r="G519" i="3"/>
  <c r="N519" i="3"/>
  <c r="L519" i="3"/>
  <c r="O635" i="3"/>
  <c r="M635" i="3"/>
  <c r="N635" i="3"/>
  <c r="L635" i="3"/>
  <c r="G635" i="3"/>
  <c r="G631" i="3"/>
  <c r="N631" i="3"/>
  <c r="L631" i="3"/>
  <c r="O631" i="3"/>
  <c r="M631" i="3"/>
  <c r="O619" i="3"/>
  <c r="M619" i="3"/>
  <c r="G619" i="3"/>
  <c r="N619" i="3"/>
  <c r="L619" i="3"/>
  <c r="N593" i="3"/>
  <c r="L593" i="3"/>
  <c r="O593" i="3"/>
  <c r="G593" i="3"/>
  <c r="M593" i="3"/>
  <c r="N626" i="3"/>
  <c r="L626" i="3"/>
  <c r="O626" i="3"/>
  <c r="M626" i="3"/>
  <c r="G626" i="3"/>
  <c r="O579" i="3"/>
  <c r="M579" i="3"/>
  <c r="G579" i="3"/>
  <c r="N579" i="3"/>
  <c r="L579" i="3"/>
  <c r="O621" i="3"/>
  <c r="M621" i="3"/>
  <c r="G621" i="3"/>
  <c r="N621" i="3"/>
  <c r="L621" i="3"/>
  <c r="O615" i="3"/>
  <c r="M615" i="3"/>
  <c r="N615" i="3"/>
  <c r="L615" i="3"/>
  <c r="G615" i="3"/>
  <c r="G611" i="3"/>
  <c r="N611" i="3"/>
  <c r="L611" i="3"/>
  <c r="O611" i="3"/>
  <c r="M611" i="3"/>
  <c r="O598" i="3"/>
  <c r="M598" i="3"/>
  <c r="G598" i="3"/>
  <c r="N598" i="3"/>
  <c r="L598" i="3"/>
  <c r="N632" i="3"/>
  <c r="L632" i="3"/>
  <c r="O632" i="3"/>
  <c r="M632" i="3"/>
  <c r="G632" i="3"/>
  <c r="N606" i="3"/>
  <c r="L606" i="3"/>
  <c r="O606" i="3"/>
  <c r="M606" i="3"/>
  <c r="G606" i="3"/>
  <c r="O658" i="3"/>
  <c r="M658" i="3"/>
  <c r="N658" i="3"/>
  <c r="L658" i="3"/>
  <c r="O601" i="3"/>
  <c r="M601" i="3"/>
  <c r="G601" i="3"/>
  <c r="N601" i="3"/>
  <c r="L601" i="3"/>
  <c r="O517" i="3"/>
  <c r="M517" i="3"/>
  <c r="N517" i="3"/>
  <c r="L517" i="3"/>
  <c r="G517" i="3"/>
  <c r="O595" i="3"/>
  <c r="M595" i="3"/>
  <c r="N595" i="3"/>
  <c r="L595" i="3"/>
  <c r="G595" i="3"/>
  <c r="G591" i="3"/>
  <c r="N591" i="3"/>
  <c r="L591" i="3"/>
  <c r="O591" i="3"/>
  <c r="M591" i="3"/>
  <c r="O596" i="3"/>
  <c r="M596" i="3"/>
  <c r="N596" i="3"/>
  <c r="L596" i="3"/>
  <c r="G596" i="3"/>
  <c r="N552" i="3"/>
  <c r="L552" i="3"/>
  <c r="O552" i="3"/>
  <c r="M552" i="3"/>
  <c r="G552" i="3"/>
  <c r="N586" i="3"/>
  <c r="L586" i="3"/>
  <c r="O586" i="3"/>
  <c r="M586" i="3"/>
  <c r="G586" i="3"/>
  <c r="O663" i="3"/>
  <c r="M663" i="3"/>
  <c r="N663" i="3"/>
  <c r="L663" i="3"/>
  <c r="O581" i="3"/>
  <c r="M581" i="3"/>
  <c r="G581" i="3"/>
  <c r="N581" i="3"/>
  <c r="L581" i="3"/>
  <c r="O575" i="3"/>
  <c r="M575" i="3"/>
  <c r="N575" i="3"/>
  <c r="L575" i="3"/>
  <c r="G575" i="3"/>
  <c r="G571" i="3"/>
  <c r="N571" i="3"/>
  <c r="L571" i="3"/>
  <c r="M571" i="3"/>
  <c r="O571" i="3"/>
  <c r="N653" i="3"/>
  <c r="L653" i="3"/>
  <c r="O653" i="3"/>
  <c r="M653" i="3"/>
  <c r="N650" i="3"/>
  <c r="L650" i="3"/>
  <c r="O650" i="3"/>
  <c r="M650" i="3"/>
  <c r="N566" i="3"/>
  <c r="L566" i="3"/>
  <c r="O566" i="3"/>
  <c r="M566" i="3"/>
  <c r="G566" i="3"/>
  <c r="O643" i="3"/>
  <c r="M643" i="3"/>
  <c r="L643" i="3"/>
  <c r="N643" i="3"/>
  <c r="O561" i="3"/>
  <c r="M561" i="3"/>
  <c r="G561" i="3"/>
  <c r="N561" i="3"/>
  <c r="L561" i="3"/>
  <c r="O539" i="3"/>
  <c r="M539" i="3"/>
  <c r="G539" i="3"/>
  <c r="N539" i="3"/>
  <c r="L539" i="3"/>
  <c r="O555" i="3"/>
  <c r="M555" i="3"/>
  <c r="N555" i="3"/>
  <c r="L555" i="3"/>
  <c r="G555" i="3"/>
  <c r="G551" i="3"/>
  <c r="N551" i="3"/>
  <c r="L551" i="3"/>
  <c r="O551" i="3"/>
  <c r="M551" i="3"/>
  <c r="N613" i="3"/>
  <c r="L613" i="3"/>
  <c r="O613" i="3"/>
  <c r="M613" i="3"/>
  <c r="G613" i="3"/>
  <c r="G590" i="3"/>
  <c r="N590" i="3"/>
  <c r="L590" i="3"/>
  <c r="O590" i="3"/>
  <c r="M590" i="3"/>
  <c r="N546" i="3"/>
  <c r="L546" i="3"/>
  <c r="O546" i="3"/>
  <c r="M546" i="3"/>
  <c r="G546" i="3"/>
  <c r="O623" i="3"/>
  <c r="M623" i="3"/>
  <c r="G623" i="3"/>
  <c r="N623" i="3"/>
  <c r="L623" i="3"/>
  <c r="O541" i="3"/>
  <c r="M541" i="3"/>
  <c r="G541" i="3"/>
  <c r="N541" i="3"/>
  <c r="L541" i="3"/>
  <c r="O518" i="3"/>
  <c r="M518" i="3"/>
  <c r="G518" i="3"/>
  <c r="N518" i="3"/>
  <c r="L518" i="3"/>
  <c r="O657" i="3"/>
  <c r="M657" i="3"/>
  <c r="N657" i="3"/>
  <c r="L657" i="3"/>
  <c r="O535" i="3"/>
  <c r="M535" i="3"/>
  <c r="N535" i="3"/>
  <c r="L535" i="3"/>
  <c r="G535" i="3"/>
  <c r="G531" i="3"/>
  <c r="N531" i="3"/>
  <c r="L531" i="3"/>
  <c r="O531" i="3"/>
  <c r="M531" i="3"/>
  <c r="N573" i="3"/>
  <c r="L573" i="3"/>
  <c r="O573" i="3"/>
  <c r="M573" i="3"/>
  <c r="G573" i="3"/>
  <c r="G530" i="3"/>
  <c r="N530" i="3"/>
  <c r="L530" i="3"/>
  <c r="O530" i="3"/>
  <c r="M530" i="3"/>
  <c r="N526" i="3"/>
  <c r="L526" i="3"/>
  <c r="O526" i="3"/>
  <c r="M526" i="3"/>
  <c r="G526" i="3"/>
  <c r="O603" i="3"/>
  <c r="M603" i="3"/>
  <c r="G603" i="3"/>
  <c r="N603" i="3"/>
  <c r="L603" i="3"/>
  <c r="O521" i="3"/>
  <c r="M521" i="3"/>
  <c r="G521" i="3"/>
  <c r="N521" i="3"/>
  <c r="L521" i="3"/>
  <c r="O637" i="3"/>
  <c r="M637" i="3"/>
  <c r="N637" i="3"/>
  <c r="L637" i="3"/>
  <c r="G637" i="3"/>
  <c r="O654" i="3"/>
  <c r="M654" i="3"/>
  <c r="N654" i="3"/>
  <c r="L654" i="3"/>
  <c r="O538" i="3"/>
  <c r="M538" i="3"/>
  <c r="G538" i="3"/>
  <c r="N538" i="3"/>
  <c r="L538" i="3"/>
  <c r="N612" i="3"/>
  <c r="L612" i="3"/>
  <c r="O612" i="3"/>
  <c r="M612" i="3"/>
  <c r="G612" i="3"/>
  <c r="N647" i="3"/>
  <c r="L647" i="3"/>
  <c r="O647" i="3"/>
  <c r="M647" i="3"/>
  <c r="N645" i="3"/>
  <c r="L645" i="3"/>
  <c r="O645" i="3"/>
  <c r="M645" i="3"/>
  <c r="O583" i="3"/>
  <c r="M583" i="3"/>
  <c r="G583" i="3"/>
  <c r="N583" i="3"/>
  <c r="L583" i="3"/>
  <c r="O640" i="3"/>
  <c r="M640" i="3"/>
  <c r="G640" i="3"/>
  <c r="N640" i="3"/>
  <c r="L640" i="3"/>
  <c r="G652" i="3"/>
  <c r="G648" i="3"/>
  <c r="G662" i="3"/>
  <c r="G642" i="3"/>
  <c r="G649" i="3"/>
  <c r="G660" i="3"/>
  <c r="G644" i="3"/>
  <c r="G656" i="3"/>
  <c r="G659" i="3"/>
  <c r="G661" i="3"/>
  <c r="G655" i="3"/>
  <c r="G651" i="3"/>
  <c r="G646" i="3"/>
  <c r="G658" i="3"/>
  <c r="G663" i="3"/>
  <c r="G653" i="3"/>
  <c r="G650" i="3"/>
  <c r="G643" i="3"/>
  <c r="G657" i="3"/>
  <c r="G654" i="3"/>
  <c r="G647" i="3"/>
  <c r="G645" i="3"/>
  <c r="N92" i="14"/>
  <c r="AG92" i="14"/>
  <c r="AD92" i="14"/>
  <c r="S92" i="14"/>
  <c r="N87" i="14"/>
  <c r="AG87" i="14"/>
  <c r="AD87" i="14"/>
  <c r="S87" i="14"/>
  <c r="AD98" i="14"/>
  <c r="N98" i="14"/>
  <c r="AG98" i="14"/>
  <c r="S98" i="14"/>
  <c r="S72" i="14"/>
  <c r="AG72" i="14"/>
  <c r="AD72" i="14"/>
  <c r="N72" i="14"/>
  <c r="N67" i="14"/>
  <c r="AD67" i="14"/>
  <c r="S67" i="14"/>
  <c r="AG67" i="14"/>
  <c r="AD96" i="14"/>
  <c r="N96" i="14"/>
  <c r="S96" i="14"/>
  <c r="AG96" i="14"/>
  <c r="AG64" i="15"/>
  <c r="AD64" i="15"/>
  <c r="S64" i="15"/>
  <c r="N64" i="15"/>
  <c r="AG60" i="4"/>
  <c r="AD60" i="4"/>
  <c r="S60" i="4"/>
  <c r="S76" i="14"/>
  <c r="AG76" i="14"/>
  <c r="AD76" i="14"/>
  <c r="N76" i="14"/>
  <c r="N63" i="14"/>
  <c r="AD63" i="14"/>
  <c r="AG63" i="14"/>
  <c r="S63" i="14"/>
  <c r="N106" i="14"/>
  <c r="AD106" i="14"/>
  <c r="AG106" i="14"/>
  <c r="S106" i="14"/>
  <c r="AG60" i="15"/>
  <c r="AD60" i="15"/>
  <c r="S60" i="15"/>
  <c r="N91" i="14"/>
  <c r="S91" i="14"/>
  <c r="AG91" i="14"/>
  <c r="AD91" i="14"/>
  <c r="N86" i="14"/>
  <c r="AG86" i="14"/>
  <c r="AD86" i="14"/>
  <c r="S86" i="14"/>
  <c r="N77" i="14"/>
  <c r="S77" i="14"/>
  <c r="AG77" i="14"/>
  <c r="AD77" i="14"/>
  <c r="N71" i="14"/>
  <c r="AD71" i="14"/>
  <c r="S71" i="14"/>
  <c r="AG71" i="14"/>
  <c r="N105" i="14"/>
  <c r="AD105" i="14"/>
  <c r="AG105" i="14"/>
  <c r="S105" i="14"/>
  <c r="S60" i="14"/>
  <c r="AG60" i="14"/>
  <c r="AD60" i="14"/>
  <c r="AG65" i="15"/>
  <c r="AD65" i="15"/>
  <c r="S65" i="15"/>
  <c r="N65" i="15"/>
  <c r="N85" i="14"/>
  <c r="AD85" i="14"/>
  <c r="AG85" i="14"/>
  <c r="S85" i="14"/>
  <c r="N95" i="14"/>
  <c r="AD95" i="14"/>
  <c r="AG95" i="14"/>
  <c r="S95" i="14"/>
  <c r="AG62" i="14"/>
  <c r="AD62" i="14"/>
  <c r="N104" i="14"/>
  <c r="AG104" i="14"/>
  <c r="S104" i="14"/>
  <c r="AD104" i="14"/>
  <c r="N75" i="14"/>
  <c r="AD75" i="14"/>
  <c r="AG75" i="14"/>
  <c r="S75" i="14"/>
  <c r="N90" i="14"/>
  <c r="AG90" i="14"/>
  <c r="AD90" i="14"/>
  <c r="S90" i="14"/>
  <c r="N84" i="14"/>
  <c r="S84" i="14"/>
  <c r="AD84" i="14"/>
  <c r="AG84" i="14"/>
  <c r="S61" i="15"/>
  <c r="AG61" i="15"/>
  <c r="AD61" i="15"/>
  <c r="N70" i="14"/>
  <c r="AG70" i="14"/>
  <c r="AD70" i="14"/>
  <c r="S70" i="14"/>
  <c r="N103" i="14"/>
  <c r="S103" i="14"/>
  <c r="AG103" i="14"/>
  <c r="AD103" i="14"/>
  <c r="N66" i="14"/>
  <c r="AD66" i="14"/>
  <c r="AG66" i="14"/>
  <c r="S66" i="14"/>
  <c r="N66" i="15"/>
  <c r="S66" i="15"/>
  <c r="AG66" i="15"/>
  <c r="AD66" i="15"/>
  <c r="N83" i="14"/>
  <c r="S83" i="14"/>
  <c r="AG83" i="14"/>
  <c r="AD83" i="14"/>
  <c r="N94" i="14"/>
  <c r="AG94" i="14"/>
  <c r="S94" i="14"/>
  <c r="AD94" i="14"/>
  <c r="AD61" i="14"/>
  <c r="AG61" i="14"/>
  <c r="S102" i="14"/>
  <c r="N102" i="14"/>
  <c r="AG102" i="14"/>
  <c r="AD102" i="14"/>
  <c r="N74" i="14"/>
  <c r="AG74" i="14"/>
  <c r="S74" i="14"/>
  <c r="AD74" i="14"/>
  <c r="N89" i="14"/>
  <c r="AD89" i="14"/>
  <c r="AG89" i="14"/>
  <c r="S89" i="14"/>
  <c r="S82" i="14"/>
  <c r="AG82" i="14"/>
  <c r="N82" i="14"/>
  <c r="AD82" i="14"/>
  <c r="AG62" i="15"/>
  <c r="AD62" i="15"/>
  <c r="S62" i="15"/>
  <c r="N69" i="14"/>
  <c r="S69" i="14"/>
  <c r="AG69" i="14"/>
  <c r="AD69" i="14"/>
  <c r="N101" i="14"/>
  <c r="S101" i="14"/>
  <c r="AD101" i="14"/>
  <c r="AG101" i="14"/>
  <c r="N97" i="14"/>
  <c r="S97" i="14"/>
  <c r="AG97" i="14"/>
  <c r="AD97" i="14"/>
  <c r="AG67" i="15"/>
  <c r="AD67" i="15"/>
  <c r="S67" i="15"/>
  <c r="N67" i="15"/>
  <c r="N81" i="14"/>
  <c r="AG81" i="14"/>
  <c r="AD81" i="14"/>
  <c r="S81" i="14"/>
  <c r="N65" i="14"/>
  <c r="AG65" i="14"/>
  <c r="S65" i="14"/>
  <c r="AD65" i="14"/>
  <c r="S108" i="14"/>
  <c r="AD108" i="14"/>
  <c r="N108" i="14"/>
  <c r="AG108" i="14"/>
  <c r="N78" i="14"/>
  <c r="AD78" i="14"/>
  <c r="AG78" i="14"/>
  <c r="S78" i="14"/>
  <c r="N93" i="14"/>
  <c r="AG93" i="14"/>
  <c r="S93" i="14"/>
  <c r="AD93" i="14"/>
  <c r="N88" i="14"/>
  <c r="S88" i="14"/>
  <c r="AD88" i="14"/>
  <c r="AG88" i="14"/>
  <c r="N100" i="14"/>
  <c r="AG100" i="14"/>
  <c r="S100" i="14"/>
  <c r="AD100" i="14"/>
  <c r="N73" i="14"/>
  <c r="AG73" i="14"/>
  <c r="S73" i="14"/>
  <c r="AD73" i="14"/>
  <c r="AG68" i="14"/>
  <c r="N68" i="14"/>
  <c r="S68" i="14"/>
  <c r="AD68" i="14"/>
  <c r="N80" i="14"/>
  <c r="AG80" i="14"/>
  <c r="AD80" i="14"/>
  <c r="S80" i="14"/>
  <c r="AG63" i="15"/>
  <c r="AD63" i="15"/>
  <c r="S63" i="15"/>
  <c r="N63" i="15"/>
  <c r="AG68" i="15"/>
  <c r="AD68" i="15"/>
  <c r="S68" i="15"/>
  <c r="N68" i="15"/>
  <c r="N99" i="14"/>
  <c r="S99" i="14"/>
  <c r="AG99" i="14"/>
  <c r="AD99" i="14"/>
  <c r="S64" i="14"/>
  <c r="N64" i="14"/>
  <c r="AD64" i="14"/>
  <c r="AG64" i="14"/>
  <c r="N107" i="14"/>
  <c r="AG107" i="14"/>
  <c r="AD107" i="14"/>
  <c r="S107" i="14"/>
  <c r="N79" i="14"/>
  <c r="AD79" i="14"/>
  <c r="S79" i="14"/>
  <c r="AG79" i="14"/>
  <c r="J650" i="3" l="1"/>
  <c r="I650" i="3"/>
  <c r="H650" i="3"/>
  <c r="K650" i="3"/>
  <c r="P650" i="3"/>
  <c r="P652" i="3"/>
  <c r="K652" i="3"/>
  <c r="J652" i="3"/>
  <c r="I652" i="3"/>
  <c r="H652" i="3"/>
  <c r="P637" i="3"/>
  <c r="K637" i="3"/>
  <c r="J637" i="3"/>
  <c r="I637" i="3"/>
  <c r="H637" i="3"/>
  <c r="P531" i="3"/>
  <c r="K531" i="3"/>
  <c r="J531" i="3"/>
  <c r="I531" i="3"/>
  <c r="H531" i="3"/>
  <c r="P541" i="3"/>
  <c r="K541" i="3"/>
  <c r="H541" i="3"/>
  <c r="J541" i="3"/>
  <c r="I541" i="3"/>
  <c r="P657" i="3"/>
  <c r="K657" i="3"/>
  <c r="J657" i="3"/>
  <c r="I657" i="3"/>
  <c r="H657" i="3"/>
  <c r="K587" i="3"/>
  <c r="J587" i="3"/>
  <c r="I587" i="3"/>
  <c r="H587" i="3"/>
  <c r="P587" i="3"/>
  <c r="P591" i="3"/>
  <c r="K591" i="3"/>
  <c r="J591" i="3"/>
  <c r="I591" i="3"/>
  <c r="H591" i="3"/>
  <c r="K654" i="3"/>
  <c r="J654" i="3"/>
  <c r="I654" i="3"/>
  <c r="H654" i="3"/>
  <c r="P654" i="3"/>
  <c r="J590" i="3"/>
  <c r="I590" i="3"/>
  <c r="H590" i="3"/>
  <c r="P590" i="3"/>
  <c r="K590" i="3"/>
  <c r="J595" i="3"/>
  <c r="I595" i="3"/>
  <c r="H595" i="3"/>
  <c r="P595" i="3"/>
  <c r="K595" i="3"/>
  <c r="P643" i="3"/>
  <c r="K643" i="3"/>
  <c r="J643" i="3"/>
  <c r="I643" i="3"/>
  <c r="H643" i="3"/>
  <c r="J640" i="3"/>
  <c r="I640" i="3"/>
  <c r="H640" i="3"/>
  <c r="K640" i="3"/>
  <c r="P640" i="3"/>
  <c r="P612" i="3"/>
  <c r="K612" i="3"/>
  <c r="J612" i="3"/>
  <c r="I612" i="3"/>
  <c r="H612" i="3"/>
  <c r="J535" i="3"/>
  <c r="I535" i="3"/>
  <c r="H535" i="3"/>
  <c r="P535" i="3"/>
  <c r="K535" i="3"/>
  <c r="K613" i="3"/>
  <c r="J613" i="3"/>
  <c r="I613" i="3"/>
  <c r="P613" i="3"/>
  <c r="AS1033" i="8" s="1"/>
  <c r="H613" i="3"/>
  <c r="P552" i="3"/>
  <c r="K552" i="3"/>
  <c r="J552" i="3"/>
  <c r="I552" i="3"/>
  <c r="H552" i="3"/>
  <c r="K579" i="3"/>
  <c r="P579" i="3"/>
  <c r="J579" i="3"/>
  <c r="I579" i="3"/>
  <c r="H579" i="3"/>
  <c r="K607" i="3"/>
  <c r="J607" i="3"/>
  <c r="I607" i="3"/>
  <c r="H607" i="3"/>
  <c r="P607" i="3"/>
  <c r="P616" i="3"/>
  <c r="K616" i="3"/>
  <c r="J616" i="3"/>
  <c r="I616" i="3"/>
  <c r="H616" i="3"/>
  <c r="K559" i="3"/>
  <c r="P559" i="3"/>
  <c r="J559" i="3"/>
  <c r="I559" i="3"/>
  <c r="H559" i="3"/>
  <c r="P537" i="3"/>
  <c r="K537" i="3"/>
  <c r="J537" i="3"/>
  <c r="I537" i="3"/>
  <c r="H537" i="3"/>
  <c r="P557" i="3"/>
  <c r="K557" i="3"/>
  <c r="J557" i="3"/>
  <c r="I557" i="3"/>
  <c r="H557" i="3"/>
  <c r="K653" i="3"/>
  <c r="J653" i="3"/>
  <c r="I653" i="3"/>
  <c r="P653" i="3"/>
  <c r="AS1126" i="8" s="1"/>
  <c r="H653" i="3"/>
  <c r="J620" i="3"/>
  <c r="I620" i="3"/>
  <c r="H620" i="3"/>
  <c r="P620" i="3"/>
  <c r="K620" i="3"/>
  <c r="P577" i="3"/>
  <c r="K577" i="3"/>
  <c r="J577" i="3"/>
  <c r="I577" i="3"/>
  <c r="H577" i="3"/>
  <c r="K606" i="3"/>
  <c r="J606" i="3"/>
  <c r="P606" i="3"/>
  <c r="I606" i="3"/>
  <c r="H606" i="3"/>
  <c r="J540" i="3"/>
  <c r="I540" i="3"/>
  <c r="K540" i="3"/>
  <c r="H540" i="3"/>
  <c r="P540" i="3"/>
  <c r="AS862" i="8" s="1"/>
  <c r="P638" i="3"/>
  <c r="K638" i="3"/>
  <c r="J638" i="3"/>
  <c r="I638" i="3"/>
  <c r="H638" i="3"/>
  <c r="K608" i="3"/>
  <c r="J608" i="3"/>
  <c r="I608" i="3"/>
  <c r="H608" i="3"/>
  <c r="P608" i="3"/>
  <c r="P663" i="3"/>
  <c r="AS1149" i="8" s="1"/>
  <c r="K663" i="3"/>
  <c r="J663" i="3"/>
  <c r="I663" i="3"/>
  <c r="H663" i="3"/>
  <c r="K626" i="3"/>
  <c r="J626" i="3"/>
  <c r="P626" i="3"/>
  <c r="I626" i="3"/>
  <c r="H626" i="3"/>
  <c r="K544" i="3"/>
  <c r="P544" i="3"/>
  <c r="J544" i="3"/>
  <c r="I544" i="3"/>
  <c r="H544" i="3"/>
  <c r="J580" i="3"/>
  <c r="I580" i="3"/>
  <c r="H580" i="3"/>
  <c r="P580" i="3"/>
  <c r="K580" i="3"/>
  <c r="J600" i="3"/>
  <c r="I600" i="3"/>
  <c r="H600" i="3"/>
  <c r="P600" i="3"/>
  <c r="K600" i="3"/>
  <c r="K646" i="3"/>
  <c r="J646" i="3"/>
  <c r="P646" i="3"/>
  <c r="I646" i="3"/>
  <c r="H646" i="3"/>
  <c r="P581" i="3"/>
  <c r="K581" i="3"/>
  <c r="J581" i="3"/>
  <c r="I581" i="3"/>
  <c r="H581" i="3"/>
  <c r="P584" i="3"/>
  <c r="K584" i="3"/>
  <c r="J584" i="3"/>
  <c r="I584" i="3"/>
  <c r="H584" i="3"/>
  <c r="K548" i="3"/>
  <c r="J548" i="3"/>
  <c r="I548" i="3"/>
  <c r="H548" i="3"/>
  <c r="P548" i="3"/>
  <c r="J625" i="3"/>
  <c r="K625" i="3"/>
  <c r="I625" i="3"/>
  <c r="H625" i="3"/>
  <c r="P625" i="3"/>
  <c r="AS1061" i="8" s="1"/>
  <c r="P522" i="3"/>
  <c r="J522" i="3"/>
  <c r="K522" i="3"/>
  <c r="I522" i="3"/>
  <c r="H522" i="3"/>
  <c r="P611" i="3"/>
  <c r="K611" i="3"/>
  <c r="J611" i="3"/>
  <c r="I611" i="3"/>
  <c r="H611" i="3"/>
  <c r="K628" i="3"/>
  <c r="J628" i="3"/>
  <c r="I628" i="3"/>
  <c r="H628" i="3"/>
  <c r="P628" i="3"/>
  <c r="P521" i="3"/>
  <c r="K521" i="3"/>
  <c r="J521" i="3"/>
  <c r="H521" i="3"/>
  <c r="I521" i="3"/>
  <c r="P651" i="3"/>
  <c r="K651" i="3"/>
  <c r="J651" i="3"/>
  <c r="I651" i="3"/>
  <c r="H651" i="3"/>
  <c r="P583" i="3"/>
  <c r="K583" i="3"/>
  <c r="J583" i="3"/>
  <c r="I583" i="3"/>
  <c r="H583" i="3"/>
  <c r="J530" i="3"/>
  <c r="I530" i="3"/>
  <c r="H530" i="3"/>
  <c r="K530" i="3"/>
  <c r="P530" i="3"/>
  <c r="P561" i="3"/>
  <c r="K561" i="3"/>
  <c r="J561" i="3"/>
  <c r="I561" i="3"/>
  <c r="H561" i="3"/>
  <c r="J615" i="3"/>
  <c r="I615" i="3"/>
  <c r="H615" i="3"/>
  <c r="K615" i="3"/>
  <c r="P615" i="3"/>
  <c r="P631" i="3"/>
  <c r="K631" i="3"/>
  <c r="J631" i="3"/>
  <c r="I631" i="3"/>
  <c r="H631" i="3"/>
  <c r="P524" i="3"/>
  <c r="K524" i="3"/>
  <c r="J524" i="3"/>
  <c r="I524" i="3"/>
  <c r="H524" i="3"/>
  <c r="K639" i="3"/>
  <c r="P639" i="3"/>
  <c r="AS1093" i="8" s="1"/>
  <c r="J639" i="3"/>
  <c r="I639" i="3"/>
  <c r="H639" i="3"/>
  <c r="K634" i="3"/>
  <c r="J634" i="3"/>
  <c r="I634" i="3"/>
  <c r="H634" i="3"/>
  <c r="P634" i="3"/>
  <c r="P597" i="3"/>
  <c r="K597" i="3"/>
  <c r="J597" i="3"/>
  <c r="I597" i="3"/>
  <c r="H597" i="3"/>
  <c r="K549" i="3"/>
  <c r="J549" i="3"/>
  <c r="I549" i="3"/>
  <c r="H549" i="3"/>
  <c r="P549" i="3"/>
  <c r="P564" i="3"/>
  <c r="K564" i="3"/>
  <c r="J564" i="3"/>
  <c r="I564" i="3"/>
  <c r="H564" i="3"/>
  <c r="P622" i="3"/>
  <c r="K622" i="3"/>
  <c r="J622" i="3"/>
  <c r="I622" i="3"/>
  <c r="H622" i="3"/>
  <c r="J655" i="3"/>
  <c r="I655" i="3"/>
  <c r="H655" i="3"/>
  <c r="P655" i="3"/>
  <c r="K655" i="3"/>
  <c r="K573" i="3"/>
  <c r="J573" i="3"/>
  <c r="I573" i="3"/>
  <c r="P573" i="3"/>
  <c r="H573" i="3"/>
  <c r="P596" i="3"/>
  <c r="K596" i="3"/>
  <c r="J596" i="3"/>
  <c r="I596" i="3"/>
  <c r="H596" i="3"/>
  <c r="P632" i="3"/>
  <c r="K632" i="3"/>
  <c r="J632" i="3"/>
  <c r="I632" i="3"/>
  <c r="H632" i="3"/>
  <c r="K529" i="3"/>
  <c r="J529" i="3"/>
  <c r="I529" i="3"/>
  <c r="H529" i="3"/>
  <c r="P529" i="3"/>
  <c r="P592" i="3"/>
  <c r="K592" i="3"/>
  <c r="J592" i="3"/>
  <c r="I592" i="3"/>
  <c r="H592" i="3"/>
  <c r="K569" i="3"/>
  <c r="J569" i="3"/>
  <c r="I569" i="3"/>
  <c r="H569" i="3"/>
  <c r="P569" i="3"/>
  <c r="AS930" i="8" s="1"/>
  <c r="K568" i="3"/>
  <c r="J568" i="3"/>
  <c r="I568" i="3"/>
  <c r="H568" i="3"/>
  <c r="P568" i="3"/>
  <c r="J560" i="3"/>
  <c r="I560" i="3"/>
  <c r="H560" i="3"/>
  <c r="P560" i="3"/>
  <c r="K560" i="3"/>
  <c r="K588" i="3"/>
  <c r="J588" i="3"/>
  <c r="I588" i="3"/>
  <c r="H588" i="3"/>
  <c r="P588" i="3"/>
  <c r="K539" i="3"/>
  <c r="P539" i="3"/>
  <c r="AS860" i="8" s="1"/>
  <c r="J539" i="3"/>
  <c r="I539" i="3"/>
  <c r="H539" i="3"/>
  <c r="P641" i="3"/>
  <c r="K641" i="3"/>
  <c r="J641" i="3"/>
  <c r="I641" i="3"/>
  <c r="H641" i="3"/>
  <c r="K546" i="3"/>
  <c r="J546" i="3"/>
  <c r="H546" i="3"/>
  <c r="P546" i="3"/>
  <c r="I546" i="3"/>
  <c r="J635" i="3"/>
  <c r="I635" i="3"/>
  <c r="H635" i="3"/>
  <c r="K635" i="3"/>
  <c r="P635" i="3"/>
  <c r="K533" i="3"/>
  <c r="J533" i="3"/>
  <c r="I533" i="3"/>
  <c r="P533" i="3"/>
  <c r="AS846" i="8" s="1"/>
  <c r="H533" i="3"/>
  <c r="K589" i="3"/>
  <c r="J589" i="3"/>
  <c r="I589" i="3"/>
  <c r="H589" i="3"/>
  <c r="P589" i="3"/>
  <c r="K627" i="3"/>
  <c r="J627" i="3"/>
  <c r="I627" i="3"/>
  <c r="H627" i="3"/>
  <c r="P627" i="3"/>
  <c r="P661" i="3"/>
  <c r="K661" i="3"/>
  <c r="J661" i="3"/>
  <c r="I661" i="3"/>
  <c r="H661" i="3"/>
  <c r="K659" i="3"/>
  <c r="P659" i="3"/>
  <c r="AS1140" i="8" s="1"/>
  <c r="J659" i="3"/>
  <c r="I659" i="3"/>
  <c r="H659" i="3"/>
  <c r="P538" i="3"/>
  <c r="K538" i="3"/>
  <c r="J538" i="3"/>
  <c r="I538" i="3"/>
  <c r="H538" i="3"/>
  <c r="P556" i="3"/>
  <c r="K556" i="3"/>
  <c r="J556" i="3"/>
  <c r="I556" i="3"/>
  <c r="H556" i="3"/>
  <c r="P562" i="3"/>
  <c r="K562" i="3"/>
  <c r="J562" i="3"/>
  <c r="I562" i="3"/>
  <c r="H562" i="3"/>
  <c r="P572" i="3"/>
  <c r="K572" i="3"/>
  <c r="J572" i="3"/>
  <c r="I572" i="3"/>
  <c r="H572" i="3"/>
  <c r="P523" i="3"/>
  <c r="K523" i="3"/>
  <c r="J523" i="3"/>
  <c r="I523" i="3"/>
  <c r="H523" i="3"/>
  <c r="P658" i="3"/>
  <c r="K658" i="3"/>
  <c r="J658" i="3"/>
  <c r="I658" i="3"/>
  <c r="H658" i="3"/>
  <c r="P517" i="3"/>
  <c r="I517" i="3"/>
  <c r="K517" i="3"/>
  <c r="J517" i="3"/>
  <c r="H517" i="3"/>
  <c r="J550" i="3"/>
  <c r="I550" i="3"/>
  <c r="H550" i="3"/>
  <c r="K550" i="3"/>
  <c r="P550" i="3"/>
  <c r="AS886" i="8" s="1"/>
  <c r="P543" i="3"/>
  <c r="K543" i="3"/>
  <c r="J543" i="3"/>
  <c r="I543" i="3"/>
  <c r="H543" i="3"/>
  <c r="P603" i="3"/>
  <c r="K603" i="3"/>
  <c r="J603" i="3"/>
  <c r="I603" i="3"/>
  <c r="H603" i="3"/>
  <c r="P551" i="3"/>
  <c r="H551" i="3"/>
  <c r="K551" i="3"/>
  <c r="J551" i="3"/>
  <c r="I551" i="3"/>
  <c r="P601" i="3"/>
  <c r="K601" i="3"/>
  <c r="J601" i="3"/>
  <c r="I601" i="3"/>
  <c r="H601" i="3"/>
  <c r="K553" i="3"/>
  <c r="J553" i="3"/>
  <c r="I553" i="3"/>
  <c r="P553" i="3"/>
  <c r="H553" i="3"/>
  <c r="P617" i="3"/>
  <c r="K617" i="3"/>
  <c r="J617" i="3"/>
  <c r="I617" i="3"/>
  <c r="H617" i="3"/>
  <c r="P656" i="3"/>
  <c r="K656" i="3"/>
  <c r="J656" i="3"/>
  <c r="I656" i="3"/>
  <c r="H656" i="3"/>
  <c r="K593" i="3"/>
  <c r="J593" i="3"/>
  <c r="I593" i="3"/>
  <c r="P593" i="3"/>
  <c r="AS986" i="8" s="1"/>
  <c r="H593" i="3"/>
  <c r="K644" i="3"/>
  <c r="J644" i="3"/>
  <c r="I644" i="3"/>
  <c r="H644" i="3"/>
  <c r="P644" i="3"/>
  <c r="K633" i="3"/>
  <c r="J633" i="3"/>
  <c r="I633" i="3"/>
  <c r="P633" i="3"/>
  <c r="H633" i="3"/>
  <c r="P582" i="3"/>
  <c r="K582" i="3"/>
  <c r="J582" i="3"/>
  <c r="I582" i="3"/>
  <c r="H582" i="3"/>
  <c r="J610" i="3"/>
  <c r="I610" i="3"/>
  <c r="H610" i="3"/>
  <c r="K610" i="3"/>
  <c r="P610" i="3"/>
  <c r="AS1026" i="8" s="1"/>
  <c r="J660" i="3"/>
  <c r="I660" i="3"/>
  <c r="H660" i="3"/>
  <c r="P660" i="3"/>
  <c r="K660" i="3"/>
  <c r="K649" i="3"/>
  <c r="J649" i="3"/>
  <c r="I649" i="3"/>
  <c r="H649" i="3"/>
  <c r="P649" i="3"/>
  <c r="P518" i="3"/>
  <c r="K518" i="3"/>
  <c r="J518" i="3"/>
  <c r="I518" i="3"/>
  <c r="H518" i="3"/>
  <c r="J555" i="3"/>
  <c r="I555" i="3"/>
  <c r="H555" i="3"/>
  <c r="P555" i="3"/>
  <c r="AS897" i="8" s="1"/>
  <c r="K555" i="3"/>
  <c r="P621" i="3"/>
  <c r="K621" i="3"/>
  <c r="J621" i="3"/>
  <c r="I621" i="3"/>
  <c r="H621" i="3"/>
  <c r="P536" i="3"/>
  <c r="K536" i="3"/>
  <c r="J536" i="3"/>
  <c r="I536" i="3"/>
  <c r="H536" i="3"/>
  <c r="K604" i="3"/>
  <c r="J604" i="3"/>
  <c r="P604" i="3"/>
  <c r="I604" i="3"/>
  <c r="H604" i="3"/>
  <c r="P602" i="3"/>
  <c r="K602" i="3"/>
  <c r="J602" i="3"/>
  <c r="I602" i="3"/>
  <c r="H602" i="3"/>
  <c r="J525" i="3"/>
  <c r="I525" i="3"/>
  <c r="H525" i="3"/>
  <c r="K525" i="3"/>
  <c r="P525" i="3"/>
  <c r="J570" i="3"/>
  <c r="K570" i="3"/>
  <c r="I570" i="3"/>
  <c r="H570" i="3"/>
  <c r="P570" i="3"/>
  <c r="J520" i="3"/>
  <c r="K520" i="3"/>
  <c r="I520" i="3"/>
  <c r="H520" i="3"/>
  <c r="P520" i="3"/>
  <c r="P642" i="3"/>
  <c r="K642" i="3"/>
  <c r="J642" i="3"/>
  <c r="I642" i="3"/>
  <c r="H642" i="3"/>
  <c r="K586" i="3"/>
  <c r="J586" i="3"/>
  <c r="P586" i="3"/>
  <c r="I586" i="3"/>
  <c r="H586" i="3"/>
  <c r="P618" i="3"/>
  <c r="K618" i="3"/>
  <c r="J618" i="3"/>
  <c r="I618" i="3"/>
  <c r="H618" i="3"/>
  <c r="K599" i="3"/>
  <c r="P599" i="3"/>
  <c r="J599" i="3"/>
  <c r="I599" i="3"/>
  <c r="H599" i="3"/>
  <c r="K534" i="3"/>
  <c r="J534" i="3"/>
  <c r="I534" i="3"/>
  <c r="H534" i="3"/>
  <c r="P534" i="3"/>
  <c r="AS848" i="8" s="1"/>
  <c r="J545" i="3"/>
  <c r="I545" i="3"/>
  <c r="H545" i="3"/>
  <c r="K545" i="3"/>
  <c r="P545" i="3"/>
  <c r="J630" i="3"/>
  <c r="I630" i="3"/>
  <c r="K630" i="3"/>
  <c r="H630" i="3"/>
  <c r="P630" i="3"/>
  <c r="J532" i="3"/>
  <c r="P532" i="3"/>
  <c r="K532" i="3"/>
  <c r="I532" i="3"/>
  <c r="H532" i="3"/>
  <c r="P542" i="3"/>
  <c r="K542" i="3"/>
  <c r="J542" i="3"/>
  <c r="I542" i="3"/>
  <c r="H542" i="3"/>
  <c r="P662" i="3"/>
  <c r="K662" i="3"/>
  <c r="J662" i="3"/>
  <c r="I662" i="3"/>
  <c r="H662" i="3"/>
  <c r="J565" i="3"/>
  <c r="I565" i="3"/>
  <c r="H565" i="3"/>
  <c r="K565" i="3"/>
  <c r="P565" i="3"/>
  <c r="K574" i="3"/>
  <c r="J574" i="3"/>
  <c r="I574" i="3"/>
  <c r="H574" i="3"/>
  <c r="P574" i="3"/>
  <c r="K554" i="3"/>
  <c r="J554" i="3"/>
  <c r="I554" i="3"/>
  <c r="H554" i="3"/>
  <c r="P554" i="3"/>
  <c r="AS895" i="8" s="1"/>
  <c r="J645" i="3"/>
  <c r="I645" i="3"/>
  <c r="H645" i="3"/>
  <c r="K645" i="3"/>
  <c r="P645" i="3"/>
  <c r="K648" i="3"/>
  <c r="J648" i="3"/>
  <c r="I648" i="3"/>
  <c r="H648" i="3"/>
  <c r="P648" i="3"/>
  <c r="H526" i="3"/>
  <c r="K526" i="3"/>
  <c r="J526" i="3"/>
  <c r="P526" i="3"/>
  <c r="I526" i="3"/>
  <c r="K566" i="3"/>
  <c r="J566" i="3"/>
  <c r="H566" i="3"/>
  <c r="P566" i="3"/>
  <c r="AS923" i="8" s="1"/>
  <c r="I566" i="3"/>
  <c r="P571" i="3"/>
  <c r="K571" i="3"/>
  <c r="H571" i="3"/>
  <c r="J571" i="3"/>
  <c r="I571" i="3"/>
  <c r="P598" i="3"/>
  <c r="K598" i="3"/>
  <c r="J598" i="3"/>
  <c r="I598" i="3"/>
  <c r="H598" i="3"/>
  <c r="K519" i="3"/>
  <c r="P519" i="3"/>
  <c r="J519" i="3"/>
  <c r="I519" i="3"/>
  <c r="H519" i="3"/>
  <c r="P576" i="3"/>
  <c r="AS946" i="8" s="1"/>
  <c r="K576" i="3"/>
  <c r="J576" i="3"/>
  <c r="I576" i="3"/>
  <c r="H576" i="3"/>
  <c r="K609" i="3"/>
  <c r="J609" i="3"/>
  <c r="I609" i="3"/>
  <c r="H609" i="3"/>
  <c r="P609" i="3"/>
  <c r="K624" i="3"/>
  <c r="J624" i="3"/>
  <c r="I624" i="3"/>
  <c r="H624" i="3"/>
  <c r="P624" i="3"/>
  <c r="K527" i="3"/>
  <c r="J527" i="3"/>
  <c r="I527" i="3"/>
  <c r="H527" i="3"/>
  <c r="P527" i="3"/>
  <c r="J585" i="3"/>
  <c r="I585" i="3"/>
  <c r="K585" i="3"/>
  <c r="H585" i="3"/>
  <c r="P585" i="3"/>
  <c r="AS967" i="8" s="1"/>
  <c r="K594" i="3"/>
  <c r="J594" i="3"/>
  <c r="I594" i="3"/>
  <c r="H594" i="3"/>
  <c r="P594" i="3"/>
  <c r="K528" i="3"/>
  <c r="J528" i="3"/>
  <c r="I528" i="3"/>
  <c r="H528" i="3"/>
  <c r="P528" i="3"/>
  <c r="P636" i="3"/>
  <c r="K636" i="3"/>
  <c r="J636" i="3"/>
  <c r="I636" i="3"/>
  <c r="H636" i="3"/>
  <c r="K547" i="3"/>
  <c r="J547" i="3"/>
  <c r="I547" i="3"/>
  <c r="H547" i="3"/>
  <c r="P547" i="3"/>
  <c r="AS879" i="8" s="1"/>
  <c r="J605" i="3"/>
  <c r="I605" i="3"/>
  <c r="H605" i="3"/>
  <c r="K605" i="3"/>
  <c r="P605" i="3"/>
  <c r="P623" i="3"/>
  <c r="AS1056" i="8" s="1"/>
  <c r="K623" i="3"/>
  <c r="J623" i="3"/>
  <c r="I623" i="3"/>
  <c r="H623" i="3"/>
  <c r="K647" i="3"/>
  <c r="J647" i="3"/>
  <c r="I647" i="3"/>
  <c r="H647" i="3"/>
  <c r="P647" i="3"/>
  <c r="J575" i="3"/>
  <c r="I575" i="3"/>
  <c r="H575" i="3"/>
  <c r="P575" i="3"/>
  <c r="AS944" i="8" s="1"/>
  <c r="K575" i="3"/>
  <c r="K619" i="3"/>
  <c r="P619" i="3"/>
  <c r="AS1047" i="8" s="1"/>
  <c r="J619" i="3"/>
  <c r="I619" i="3"/>
  <c r="H619" i="3"/>
  <c r="P578" i="3"/>
  <c r="K578" i="3"/>
  <c r="J578" i="3"/>
  <c r="I578" i="3"/>
  <c r="H578" i="3"/>
  <c r="P558" i="3"/>
  <c r="K558" i="3"/>
  <c r="J558" i="3"/>
  <c r="I558" i="3"/>
  <c r="H558" i="3"/>
  <c r="K629" i="3"/>
  <c r="J629" i="3"/>
  <c r="I629" i="3"/>
  <c r="H629" i="3"/>
  <c r="P629" i="3"/>
  <c r="AS1070" i="8" s="1"/>
  <c r="K567" i="3"/>
  <c r="J567" i="3"/>
  <c r="I567" i="3"/>
  <c r="H567" i="3"/>
  <c r="P567" i="3"/>
  <c r="K614" i="3"/>
  <c r="J614" i="3"/>
  <c r="I614" i="3"/>
  <c r="H614" i="3"/>
  <c r="P614" i="3"/>
  <c r="AS1035" i="8" s="1"/>
  <c r="P563" i="3"/>
  <c r="AS916" i="8" s="1"/>
  <c r="K563" i="3"/>
  <c r="J563" i="3"/>
  <c r="I563" i="3"/>
  <c r="H563" i="3"/>
  <c r="Y528" i="3"/>
  <c r="X528" i="3" s="1"/>
  <c r="Y643" i="3"/>
  <c r="X643" i="3" s="1"/>
  <c r="Y640" i="3"/>
  <c r="X640" i="3" s="1"/>
  <c r="Y612" i="3"/>
  <c r="X612" i="3" s="1"/>
  <c r="Y535" i="3"/>
  <c r="X535" i="3" s="1"/>
  <c r="Y613" i="3"/>
  <c r="X613" i="3" s="1"/>
  <c r="AS890" i="8"/>
  <c r="Y552" i="3"/>
  <c r="X552" i="3" s="1"/>
  <c r="Y579" i="3"/>
  <c r="X579" i="3" s="1"/>
  <c r="Y607" i="3"/>
  <c r="X607" i="3" s="1"/>
  <c r="Y616" i="3"/>
  <c r="X616" i="3" s="1"/>
  <c r="AS1119" i="8"/>
  <c r="Y650" i="3"/>
  <c r="X650" i="3" s="1"/>
  <c r="Y539" i="3"/>
  <c r="X539" i="3" s="1"/>
  <c r="Y641" i="3"/>
  <c r="X641" i="3" s="1"/>
  <c r="Y522" i="3"/>
  <c r="X522" i="3" s="1"/>
  <c r="Y542" i="3"/>
  <c r="X542" i="3" s="1"/>
  <c r="AS907" i="8"/>
  <c r="Y559" i="3"/>
  <c r="X559" i="3" s="1"/>
  <c r="AS855" i="8"/>
  <c r="Y537" i="3"/>
  <c r="X537" i="3" s="1"/>
  <c r="Y557" i="3"/>
  <c r="X557" i="3" s="1"/>
  <c r="Y653" i="3"/>
  <c r="X653" i="3" s="1"/>
  <c r="Y606" i="3"/>
  <c r="X606" i="3" s="1"/>
  <c r="Y540" i="3"/>
  <c r="X540" i="3" s="1"/>
  <c r="Y638" i="3"/>
  <c r="X638" i="3" s="1"/>
  <c r="Y608" i="3"/>
  <c r="X608" i="3" s="1"/>
  <c r="Y620" i="3"/>
  <c r="X620" i="3" s="1"/>
  <c r="Y577" i="3"/>
  <c r="X577" i="3" s="1"/>
  <c r="Y663" i="3"/>
  <c r="X663" i="3" s="1"/>
  <c r="AS1063" i="8"/>
  <c r="Y626" i="3"/>
  <c r="X626" i="3" s="1"/>
  <c r="Y544" i="3"/>
  <c r="X544" i="3" s="1"/>
  <c r="Y580" i="3"/>
  <c r="X580" i="3" s="1"/>
  <c r="Y600" i="3"/>
  <c r="X600" i="3" s="1"/>
  <c r="AS1138" i="8"/>
  <c r="Y658" i="3"/>
  <c r="X658" i="3" s="1"/>
  <c r="Y623" i="3"/>
  <c r="X623" i="3" s="1"/>
  <c r="Y611" i="3"/>
  <c r="X611" i="3" s="1"/>
  <c r="Y628" i="3"/>
  <c r="X628" i="3" s="1"/>
  <c r="Y597" i="3"/>
  <c r="X597" i="3" s="1"/>
  <c r="AS1110" i="8"/>
  <c r="Y646" i="3"/>
  <c r="X646" i="3" s="1"/>
  <c r="AS818" i="8"/>
  <c r="Y521" i="3"/>
  <c r="AH521" i="3" s="1"/>
  <c r="Y581" i="3"/>
  <c r="X581" i="3" s="1"/>
  <c r="Y584" i="3"/>
  <c r="X584" i="3" s="1"/>
  <c r="Y548" i="3"/>
  <c r="X548" i="3" s="1"/>
  <c r="Y625" i="3"/>
  <c r="AH625" i="3" s="1"/>
  <c r="AS991" i="8"/>
  <c r="Y595" i="3"/>
  <c r="X595" i="3" s="1"/>
  <c r="AS1121" i="8"/>
  <c r="Y651" i="3"/>
  <c r="X651" i="3" s="1"/>
  <c r="AS963" i="8"/>
  <c r="Y583" i="3"/>
  <c r="X583" i="3" s="1"/>
  <c r="AS839" i="8"/>
  <c r="Y530" i="3"/>
  <c r="X530" i="3" s="1"/>
  <c r="AS911" i="8"/>
  <c r="Y561" i="3"/>
  <c r="X561" i="3" s="1"/>
  <c r="AS1037" i="8"/>
  <c r="Y615" i="3"/>
  <c r="X615" i="3" s="1"/>
  <c r="Y631" i="3"/>
  <c r="X631" i="3" s="1"/>
  <c r="Y524" i="3"/>
  <c r="X524" i="3" s="1"/>
  <c r="Y549" i="3"/>
  <c r="X549" i="3" s="1"/>
  <c r="AS918" i="8"/>
  <c r="Y564" i="3"/>
  <c r="X564" i="3" s="1"/>
  <c r="Y639" i="3"/>
  <c r="X639" i="3" s="1"/>
  <c r="AS1054" i="8"/>
  <c r="Y622" i="3"/>
  <c r="X622" i="3" s="1"/>
  <c r="Y634" i="3"/>
  <c r="X634" i="3" s="1"/>
  <c r="AS1131" i="8"/>
  <c r="Y655" i="3"/>
  <c r="X655" i="3" s="1"/>
  <c r="AS939" i="8"/>
  <c r="Y573" i="3"/>
  <c r="X573" i="3" s="1"/>
  <c r="AS993" i="8"/>
  <c r="Y596" i="3"/>
  <c r="X596" i="3" s="1"/>
  <c r="AS1077" i="8"/>
  <c r="Y632" i="3"/>
  <c r="X632" i="3" s="1"/>
  <c r="Y529" i="3"/>
  <c r="X529" i="3" s="1"/>
  <c r="Y592" i="3"/>
  <c r="X592" i="3" s="1"/>
  <c r="Y569" i="3"/>
  <c r="X569" i="3" s="1"/>
  <c r="AS928" i="8"/>
  <c r="Y568" i="3"/>
  <c r="X568" i="3" s="1"/>
  <c r="Y560" i="3"/>
  <c r="X560" i="3" s="1"/>
  <c r="AS974" i="8"/>
  <c r="Y588" i="3"/>
  <c r="X588" i="3" s="1"/>
  <c r="AS1135" i="8"/>
  <c r="Y657" i="3"/>
  <c r="X657" i="3" s="1"/>
  <c r="AS1145" i="8"/>
  <c r="Y661" i="3"/>
  <c r="X661" i="3" s="1"/>
  <c r="AS876" i="8"/>
  <c r="Y546" i="3"/>
  <c r="X546" i="3" s="1"/>
  <c r="Y635" i="3"/>
  <c r="X635" i="3" s="1"/>
  <c r="Y533" i="3"/>
  <c r="X533" i="3" s="1"/>
  <c r="Y589" i="3"/>
  <c r="X589" i="3" s="1"/>
  <c r="AS1065" i="8"/>
  <c r="Y627" i="3"/>
  <c r="X627" i="3" s="1"/>
  <c r="Y659" i="3"/>
  <c r="X659" i="3" s="1"/>
  <c r="AS858" i="8"/>
  <c r="Y538" i="3"/>
  <c r="X538" i="3" s="1"/>
  <c r="AS900" i="8"/>
  <c r="Y556" i="3"/>
  <c r="X556" i="3" s="1"/>
  <c r="AS914" i="8"/>
  <c r="Y562" i="3"/>
  <c r="X562" i="3" s="1"/>
  <c r="AS937" i="8"/>
  <c r="Y572" i="3"/>
  <c r="X572" i="3" s="1"/>
  <c r="AS823" i="8"/>
  <c r="Y523" i="3"/>
  <c r="X523" i="3" s="1"/>
  <c r="AS979" i="8"/>
  <c r="Y590" i="3"/>
  <c r="AH590" i="3" s="1"/>
  <c r="AS972" i="8"/>
  <c r="Y587" i="3"/>
  <c r="X587" i="3" s="1"/>
  <c r="AS1133" i="8"/>
  <c r="Y656" i="3"/>
  <c r="X656" i="3" s="1"/>
  <c r="Y593" i="3"/>
  <c r="X593" i="3" s="1"/>
  <c r="Y550" i="3"/>
  <c r="X550" i="3" s="1"/>
  <c r="AS869" i="8"/>
  <c r="Y543" i="3"/>
  <c r="X543" i="3" s="1"/>
  <c r="AS1105" i="8"/>
  <c r="Y644" i="3"/>
  <c r="X644" i="3" s="1"/>
  <c r="AS1009" i="8"/>
  <c r="Y603" i="3"/>
  <c r="X603" i="3" s="1"/>
  <c r="AS888" i="8"/>
  <c r="Y551" i="3"/>
  <c r="X551" i="3" s="1"/>
  <c r="AS1079" i="8"/>
  <c r="Y633" i="3"/>
  <c r="X633" i="3" s="1"/>
  <c r="AS960" i="8"/>
  <c r="Y582" i="3"/>
  <c r="X582" i="3" s="1"/>
  <c r="Y610" i="3"/>
  <c r="X610" i="3" s="1"/>
  <c r="AS1142" i="8"/>
  <c r="Y660" i="3"/>
  <c r="X660" i="3" s="1"/>
  <c r="AS1005" i="8"/>
  <c r="Y601" i="3"/>
  <c r="X601" i="3" s="1"/>
  <c r="AS893" i="8"/>
  <c r="Y553" i="3"/>
  <c r="X553" i="3" s="1"/>
  <c r="AS1042" i="8"/>
  <c r="Y617" i="3"/>
  <c r="X617" i="3" s="1"/>
  <c r="AS1117" i="8"/>
  <c r="Y649" i="3"/>
  <c r="X649" i="3" s="1"/>
  <c r="Y555" i="3"/>
  <c r="X555" i="3" s="1"/>
  <c r="AS1051" i="8"/>
  <c r="Y621" i="3"/>
  <c r="X621" i="3" s="1"/>
  <c r="AS853" i="8"/>
  <c r="Y536" i="3"/>
  <c r="AS1012" i="8"/>
  <c r="Y604" i="3"/>
  <c r="X604" i="3" s="1"/>
  <c r="AS1007" i="8"/>
  <c r="Y602" i="3"/>
  <c r="X602" i="3" s="1"/>
  <c r="AS827" i="8"/>
  <c r="Y525" i="3"/>
  <c r="AH525" i="3" s="1"/>
  <c r="AS932" i="8"/>
  <c r="Y570" i="3"/>
  <c r="X570" i="3" s="1"/>
  <c r="AS816" i="8"/>
  <c r="Y520" i="3"/>
  <c r="AH520" i="3" s="1"/>
  <c r="AS1100" i="8"/>
  <c r="Y642" i="3"/>
  <c r="X642" i="3" s="1"/>
  <c r="AS970" i="8"/>
  <c r="Y586" i="3"/>
  <c r="X586" i="3" s="1"/>
  <c r="AS1044" i="8"/>
  <c r="Y618" i="3"/>
  <c r="X618" i="3" s="1"/>
  <c r="AS1000" i="8"/>
  <c r="Y599" i="3"/>
  <c r="X599" i="3" s="1"/>
  <c r="Y534" i="3"/>
  <c r="X534" i="3" s="1"/>
  <c r="AS874" i="8"/>
  <c r="Y545" i="3"/>
  <c r="AS1072" i="8"/>
  <c r="Y630" i="3"/>
  <c r="X630" i="3" s="1"/>
  <c r="AS844" i="8"/>
  <c r="Y532" i="3"/>
  <c r="X532" i="3" s="1"/>
  <c r="AS1147" i="8"/>
  <c r="Y662" i="3"/>
  <c r="X662" i="3" s="1"/>
  <c r="Y554" i="3"/>
  <c r="X554" i="3" s="1"/>
  <c r="AS921" i="8"/>
  <c r="Y565" i="3"/>
  <c r="X565" i="3" s="1"/>
  <c r="AS942" i="8"/>
  <c r="Y574" i="3"/>
  <c r="X574" i="3" s="1"/>
  <c r="AS1107" i="8"/>
  <c r="Y645" i="3"/>
  <c r="X645" i="3" s="1"/>
  <c r="AS1114" i="8"/>
  <c r="Y648" i="3"/>
  <c r="X648" i="3" s="1"/>
  <c r="AS830" i="8"/>
  <c r="Y526" i="3"/>
  <c r="X526" i="3" s="1"/>
  <c r="Y566" i="3"/>
  <c r="X566" i="3" s="1"/>
  <c r="AS935" i="8"/>
  <c r="Y571" i="3"/>
  <c r="X571" i="3" s="1"/>
  <c r="AS998" i="8"/>
  <c r="Y598" i="3"/>
  <c r="X598" i="3" s="1"/>
  <c r="Y576" i="3"/>
  <c r="X576" i="3" s="1"/>
  <c r="AS1023" i="8"/>
  <c r="Y609" i="3"/>
  <c r="X609" i="3" s="1"/>
  <c r="AS1058" i="8"/>
  <c r="Y624" i="3"/>
  <c r="X624" i="3" s="1"/>
  <c r="AS832" i="8"/>
  <c r="Y527" i="3"/>
  <c r="X527" i="3" s="1"/>
  <c r="Y585" i="3"/>
  <c r="X585" i="3" s="1"/>
  <c r="AS988" i="8"/>
  <c r="Y594" i="3"/>
  <c r="X594" i="3" s="1"/>
  <c r="AS1112" i="8"/>
  <c r="Y647" i="3"/>
  <c r="X647" i="3" s="1"/>
  <c r="AS1124" i="8"/>
  <c r="Y652" i="3"/>
  <c r="AS1089" i="8"/>
  <c r="Y637" i="3"/>
  <c r="X637" i="3" s="1"/>
  <c r="AS981" i="8"/>
  <c r="Y591" i="3"/>
  <c r="X591" i="3" s="1"/>
  <c r="AS1086" i="8"/>
  <c r="Y636" i="3"/>
  <c r="X636" i="3" s="1"/>
  <c r="Y547" i="3"/>
  <c r="X547" i="3" s="1"/>
  <c r="AS1014" i="8"/>
  <c r="Y605" i="3"/>
  <c r="X605" i="3" s="1"/>
  <c r="AS1128" i="8"/>
  <c r="Y654" i="3"/>
  <c r="X654" i="3" s="1"/>
  <c r="AS841" i="8"/>
  <c r="Y531" i="3"/>
  <c r="X531" i="3" s="1"/>
  <c r="AS865" i="8"/>
  <c r="Y541" i="3"/>
  <c r="X541" i="3" s="1"/>
  <c r="Y575" i="3"/>
  <c r="X575" i="3" s="1"/>
  <c r="Y619" i="3"/>
  <c r="X619" i="3" s="1"/>
  <c r="AS951" i="8"/>
  <c r="Y578" i="3"/>
  <c r="AS904" i="8"/>
  <c r="Y558" i="3"/>
  <c r="X558" i="3" s="1"/>
  <c r="Y629" i="3"/>
  <c r="X629" i="3" s="1"/>
  <c r="AS925" i="8"/>
  <c r="Y567" i="3"/>
  <c r="X567" i="3" s="1"/>
  <c r="Y614" i="3"/>
  <c r="X614" i="3" s="1"/>
  <c r="Y563" i="3"/>
  <c r="X563" i="3" s="1"/>
  <c r="AS813" i="8"/>
  <c r="Y519" i="3"/>
  <c r="AH519" i="3" s="1"/>
  <c r="AS811" i="8"/>
  <c r="Y518" i="3"/>
  <c r="AH518" i="3" s="1"/>
  <c r="AS809" i="8"/>
  <c r="Y517" i="3"/>
  <c r="AH517" i="3" s="1"/>
  <c r="AS834" i="8"/>
  <c r="AS949" i="8"/>
  <c r="AH595" i="3"/>
  <c r="AS953" i="8"/>
  <c r="AH579" i="3"/>
  <c r="AS1082" i="8"/>
  <c r="AS820" i="8"/>
  <c r="AH622" i="3"/>
  <c r="AS1049" i="8"/>
  <c r="AH620" i="3"/>
  <c r="AS958" i="8"/>
  <c r="AS1075" i="8"/>
  <c r="AH626" i="3"/>
  <c r="AS867" i="8"/>
  <c r="AS1021" i="8"/>
  <c r="AS1084" i="8"/>
  <c r="AH639" i="3"/>
  <c r="AS1091" i="8"/>
  <c r="AS1030" i="8"/>
  <c r="AS1098" i="8"/>
  <c r="AS1019" i="8"/>
  <c r="AH607" i="3"/>
  <c r="AS995" i="8"/>
  <c r="AS1040" i="8"/>
  <c r="AH616" i="3"/>
  <c r="AS851" i="8"/>
  <c r="AS837" i="8"/>
  <c r="AS977" i="8"/>
  <c r="AS902" i="8"/>
  <c r="AS1028" i="8"/>
  <c r="AS965" i="8"/>
  <c r="AH584" i="3"/>
  <c r="AS881" i="8"/>
  <c r="AH548" i="3"/>
  <c r="AS883" i="8"/>
  <c r="AS1016" i="8"/>
  <c r="AS1068" i="8"/>
  <c r="AS1096" i="8"/>
  <c r="AS825" i="8"/>
  <c r="AS872" i="8"/>
  <c r="AH544" i="3"/>
  <c r="AS984" i="8"/>
  <c r="AS956" i="8"/>
  <c r="AS1002" i="8"/>
  <c r="AS909" i="8"/>
  <c r="AS1103" i="8"/>
  <c r="AH650" i="3"/>
  <c r="X21" i="8"/>
  <c r="AH564" i="3" l="1"/>
  <c r="AH528" i="3"/>
  <c r="AH630" i="3"/>
  <c r="AH552" i="3"/>
  <c r="AH658" i="3"/>
  <c r="AH611" i="3"/>
  <c r="AH623" i="3"/>
  <c r="AH537" i="3"/>
  <c r="AH643" i="3"/>
  <c r="AH581" i="3"/>
  <c r="AH640" i="3"/>
  <c r="AH589" i="3"/>
  <c r="AH543" i="3"/>
  <c r="AH539" i="3"/>
  <c r="AH627" i="3"/>
  <c r="AH530" i="3"/>
  <c r="AH593" i="3"/>
  <c r="AH634" i="3"/>
  <c r="AH568" i="3"/>
  <c r="AH522" i="3"/>
  <c r="AH652" i="3"/>
  <c r="AH635" i="3"/>
  <c r="AH662" i="3"/>
  <c r="AH660" i="3"/>
  <c r="AH610" i="3"/>
  <c r="AH656" i="3"/>
  <c r="AH596" i="3"/>
  <c r="AH582" i="3"/>
  <c r="AH583" i="3"/>
  <c r="AH569" i="3"/>
  <c r="AH631" i="3"/>
  <c r="AH560" i="3"/>
  <c r="AH534" i="3"/>
  <c r="AH608" i="3"/>
  <c r="AH542" i="3"/>
  <c r="AH601" i="3"/>
  <c r="AH557" i="3"/>
  <c r="AH587" i="3"/>
  <c r="AH529" i="3"/>
  <c r="AH644" i="3"/>
  <c r="AH604" i="3"/>
  <c r="AH549" i="3"/>
  <c r="AH600" i="3"/>
  <c r="AH576" i="3"/>
  <c r="AH612" i="3"/>
  <c r="AH638" i="3"/>
  <c r="AH617" i="3"/>
  <c r="AH566" i="3"/>
  <c r="AH602" i="3"/>
  <c r="AH655" i="3"/>
  <c r="AH580" i="3"/>
  <c r="AH636" i="3"/>
  <c r="AH651" i="3"/>
  <c r="AH641" i="3"/>
  <c r="AH524" i="3"/>
  <c r="AH570" i="3"/>
  <c r="AH642" i="3"/>
  <c r="AH538" i="3"/>
  <c r="AH659" i="3"/>
  <c r="AH540" i="3"/>
  <c r="AH554" i="3"/>
  <c r="AH546" i="3"/>
  <c r="AH550" i="3"/>
  <c r="AH647" i="3"/>
  <c r="AH523" i="3"/>
  <c r="AH553" i="3"/>
  <c r="AH653" i="3"/>
  <c r="AH536" i="3"/>
  <c r="AH565" i="3"/>
  <c r="AH575" i="3"/>
  <c r="AH628" i="3"/>
  <c r="AH633" i="3"/>
  <c r="AH615" i="3"/>
  <c r="AH526" i="3"/>
  <c r="AH586" i="3"/>
  <c r="AH571" i="3"/>
  <c r="AH629" i="3"/>
  <c r="AH533" i="3"/>
  <c r="AH619" i="3"/>
  <c r="AH632" i="3"/>
  <c r="AH591" i="3"/>
  <c r="AH592" i="3"/>
  <c r="AH532" i="3"/>
  <c r="AH606" i="3"/>
  <c r="AH527" i="3"/>
  <c r="AH588" i="3"/>
  <c r="AH609" i="3"/>
  <c r="AH556" i="3"/>
  <c r="AH531" i="3"/>
  <c r="AH598" i="3"/>
  <c r="AH567" i="3"/>
  <c r="AH605" i="3"/>
  <c r="AH637" i="3"/>
  <c r="AH558" i="3"/>
  <c r="AH547" i="3"/>
  <c r="AH624" i="3"/>
  <c r="AH535" i="3"/>
  <c r="AH645" i="3"/>
  <c r="AH563" i="3"/>
  <c r="AH597" i="3"/>
  <c r="AH649" i="3"/>
  <c r="AH577" i="3"/>
  <c r="AH657" i="3"/>
  <c r="AH654" i="3"/>
  <c r="AH555" i="3"/>
  <c r="AH585" i="3"/>
  <c r="AH574" i="3"/>
  <c r="AH562" i="3"/>
  <c r="AH663" i="3"/>
  <c r="AH551" i="3"/>
  <c r="AH573" i="3"/>
  <c r="AH613" i="3"/>
  <c r="AH594" i="3"/>
  <c r="AH648" i="3"/>
  <c r="AH618" i="3"/>
  <c r="AH661" i="3"/>
  <c r="AH621" i="3"/>
  <c r="AH561" i="3"/>
  <c r="AH599" i="3"/>
  <c r="AH603" i="3"/>
  <c r="AH572" i="3"/>
  <c r="AH646" i="3"/>
  <c r="AH559" i="3"/>
  <c r="AH614" i="3"/>
  <c r="AH578" i="3"/>
  <c r="AH545" i="3"/>
  <c r="AH541" i="3"/>
  <c r="F80" i="3"/>
  <c r="F71" i="3"/>
  <c r="G71" i="3" s="1"/>
  <c r="AA70" i="3"/>
  <c r="X70" i="3" s="1"/>
  <c r="AA72" i="3"/>
  <c r="X72" i="3" s="1"/>
  <c r="AA73" i="3"/>
  <c r="X73" i="3" s="1"/>
  <c r="AA74" i="3"/>
  <c r="X74" i="3" s="1"/>
  <c r="AB74" i="3"/>
  <c r="AA75" i="3"/>
  <c r="X75" i="3" s="1"/>
  <c r="AA76" i="3"/>
  <c r="X76" i="3" s="1"/>
  <c r="AA77" i="3"/>
  <c r="X77" i="3" s="1"/>
  <c r="AA79" i="3"/>
  <c r="X79" i="3" s="1"/>
  <c r="AA81" i="3"/>
  <c r="X81" i="3" s="1"/>
  <c r="AA82" i="3"/>
  <c r="X82" i="3" s="1"/>
  <c r="AA83" i="3"/>
  <c r="X83" i="3" s="1"/>
  <c r="AB83" i="3"/>
  <c r="AA84" i="3"/>
  <c r="X84" i="3" s="1"/>
  <c r="AA85" i="3"/>
  <c r="X85" i="3" s="1"/>
  <c r="AA86" i="3"/>
  <c r="X86" i="3" s="1"/>
  <c r="AA88" i="3"/>
  <c r="X88" i="3" s="1"/>
  <c r="F89" i="3"/>
  <c r="AA90" i="3"/>
  <c r="X90" i="3" s="1"/>
  <c r="AA91" i="3"/>
  <c r="X91" i="3" s="1"/>
  <c r="AA92" i="3"/>
  <c r="X92" i="3" s="1"/>
  <c r="AB92" i="3"/>
  <c r="AA93" i="3"/>
  <c r="X93" i="3" s="1"/>
  <c r="AA94" i="3"/>
  <c r="X94" i="3" s="1"/>
  <c r="AA95" i="3"/>
  <c r="X95" i="3" s="1"/>
  <c r="AA97" i="3"/>
  <c r="X97" i="3" s="1"/>
  <c r="F98" i="3"/>
  <c r="Y98" i="3" s="1"/>
  <c r="AA99" i="3"/>
  <c r="X99" i="3" s="1"/>
  <c r="AA100" i="3"/>
  <c r="X100" i="3" s="1"/>
  <c r="AA101" i="3"/>
  <c r="X101" i="3" s="1"/>
  <c r="AB101" i="3"/>
  <c r="AA102" i="3"/>
  <c r="X102" i="3" s="1"/>
  <c r="AA103" i="3"/>
  <c r="X103" i="3" s="1"/>
  <c r="AA104" i="3"/>
  <c r="X104" i="3" s="1"/>
  <c r="AA106" i="3"/>
  <c r="X106" i="3" s="1"/>
  <c r="F107" i="3"/>
  <c r="Y107" i="3" s="1"/>
  <c r="AA108" i="3"/>
  <c r="X108" i="3" s="1"/>
  <c r="AA109" i="3"/>
  <c r="X109" i="3" s="1"/>
  <c r="AA110" i="3"/>
  <c r="X110" i="3" s="1"/>
  <c r="AB110" i="3"/>
  <c r="AA111" i="3"/>
  <c r="X111" i="3" s="1"/>
  <c r="AA112" i="3"/>
  <c r="X112" i="3" s="1"/>
  <c r="AA113" i="3"/>
  <c r="X113" i="3" s="1"/>
  <c r="AA115" i="3"/>
  <c r="X115" i="3" s="1"/>
  <c r="AA117" i="3"/>
  <c r="X117" i="3" s="1"/>
  <c r="AA118" i="3"/>
  <c r="X118" i="3" s="1"/>
  <c r="AA119" i="3"/>
  <c r="X119" i="3" s="1"/>
  <c r="AB119" i="3"/>
  <c r="AA120" i="3"/>
  <c r="X120" i="3" s="1"/>
  <c r="AA121" i="3"/>
  <c r="X121" i="3" s="1"/>
  <c r="AA122" i="3"/>
  <c r="X122" i="3" s="1"/>
  <c r="AA124" i="3"/>
  <c r="X124" i="3" s="1"/>
  <c r="F125" i="3"/>
  <c r="Y125" i="3" s="1"/>
  <c r="AA126" i="3"/>
  <c r="X126" i="3" s="1"/>
  <c r="AA127" i="3"/>
  <c r="X127" i="3" s="1"/>
  <c r="AA128" i="3"/>
  <c r="X128" i="3" s="1"/>
  <c r="AB128" i="3"/>
  <c r="AA129" i="3"/>
  <c r="X129" i="3" s="1"/>
  <c r="AA130" i="3"/>
  <c r="X130" i="3" s="1"/>
  <c r="AA131" i="3"/>
  <c r="X131" i="3" s="1"/>
  <c r="AA133" i="3"/>
  <c r="X133" i="3" s="1"/>
  <c r="F134" i="3"/>
  <c r="Y134" i="3" s="1"/>
  <c r="AA135" i="3"/>
  <c r="X135" i="3" s="1"/>
  <c r="AA136" i="3"/>
  <c r="X136" i="3" s="1"/>
  <c r="AA137" i="3"/>
  <c r="X137" i="3" s="1"/>
  <c r="AB137" i="3"/>
  <c r="AA138" i="3"/>
  <c r="X138" i="3" s="1"/>
  <c r="AA139" i="3"/>
  <c r="X139" i="3" s="1"/>
  <c r="AA140" i="3"/>
  <c r="X140" i="3" s="1"/>
  <c r="AA142" i="3"/>
  <c r="X142" i="3" s="1"/>
  <c r="F143" i="3"/>
  <c r="Y143" i="3" s="1"/>
  <c r="AA144" i="3"/>
  <c r="X144" i="3" s="1"/>
  <c r="AA145" i="3"/>
  <c r="X145" i="3" s="1"/>
  <c r="AA146" i="3"/>
  <c r="X146" i="3" s="1"/>
  <c r="AB146" i="3"/>
  <c r="AA147" i="3"/>
  <c r="X147" i="3" s="1"/>
  <c r="AA148" i="3"/>
  <c r="X148" i="3" s="1"/>
  <c r="AA149" i="3"/>
  <c r="X149" i="3" s="1"/>
  <c r="G89" i="3" l="1"/>
  <c r="G80" i="3"/>
  <c r="AW39" i="8"/>
  <c r="W144" i="3"/>
  <c r="AU39" i="8"/>
  <c r="W142" i="3"/>
  <c r="BA39" i="8"/>
  <c r="W148" i="3"/>
  <c r="AZ39" i="8"/>
  <c r="W147" i="3"/>
  <c r="AX39" i="8"/>
  <c r="W145" i="3"/>
  <c r="BB39" i="8"/>
  <c r="W149" i="3"/>
  <c r="AY39" i="8"/>
  <c r="W146" i="3"/>
  <c r="AZ35" i="8"/>
  <c r="W129" i="3"/>
  <c r="AX35" i="8"/>
  <c r="W127" i="3"/>
  <c r="AU35" i="8"/>
  <c r="W124" i="3"/>
  <c r="BA25" i="8"/>
  <c r="W85" i="3"/>
  <c r="AZ33" i="8"/>
  <c r="W120" i="3"/>
  <c r="BB25" i="8"/>
  <c r="W86" i="3"/>
  <c r="AY25" i="8"/>
  <c r="W83" i="3"/>
  <c r="BA33" i="8"/>
  <c r="W121" i="3"/>
  <c r="AU31" i="8"/>
  <c r="W106" i="3"/>
  <c r="BB27" i="8"/>
  <c r="W95" i="3"/>
  <c r="AX25" i="8"/>
  <c r="W82" i="3"/>
  <c r="BA27" i="8"/>
  <c r="W94" i="3"/>
  <c r="AU27" i="8"/>
  <c r="W88" i="3"/>
  <c r="AZ25" i="8"/>
  <c r="W84" i="3"/>
  <c r="BB37" i="8"/>
  <c r="W140" i="3"/>
  <c r="AU29" i="8"/>
  <c r="W97" i="3"/>
  <c r="AW37" i="8"/>
  <c r="W135" i="3"/>
  <c r="AZ27" i="8"/>
  <c r="W93" i="3"/>
  <c r="AX31" i="8"/>
  <c r="W109" i="3"/>
  <c r="BA37" i="8"/>
  <c r="W139" i="3"/>
  <c r="AW33" i="8"/>
  <c r="W117" i="3"/>
  <c r="BA31" i="8"/>
  <c r="W112" i="3"/>
  <c r="AW31" i="8"/>
  <c r="W108" i="3"/>
  <c r="AW25" i="8"/>
  <c r="W81" i="3"/>
  <c r="AY33" i="8"/>
  <c r="W119" i="3"/>
  <c r="AX37" i="8"/>
  <c r="W136" i="3"/>
  <c r="AZ31" i="8"/>
  <c r="W111" i="3"/>
  <c r="AY27" i="8"/>
  <c r="W92" i="3"/>
  <c r="AY35" i="8"/>
  <c r="W128" i="3"/>
  <c r="AZ37" i="8"/>
  <c r="W138" i="3"/>
  <c r="AY37" i="8"/>
  <c r="W137" i="3"/>
  <c r="BB31" i="8"/>
  <c r="W113" i="3"/>
  <c r="BB35" i="8"/>
  <c r="W131" i="3"/>
  <c r="AX27" i="8"/>
  <c r="W91" i="3"/>
  <c r="AW35" i="8"/>
  <c r="W126" i="3"/>
  <c r="BB33" i="8"/>
  <c r="W122" i="3"/>
  <c r="AX33" i="8"/>
  <c r="W118" i="3"/>
  <c r="AU33" i="8"/>
  <c r="W115" i="3"/>
  <c r="AU37" i="8"/>
  <c r="W133" i="3"/>
  <c r="BA35" i="8"/>
  <c r="W130" i="3"/>
  <c r="AY31" i="8"/>
  <c r="W110" i="3"/>
  <c r="AW27" i="8"/>
  <c r="W90" i="3"/>
  <c r="BB23" i="8"/>
  <c r="W77" i="3"/>
  <c r="BA23" i="8"/>
  <c r="W76" i="3"/>
  <c r="AZ23" i="8"/>
  <c r="W75" i="3"/>
  <c r="AY23" i="8"/>
  <c r="W74" i="3"/>
  <c r="AX23" i="8"/>
  <c r="W73" i="3"/>
  <c r="AW23" i="8"/>
  <c r="W72" i="3"/>
  <c r="AU23" i="8"/>
  <c r="W70" i="3"/>
  <c r="AU25" i="8"/>
  <c r="W79" i="3"/>
  <c r="BB29" i="8"/>
  <c r="W104" i="3"/>
  <c r="AW29" i="8"/>
  <c r="W99" i="3"/>
  <c r="AX29" i="8"/>
  <c r="W100" i="3"/>
  <c r="AZ29" i="8"/>
  <c r="W102" i="3"/>
  <c r="BA29" i="8"/>
  <c r="W103" i="3"/>
  <c r="AY29" i="8"/>
  <c r="W101" i="3"/>
  <c r="N60" i="15"/>
  <c r="N60" i="14"/>
  <c r="N60" i="4"/>
  <c r="Y71" i="3"/>
  <c r="N61" i="15" l="1"/>
  <c r="N61" i="14"/>
  <c r="Y80" i="3"/>
  <c r="N62" i="14"/>
  <c r="N62" i="15"/>
  <c r="Y89" i="3"/>
  <c r="AA89" i="3"/>
  <c r="X89" i="3" s="1"/>
  <c r="AA143" i="3"/>
  <c r="X143" i="3" s="1"/>
  <c r="AA134" i="3"/>
  <c r="X134" i="3" s="1"/>
  <c r="AA125" i="3"/>
  <c r="X125" i="3" s="1"/>
  <c r="AA116" i="3"/>
  <c r="X116" i="3" s="1"/>
  <c r="AA107" i="3"/>
  <c r="X107" i="3" s="1"/>
  <c r="AA98" i="3"/>
  <c r="X98" i="3" s="1"/>
  <c r="AA71" i="3"/>
  <c r="X71" i="3" s="1"/>
  <c r="AV39" i="8" l="1"/>
  <c r="AT39" i="8" s="1"/>
  <c r="W143" i="3"/>
  <c r="AV33" i="8"/>
  <c r="AT33" i="8" s="1"/>
  <c r="W116" i="3"/>
  <c r="AV35" i="8"/>
  <c r="AT35" i="8" s="1"/>
  <c r="W125" i="3"/>
  <c r="AV37" i="8"/>
  <c r="AT37" i="8" s="1"/>
  <c r="W134" i="3"/>
  <c r="AV31" i="8"/>
  <c r="AT31" i="8" s="1"/>
  <c r="W107" i="3"/>
  <c r="AV27" i="8"/>
  <c r="AT27" i="8" s="1"/>
  <c r="W89" i="3"/>
  <c r="AV23" i="8"/>
  <c r="AT23" i="8" s="1"/>
  <c r="W71" i="3"/>
  <c r="AV29" i="8"/>
  <c r="AT29" i="8" s="1"/>
  <c r="W98" i="3"/>
  <c r="AA80" i="3"/>
  <c r="X80" i="3" s="1"/>
  <c r="AA62" i="3"/>
  <c r="AB6" i="3"/>
  <c r="F5" i="3"/>
  <c r="F18" i="3"/>
  <c r="AA6" i="3"/>
  <c r="B7" i="16" l="1"/>
  <c r="AK3" i="4"/>
  <c r="AK3" i="15"/>
  <c r="Z18" i="3"/>
  <c r="B20" i="16"/>
  <c r="AR3" i="15"/>
  <c r="AO3" i="15"/>
  <c r="AR341" i="14"/>
  <c r="AO341" i="14"/>
  <c r="AR141" i="15"/>
  <c r="AO141" i="15"/>
  <c r="AR3" i="14"/>
  <c r="AO3" i="14"/>
  <c r="AV25" i="8"/>
  <c r="AT25" i="8" s="1"/>
  <c r="W80" i="3"/>
  <c r="AR96" i="4"/>
  <c r="AO96" i="4"/>
  <c r="AR3" i="4"/>
  <c r="AO3" i="4"/>
  <c r="Y5" i="3"/>
  <c r="AE27" i="3"/>
  <c r="AB27" i="3"/>
  <c r="E27" i="3"/>
  <c r="G27" i="3" s="1"/>
  <c r="D27" i="3"/>
  <c r="F27" i="3" s="1"/>
  <c r="B28" i="16" s="1"/>
  <c r="Y27" i="3" l="1"/>
  <c r="F201" i="1"/>
  <c r="AJ131" i="15"/>
  <c r="AJ331" i="14"/>
  <c r="V27" i="3" a="1"/>
  <c r="V27" i="3" s="1"/>
  <c r="U27" i="3" a="1"/>
  <c r="U27" i="3" s="1"/>
  <c r="AJ86" i="4"/>
  <c r="Z27" i="3" l="1"/>
  <c r="X27" i="3" s="1"/>
  <c r="AA41" i="3"/>
  <c r="AA35" i="3"/>
  <c r="AB29" i="3"/>
  <c r="AA28" i="3"/>
  <c r="AB26" i="3" l="1"/>
  <c r="AB25" i="3"/>
  <c r="AA32" i="3"/>
  <c r="AA31" i="3"/>
  <c r="AA30" i="3"/>
  <c r="AA29" i="3"/>
  <c r="AA27" i="3"/>
  <c r="AA25" i="3"/>
  <c r="F26" i="3"/>
  <c r="H26" i="3"/>
  <c r="G26" i="3"/>
  <c r="H25" i="3"/>
  <c r="G25" i="3"/>
  <c r="F25" i="3"/>
  <c r="B27" i="16" l="1"/>
  <c r="AJ130" i="15"/>
  <c r="AJ330" i="14"/>
  <c r="AJ129" i="15"/>
  <c r="AJ329" i="14"/>
  <c r="AJ84" i="4"/>
  <c r="AJ85" i="4"/>
  <c r="Z25" i="3"/>
  <c r="F139" i="8"/>
  <c r="Z26" i="3"/>
  <c r="AC25" i="3"/>
  <c r="AC26" i="3"/>
  <c r="Y26" i="3"/>
  <c r="Y25" i="3"/>
  <c r="AH515" i="3" l="1"/>
  <c r="AS804" i="8"/>
  <c r="Z132" i="1"/>
  <c r="X25" i="3"/>
  <c r="X26" i="3"/>
  <c r="AA66" i="3"/>
  <c r="AB514" i="3"/>
  <c r="AA195" i="1" l="1"/>
  <c r="W26" i="3"/>
  <c r="AA193" i="1"/>
  <c r="W25" i="3"/>
  <c r="R139" i="8"/>
  <c r="J139" i="8"/>
  <c r="AQ139" i="8" s="1"/>
  <c r="N139" i="8"/>
  <c r="J141" i="8"/>
  <c r="V139" i="8"/>
  <c r="N141" i="8"/>
  <c r="R141" i="8"/>
  <c r="V141" i="8"/>
  <c r="E62" i="3"/>
  <c r="J100" i="4"/>
  <c r="Y9" i="3"/>
  <c r="D4" i="3"/>
  <c r="E4" i="3" s="1"/>
  <c r="F8" i="3"/>
  <c r="B9" i="16" s="1"/>
  <c r="F19" i="3"/>
  <c r="F17" i="3"/>
  <c r="F16" i="3"/>
  <c r="F15" i="3"/>
  <c r="F14" i="3"/>
  <c r="B16" i="16" s="1"/>
  <c r="F13" i="3"/>
  <c r="B15" i="16" s="1"/>
  <c r="G7" i="3"/>
  <c r="F7" i="3"/>
  <c r="F4" i="3" l="1"/>
  <c r="B6" i="16" s="1"/>
  <c r="G4" i="3"/>
  <c r="Y19" i="3"/>
  <c r="B21" i="16"/>
  <c r="Y17" i="3"/>
  <c r="B19" i="16"/>
  <c r="Y16" i="3"/>
  <c r="B18" i="16"/>
  <c r="Y15" i="3"/>
  <c r="B17" i="16"/>
  <c r="B8" i="16"/>
  <c r="M15" i="14"/>
  <c r="M15" i="15"/>
  <c r="Y13" i="3"/>
  <c r="AF13" i="15"/>
  <c r="AF13" i="14"/>
  <c r="AF8" i="15"/>
  <c r="AF8" i="14"/>
  <c r="F62" i="3"/>
  <c r="G62" i="3" s="1"/>
  <c r="M15" i="4"/>
  <c r="Y8" i="3"/>
  <c r="AF8" i="4"/>
  <c r="Y10" i="3"/>
  <c r="AF9" i="4"/>
  <c r="Y12" i="3"/>
  <c r="AF11" i="4"/>
  <c r="Y14" i="3"/>
  <c r="AF13" i="4"/>
  <c r="Y68" i="3"/>
  <c r="AH21" i="8"/>
  <c r="AL21" i="8"/>
  <c r="Y66" i="3"/>
  <c r="AB21" i="8"/>
  <c r="N21" i="8"/>
  <c r="Z21" i="8"/>
  <c r="Y64" i="3"/>
  <c r="R21" i="8"/>
  <c r="Y67" i="3"/>
  <c r="AD21" i="8"/>
  <c r="Y65" i="3"/>
  <c r="AO2" i="15" l="1"/>
  <c r="AO2" i="14"/>
  <c r="AO2" i="4"/>
  <c r="N59" i="4"/>
  <c r="N59" i="15"/>
  <c r="N59" i="14"/>
  <c r="Y62" i="3"/>
  <c r="J21" i="8"/>
  <c r="AA197" i="1"/>
  <c r="W27" i="3"/>
  <c r="Z7" i="3"/>
  <c r="AB65" i="3" l="1"/>
  <c r="X64" i="3"/>
  <c r="AX21" i="8" s="1"/>
  <c r="AA19" i="3"/>
  <c r="AA60" i="3"/>
  <c r="AA63" i="3"/>
  <c r="AA64" i="3"/>
  <c r="AA65" i="3"/>
  <c r="AA67" i="3"/>
  <c r="X67" i="3" s="1"/>
  <c r="BA21" i="8" s="1"/>
  <c r="AA68" i="3"/>
  <c r="X68" i="3" s="1"/>
  <c r="BB21" i="8" s="1"/>
  <c r="AA61" i="3"/>
  <c r="X12" i="3"/>
  <c r="X10" i="3"/>
  <c r="X9" i="3"/>
  <c r="J42" i="3"/>
  <c r="I42" i="3"/>
  <c r="H42" i="3"/>
  <c r="G42" i="3"/>
  <c r="F42" i="3"/>
  <c r="E42" i="3"/>
  <c r="F20" i="3"/>
  <c r="F6" i="3"/>
  <c r="H670" i="3"/>
  <c r="H669" i="3"/>
  <c r="H668" i="3"/>
  <c r="F668" i="3"/>
  <c r="F516" i="3"/>
  <c r="X66" i="3"/>
  <c r="AZ21" i="8" s="1"/>
  <c r="Y60" i="3"/>
  <c r="X60" i="3" s="1"/>
  <c r="X19" i="3"/>
  <c r="X17" i="3"/>
  <c r="X16" i="3"/>
  <c r="X15" i="3"/>
  <c r="X13" i="3"/>
  <c r="F3" i="3"/>
  <c r="B13" i="16" s="1"/>
  <c r="X62" i="3"/>
  <c r="AV21" i="8" s="1"/>
  <c r="X14" i="3"/>
  <c r="AA8" i="3"/>
  <c r="AB5" i="3"/>
  <c r="AA9" i="3"/>
  <c r="AA10" i="3"/>
  <c r="AA12" i="3"/>
  <c r="AA13" i="3"/>
  <c r="AA16" i="3"/>
  <c r="AA17" i="3"/>
  <c r="AA18" i="3"/>
  <c r="AB7" i="3"/>
  <c r="AA7" i="3"/>
  <c r="AA5" i="3"/>
  <c r="F35" i="3"/>
  <c r="F28" i="3"/>
  <c r="X8" i="3"/>
  <c r="H143" i="8" l="1"/>
  <c r="T516" i="3"/>
  <c r="S516" i="3"/>
  <c r="R516" i="3"/>
  <c r="Q516" i="3"/>
  <c r="X37" i="15"/>
  <c r="X37" i="14"/>
  <c r="X37" i="4"/>
  <c r="Z6" i="3"/>
  <c r="B22" i="16"/>
  <c r="W12" i="3"/>
  <c r="N145" i="8"/>
  <c r="J145" i="8"/>
  <c r="V145" i="8"/>
  <c r="R145" i="8"/>
  <c r="N516" i="3"/>
  <c r="R143" i="8" s="1"/>
  <c r="O516" i="3"/>
  <c r="V143" i="8" s="1"/>
  <c r="L516" i="3"/>
  <c r="J143" i="8" s="1"/>
  <c r="AQ143" i="8" s="1"/>
  <c r="M516" i="3"/>
  <c r="N143" i="8" s="1"/>
  <c r="AE37" i="15"/>
  <c r="AA37" i="15"/>
  <c r="AE37" i="14"/>
  <c r="AA37" i="14"/>
  <c r="J27" i="4"/>
  <c r="J27" i="14"/>
  <c r="J27" i="15"/>
  <c r="D41" i="3"/>
  <c r="D49" i="3" s="1"/>
  <c r="W13" i="3"/>
  <c r="G516" i="3"/>
  <c r="F24" i="3"/>
  <c r="F22" i="3"/>
  <c r="B24" i="16" s="1"/>
  <c r="F21" i="3"/>
  <c r="B23" i="16" s="1"/>
  <c r="F23" i="3"/>
  <c r="B25" i="16" s="1"/>
  <c r="F802" i="8"/>
  <c r="AR802" i="8" s="1"/>
  <c r="AA104" i="1"/>
  <c r="W66" i="3"/>
  <c r="AA106" i="1"/>
  <c r="W67" i="3"/>
  <c r="AA96" i="1"/>
  <c r="W62" i="3"/>
  <c r="AA108" i="1"/>
  <c r="W68" i="3"/>
  <c r="AA100" i="1"/>
  <c r="W64" i="3"/>
  <c r="AA85" i="1"/>
  <c r="W60" i="3"/>
  <c r="AA57" i="1"/>
  <c r="W10" i="3"/>
  <c r="AA68" i="1"/>
  <c r="W14" i="3"/>
  <c r="AA72" i="1"/>
  <c r="W16" i="3"/>
  <c r="AA53" i="1"/>
  <c r="W8" i="3"/>
  <c r="AA70" i="1"/>
  <c r="W15" i="3"/>
  <c r="AA74" i="1"/>
  <c r="W17" i="3"/>
  <c r="AA55" i="1"/>
  <c r="W9" i="3"/>
  <c r="AA66" i="1"/>
  <c r="AA78" i="1"/>
  <c r="W19" i="3"/>
  <c r="F34" i="3"/>
  <c r="F33" i="3"/>
  <c r="F32" i="3"/>
  <c r="F31" i="3"/>
  <c r="AA61" i="1"/>
  <c r="AE37" i="4"/>
  <c r="AA37" i="4"/>
  <c r="Y3" i="3"/>
  <c r="X3" i="3" s="1"/>
  <c r="Y6" i="3"/>
  <c r="G29" i="3"/>
  <c r="F29" i="3"/>
  <c r="Y35" i="3"/>
  <c r="X35" i="3" s="1"/>
  <c r="F30" i="3"/>
  <c r="Y30" i="3" s="1"/>
  <c r="X30" i="3" s="1"/>
  <c r="F37" i="3"/>
  <c r="Y28" i="3"/>
  <c r="X28" i="3" s="1"/>
  <c r="Z65" i="3"/>
  <c r="X65" i="3" s="1"/>
  <c r="AY21" i="8" s="1"/>
  <c r="Y18" i="3"/>
  <c r="Y43" i="3" s="1"/>
  <c r="X43" i="3" s="1"/>
  <c r="Z5" i="3"/>
  <c r="X5" i="3" s="1"/>
  <c r="Y7" i="3"/>
  <c r="X7" i="3" s="1"/>
  <c r="K516" i="3" l="1"/>
  <c r="I516" i="3"/>
  <c r="H516" i="3"/>
  <c r="P516" i="3"/>
  <c r="J516" i="3"/>
  <c r="Y516" i="3"/>
  <c r="Y24" i="3"/>
  <c r="X24" i="3" s="1"/>
  <c r="W24" i="3" s="1"/>
  <c r="B26" i="16"/>
  <c r="D45" i="3"/>
  <c r="J45" i="3" s="1"/>
  <c r="Z45" i="3" s="1"/>
  <c r="D53" i="3"/>
  <c r="F53" i="3" s="1"/>
  <c r="D44" i="3"/>
  <c r="K44" i="3" s="1"/>
  <c r="AR150" i="15" s="1"/>
  <c r="D57" i="3"/>
  <c r="K57" i="3" s="1"/>
  <c r="AR118" i="4" s="1"/>
  <c r="D47" i="3"/>
  <c r="D46" i="3"/>
  <c r="D55" i="3"/>
  <c r="D52" i="3"/>
  <c r="D51" i="3"/>
  <c r="H51" i="3" s="1"/>
  <c r="D56" i="3"/>
  <c r="F56" i="3" s="1"/>
  <c r="D54" i="3"/>
  <c r="I54" i="3" s="1"/>
  <c r="D50" i="3"/>
  <c r="D48" i="3"/>
  <c r="J48" i="3" s="1"/>
  <c r="Z48" i="3" s="1"/>
  <c r="Y41" i="3"/>
  <c r="X41" i="3" s="1"/>
  <c r="W41" i="3" s="1"/>
  <c r="K53" i="3"/>
  <c r="AR114" i="4" s="1"/>
  <c r="J53" i="3"/>
  <c r="I53" i="3"/>
  <c r="G49" i="3"/>
  <c r="F49" i="3"/>
  <c r="E49" i="3"/>
  <c r="K49" i="3"/>
  <c r="AR355" i="14" s="1"/>
  <c r="H49" i="3"/>
  <c r="J49" i="3"/>
  <c r="Z49" i="3" s="1"/>
  <c r="I49" i="3"/>
  <c r="H44" i="3"/>
  <c r="F143" i="8"/>
  <c r="AH516" i="3"/>
  <c r="K335" i="14"/>
  <c r="K135" i="15"/>
  <c r="J93" i="4"/>
  <c r="J338" i="14"/>
  <c r="J138" i="15"/>
  <c r="Y32" i="3"/>
  <c r="X32" i="3" s="1"/>
  <c r="AA222" i="1" s="1"/>
  <c r="P335" i="14"/>
  <c r="P135" i="15"/>
  <c r="V129" i="15"/>
  <c r="V329" i="14"/>
  <c r="J129" i="15"/>
  <c r="J329" i="14"/>
  <c r="AA102" i="1"/>
  <c r="W65" i="3"/>
  <c r="AA229" i="1"/>
  <c r="W35" i="3"/>
  <c r="AA218" i="1"/>
  <c r="W30" i="3"/>
  <c r="AA252" i="1"/>
  <c r="W43" i="3"/>
  <c r="AA214" i="1"/>
  <c r="W28" i="3"/>
  <c r="AA35" i="1"/>
  <c r="W5" i="3"/>
  <c r="AA51" i="1"/>
  <c r="W7" i="3"/>
  <c r="AA12" i="1"/>
  <c r="W3" i="3"/>
  <c r="K90" i="4"/>
  <c r="Y23" i="3"/>
  <c r="X23" i="3" s="1"/>
  <c r="V84" i="4"/>
  <c r="F36" i="3"/>
  <c r="J84" i="4"/>
  <c r="Y31" i="3"/>
  <c r="X31" i="3" s="1"/>
  <c r="P90" i="4"/>
  <c r="X6" i="3"/>
  <c r="X61" i="3"/>
  <c r="AU21" i="8" s="1"/>
  <c r="AT21" i="8" s="1"/>
  <c r="X63" i="3"/>
  <c r="AW21" i="8" s="1"/>
  <c r="Y29" i="3"/>
  <c r="F38" i="3"/>
  <c r="F39" i="3"/>
  <c r="Y39" i="3" s="1"/>
  <c r="X39" i="3" s="1"/>
  <c r="Z29" i="3"/>
  <c r="X18" i="3"/>
  <c r="K45" i="3" l="1"/>
  <c r="AR351" i="14" s="1"/>
  <c r="AA191" i="1"/>
  <c r="E57" i="3"/>
  <c r="F57" i="3"/>
  <c r="G57" i="3"/>
  <c r="H57" i="3"/>
  <c r="I57" i="3"/>
  <c r="J57" i="3"/>
  <c r="Z57" i="3" s="1"/>
  <c r="E45" i="3"/>
  <c r="J351" i="14" s="1"/>
  <c r="F45" i="3"/>
  <c r="G45" i="3"/>
  <c r="F44" i="3"/>
  <c r="H45" i="3"/>
  <c r="G44" i="3"/>
  <c r="I44" i="3"/>
  <c r="Y105" i="4" s="1"/>
  <c r="E44" i="3"/>
  <c r="J150" i="15" s="1"/>
  <c r="I45" i="3"/>
  <c r="H53" i="3"/>
  <c r="Y114" i="4" s="1"/>
  <c r="G53" i="3"/>
  <c r="G56" i="3"/>
  <c r="G48" i="3"/>
  <c r="AR106" i="4"/>
  <c r="G51" i="3"/>
  <c r="E48" i="3"/>
  <c r="G54" i="3"/>
  <c r="H56" i="3"/>
  <c r="K51" i="3"/>
  <c r="I51" i="3"/>
  <c r="Y357" i="14" s="1"/>
  <c r="F52" i="3"/>
  <c r="K55" i="3"/>
  <c r="AR361" i="14" s="1"/>
  <c r="K46" i="3"/>
  <c r="J47" i="3"/>
  <c r="Z47" i="3" s="1"/>
  <c r="E53" i="3"/>
  <c r="J363" i="14"/>
  <c r="Y57" i="3"/>
  <c r="X57" i="3" s="1"/>
  <c r="AN159" i="15"/>
  <c r="Z53" i="3"/>
  <c r="J155" i="15"/>
  <c r="Y49" i="3"/>
  <c r="X49" i="3" s="1"/>
  <c r="J44" i="3"/>
  <c r="Z44" i="3" s="1"/>
  <c r="AN359" i="14"/>
  <c r="AK110" i="4"/>
  <c r="AI151" i="15"/>
  <c r="AI109" i="4"/>
  <c r="P151" i="15"/>
  <c r="P110" i="4"/>
  <c r="P114" i="4"/>
  <c r="AR163" i="15"/>
  <c r="AR363" i="14"/>
  <c r="J163" i="15"/>
  <c r="AR159" i="15"/>
  <c r="J118" i="4"/>
  <c r="H55" i="3"/>
  <c r="Y161" i="15" s="1"/>
  <c r="F55" i="3"/>
  <c r="AK359" i="14"/>
  <c r="I55" i="3"/>
  <c r="P106" i="4"/>
  <c r="AN114" i="4"/>
  <c r="AK114" i="4"/>
  <c r="Y110" i="4"/>
  <c r="AP359" i="14"/>
  <c r="H54" i="3"/>
  <c r="Y115" i="4" s="1"/>
  <c r="E55" i="3"/>
  <c r="J54" i="3"/>
  <c r="Z54" i="3" s="1"/>
  <c r="E47" i="3"/>
  <c r="K54" i="3"/>
  <c r="AR115" i="4" s="1"/>
  <c r="H47" i="3"/>
  <c r="E56" i="3"/>
  <c r="J162" i="15" s="1"/>
  <c r="F47" i="3"/>
  <c r="P159" i="15"/>
  <c r="J106" i="4"/>
  <c r="P359" i="14"/>
  <c r="AR359" i="14"/>
  <c r="J56" i="3"/>
  <c r="Z56" i="3" s="1"/>
  <c r="AR105" i="4"/>
  <c r="Y112" i="4"/>
  <c r="AP110" i="4"/>
  <c r="K56" i="3"/>
  <c r="AR162" i="15" s="1"/>
  <c r="G47" i="3"/>
  <c r="I47" i="3"/>
  <c r="E51" i="3"/>
  <c r="J46" i="3"/>
  <c r="Z46" i="3" s="1"/>
  <c r="AN106" i="4"/>
  <c r="AK351" i="14"/>
  <c r="AK106" i="4"/>
  <c r="P363" i="14"/>
  <c r="P155" i="15"/>
  <c r="AP351" i="14"/>
  <c r="P355" i="14"/>
  <c r="E50" i="3"/>
  <c r="AK159" i="15"/>
  <c r="F50" i="3"/>
  <c r="G50" i="3"/>
  <c r="AP159" i="15"/>
  <c r="H50" i="3"/>
  <c r="AI351" i="14"/>
  <c r="I50" i="3"/>
  <c r="AK151" i="15"/>
  <c r="J110" i="4"/>
  <c r="F48" i="3"/>
  <c r="P351" i="14"/>
  <c r="I46" i="3"/>
  <c r="AR110" i="4"/>
  <c r="H48" i="3"/>
  <c r="E46" i="3"/>
  <c r="I48" i="3"/>
  <c r="F46" i="3"/>
  <c r="AR116" i="4"/>
  <c r="J159" i="15"/>
  <c r="Y159" i="15"/>
  <c r="K50" i="3"/>
  <c r="J50" i="3"/>
  <c r="Z50" i="3" s="1"/>
  <c r="Y359" i="14"/>
  <c r="AI114" i="4"/>
  <c r="AI159" i="15"/>
  <c r="J355" i="14"/>
  <c r="I56" i="3"/>
  <c r="Y117" i="4" s="1"/>
  <c r="G55" i="3"/>
  <c r="G46" i="3"/>
  <c r="J114" i="4"/>
  <c r="AR155" i="15"/>
  <c r="J55" i="3"/>
  <c r="Z55" i="3" s="1"/>
  <c r="H46" i="3"/>
  <c r="AR151" i="15"/>
  <c r="Y118" i="4"/>
  <c r="I52" i="3"/>
  <c r="J354" i="14"/>
  <c r="J109" i="4"/>
  <c r="AR112" i="4"/>
  <c r="AR157" i="15"/>
  <c r="AR357" i="14"/>
  <c r="P117" i="4"/>
  <c r="Y116" i="4"/>
  <c r="Y151" i="15"/>
  <c r="AI359" i="14"/>
  <c r="AP151" i="15"/>
  <c r="J52" i="3"/>
  <c r="Z52" i="3" s="1"/>
  <c r="AP106" i="4"/>
  <c r="AP114" i="4"/>
  <c r="K48" i="3"/>
  <c r="AR109" i="4" s="1"/>
  <c r="K52" i="3"/>
  <c r="AN351" i="14"/>
  <c r="F51" i="3"/>
  <c r="H52" i="3"/>
  <c r="AN151" i="15"/>
  <c r="E54" i="3"/>
  <c r="J51" i="3"/>
  <c r="Z51" i="3" s="1"/>
  <c r="G52" i="3"/>
  <c r="P113" i="4" s="1"/>
  <c r="AI106" i="4"/>
  <c r="F54" i="3"/>
  <c r="Y155" i="15"/>
  <c r="K47" i="3"/>
  <c r="E52" i="3"/>
  <c r="AA245" i="1"/>
  <c r="Y363" i="14"/>
  <c r="P162" i="15"/>
  <c r="P362" i="14"/>
  <c r="P163" i="15"/>
  <c r="P118" i="4"/>
  <c r="Y163" i="15"/>
  <c r="Y355" i="14"/>
  <c r="AR350" i="14"/>
  <c r="J154" i="15"/>
  <c r="AK108" i="4"/>
  <c r="AI108" i="4"/>
  <c r="AN155" i="15"/>
  <c r="AN355" i="14"/>
  <c r="AN110" i="4"/>
  <c r="AK355" i="14"/>
  <c r="AK109" i="4"/>
  <c r="AP154" i="15"/>
  <c r="AK155" i="15"/>
  <c r="AP355" i="14"/>
  <c r="AI355" i="14"/>
  <c r="AP155" i="15"/>
  <c r="AI110" i="4"/>
  <c r="AI155" i="15"/>
  <c r="AN109" i="4"/>
  <c r="AK154" i="15"/>
  <c r="AP354" i="14"/>
  <c r="AI354" i="14"/>
  <c r="AK163" i="15"/>
  <c r="AK118" i="4"/>
  <c r="AP363" i="14"/>
  <c r="AI154" i="15"/>
  <c r="AI363" i="14"/>
  <c r="AN154" i="15"/>
  <c r="AP109" i="4"/>
  <c r="AN354" i="14"/>
  <c r="AK354" i="14"/>
  <c r="AP163" i="15"/>
  <c r="AI118" i="4"/>
  <c r="AI163" i="15"/>
  <c r="AP118" i="4"/>
  <c r="AN363" i="14"/>
  <c r="J152" i="15"/>
  <c r="AN163" i="15"/>
  <c r="AK363" i="14"/>
  <c r="AS806" i="8"/>
  <c r="Z136" i="1"/>
  <c r="W32" i="3"/>
  <c r="AJ338" i="14"/>
  <c r="AJ138" i="15"/>
  <c r="T93" i="4"/>
  <c r="T338" i="14"/>
  <c r="T138" i="15"/>
  <c r="AA94" i="1"/>
  <c r="W61" i="3"/>
  <c r="AA98" i="1"/>
  <c r="W63" i="3"/>
  <c r="AA220" i="1"/>
  <c r="W31" i="3"/>
  <c r="AA189" i="1"/>
  <c r="W23" i="3"/>
  <c r="AA237" i="1"/>
  <c r="W39" i="3"/>
  <c r="AA76" i="1"/>
  <c r="W18" i="3"/>
  <c r="AA175" i="1"/>
  <c r="W6" i="3"/>
  <c r="Y38" i="3"/>
  <c r="X38" i="3" s="1"/>
  <c r="AJ93" i="4"/>
  <c r="X29" i="3"/>
  <c r="AN350" i="14" l="1"/>
  <c r="AP150" i="15"/>
  <c r="AI350" i="14"/>
  <c r="Y350" i="14"/>
  <c r="Y150" i="15"/>
  <c r="P105" i="4"/>
  <c r="P150" i="15"/>
  <c r="P350" i="14"/>
  <c r="J350" i="14"/>
  <c r="Y106" i="4"/>
  <c r="J105" i="4"/>
  <c r="Y351" i="14"/>
  <c r="J151" i="15"/>
  <c r="Y45" i="3"/>
  <c r="X45" i="3" s="1"/>
  <c r="W45" i="3" s="1"/>
  <c r="AN118" i="4"/>
  <c r="AP105" i="4"/>
  <c r="AP350" i="14"/>
  <c r="Y53" i="3"/>
  <c r="X53" i="3" s="1"/>
  <c r="W53" i="3" s="1"/>
  <c r="AK153" i="15"/>
  <c r="AP353" i="14"/>
  <c r="AP362" i="14"/>
  <c r="AK117" i="4"/>
  <c r="AN117" i="4"/>
  <c r="AK162" i="15"/>
  <c r="AN162" i="15"/>
  <c r="AN362" i="14"/>
  <c r="AP162" i="15"/>
  <c r="Y108" i="4"/>
  <c r="P161" i="15"/>
  <c r="P153" i="15"/>
  <c r="AI162" i="15"/>
  <c r="Y361" i="14"/>
  <c r="J359" i="14"/>
  <c r="AI362" i="14"/>
  <c r="AR352" i="14"/>
  <c r="AR107" i="4"/>
  <c r="AR152" i="15"/>
  <c r="AR161" i="15"/>
  <c r="Y157" i="15"/>
  <c r="AI153" i="15"/>
  <c r="AK353" i="14"/>
  <c r="AN108" i="4"/>
  <c r="AN153" i="15"/>
  <c r="AN353" i="14"/>
  <c r="Y48" i="3"/>
  <c r="X48" i="3" s="1"/>
  <c r="AI353" i="14"/>
  <c r="AP108" i="4"/>
  <c r="AP161" i="15"/>
  <c r="AP153" i="15"/>
  <c r="AI105" i="4"/>
  <c r="AK350" i="14"/>
  <c r="AN105" i="4"/>
  <c r="AK105" i="4"/>
  <c r="AN150" i="15"/>
  <c r="AK150" i="15"/>
  <c r="J160" i="15"/>
  <c r="Y54" i="3"/>
  <c r="X54" i="3" s="1"/>
  <c r="Y50" i="3"/>
  <c r="X50" i="3" s="1"/>
  <c r="Y44" i="3"/>
  <c r="X44" i="3" s="1"/>
  <c r="W44" i="3" s="1"/>
  <c r="J352" i="14"/>
  <c r="Y46" i="3"/>
  <c r="X46" i="3" s="1"/>
  <c r="J117" i="4"/>
  <c r="Y56" i="3"/>
  <c r="X56" i="3" s="1"/>
  <c r="J353" i="14"/>
  <c r="Y47" i="3"/>
  <c r="X47" i="3" s="1"/>
  <c r="AI117" i="4"/>
  <c r="J357" i="14"/>
  <c r="Y51" i="3"/>
  <c r="X51" i="3" s="1"/>
  <c r="J116" i="4"/>
  <c r="Y55" i="3"/>
  <c r="AI150" i="15"/>
  <c r="Y52" i="3"/>
  <c r="P109" i="4"/>
  <c r="P160" i="15"/>
  <c r="P112" i="4"/>
  <c r="AN116" i="4"/>
  <c r="AN152" i="15"/>
  <c r="AP160" i="15"/>
  <c r="AN356" i="14"/>
  <c r="AP117" i="4"/>
  <c r="AK157" i="15"/>
  <c r="AP361" i="14"/>
  <c r="AN358" i="14"/>
  <c r="P352" i="14"/>
  <c r="Y107" i="4"/>
  <c r="P116" i="4"/>
  <c r="AN156" i="15"/>
  <c r="P353" i="14"/>
  <c r="AK360" i="14"/>
  <c r="AI152" i="15"/>
  <c r="P107" i="4"/>
  <c r="Y353" i="14"/>
  <c r="AK115" i="4"/>
  <c r="Y362" i="14"/>
  <c r="AI107" i="4"/>
  <c r="AN107" i="4"/>
  <c r="AK160" i="15"/>
  <c r="AN115" i="4"/>
  <c r="J161" i="15"/>
  <c r="P154" i="15"/>
  <c r="J361" i="14"/>
  <c r="P354" i="14"/>
  <c r="AK107" i="4"/>
  <c r="AP360" i="14"/>
  <c r="P357" i="14"/>
  <c r="AK357" i="14"/>
  <c r="AK352" i="14"/>
  <c r="AN160" i="15"/>
  <c r="AR160" i="15"/>
  <c r="AI115" i="4"/>
  <c r="AR360" i="14"/>
  <c r="Y360" i="14"/>
  <c r="AI361" i="14"/>
  <c r="AP115" i="4"/>
  <c r="AN161" i="15"/>
  <c r="AN113" i="4"/>
  <c r="AR362" i="14"/>
  <c r="Y160" i="15"/>
  <c r="AN360" i="14"/>
  <c r="AI160" i="15"/>
  <c r="AI360" i="14"/>
  <c r="AK361" i="14"/>
  <c r="AR117" i="4"/>
  <c r="AN157" i="15"/>
  <c r="J153" i="15"/>
  <c r="J108" i="4"/>
  <c r="Y352" i="14"/>
  <c r="P108" i="4"/>
  <c r="J362" i="14"/>
  <c r="AK362" i="14"/>
  <c r="Y354" i="14"/>
  <c r="P156" i="15"/>
  <c r="AK152" i="15"/>
  <c r="AP107" i="4"/>
  <c r="AP152" i="15"/>
  <c r="AI352" i="14"/>
  <c r="AP358" i="14"/>
  <c r="P152" i="15"/>
  <c r="AN352" i="14"/>
  <c r="Y154" i="15"/>
  <c r="Y152" i="15"/>
  <c r="Y153" i="15"/>
  <c r="AK116" i="4"/>
  <c r="AP352" i="14"/>
  <c r="J112" i="4"/>
  <c r="J157" i="15"/>
  <c r="Y156" i="15"/>
  <c r="Y111" i="4"/>
  <c r="P356" i="14"/>
  <c r="P111" i="4"/>
  <c r="J356" i="14"/>
  <c r="J111" i="4"/>
  <c r="AK161" i="15"/>
  <c r="AP116" i="4"/>
  <c r="Y109" i="4"/>
  <c r="AI161" i="15"/>
  <c r="P361" i="14"/>
  <c r="AP112" i="4"/>
  <c r="Y158" i="15"/>
  <c r="Y356" i="14"/>
  <c r="AI357" i="14"/>
  <c r="J107" i="4"/>
  <c r="AN361" i="14"/>
  <c r="AP357" i="14"/>
  <c r="Y162" i="15"/>
  <c r="AI116" i="4"/>
  <c r="AI112" i="4"/>
  <c r="AP157" i="15"/>
  <c r="J156" i="15"/>
  <c r="AK356" i="14"/>
  <c r="AI356" i="14"/>
  <c r="AI156" i="15"/>
  <c r="AI111" i="4"/>
  <c r="AP356" i="14"/>
  <c r="AP156" i="15"/>
  <c r="AR156" i="15"/>
  <c r="AR356" i="14"/>
  <c r="AR111" i="4"/>
  <c r="AN111" i="4"/>
  <c r="AK111" i="4"/>
  <c r="AK113" i="4"/>
  <c r="AP111" i="4"/>
  <c r="AK158" i="15"/>
  <c r="Y113" i="4"/>
  <c r="AN158" i="15"/>
  <c r="AK156" i="15"/>
  <c r="P360" i="14"/>
  <c r="P115" i="4"/>
  <c r="W57" i="3"/>
  <c r="W49" i="3"/>
  <c r="J360" i="14"/>
  <c r="J115" i="4"/>
  <c r="AK358" i="14"/>
  <c r="P157" i="15"/>
  <c r="P358" i="14"/>
  <c r="AI157" i="15"/>
  <c r="P158" i="15"/>
  <c r="AR358" i="14"/>
  <c r="AR113" i="4"/>
  <c r="Y358" i="14"/>
  <c r="AP113" i="4"/>
  <c r="AN112" i="4"/>
  <c r="AI113" i="4"/>
  <c r="AK112" i="4"/>
  <c r="AI158" i="15"/>
  <c r="AN357" i="14"/>
  <c r="AR154" i="15"/>
  <c r="AR354" i="14"/>
  <c r="AP158" i="15"/>
  <c r="AR158" i="15"/>
  <c r="J113" i="4"/>
  <c r="J158" i="15"/>
  <c r="J358" i="14"/>
  <c r="AI358" i="14"/>
  <c r="AR353" i="14"/>
  <c r="AR153" i="15"/>
  <c r="AR108" i="4"/>
  <c r="AA235" i="1"/>
  <c r="W38" i="3"/>
  <c r="AA216" i="1"/>
  <c r="W29" i="3"/>
  <c r="K43" i="3"/>
  <c r="J43" i="3"/>
  <c r="I43" i="3"/>
  <c r="H43" i="3"/>
  <c r="G43" i="3"/>
  <c r="F43" i="3"/>
  <c r="E43" i="3"/>
  <c r="W48" i="3" l="1"/>
  <c r="W56" i="3"/>
  <c r="X52" i="3"/>
  <c r="X55" i="3"/>
  <c r="AA276" i="1" s="1"/>
  <c r="W50" i="3"/>
  <c r="W47" i="3"/>
  <c r="AA256" i="1"/>
  <c r="AA254" i="1"/>
  <c r="AA280" i="1"/>
  <c r="AA272" i="1"/>
  <c r="AA262" i="1"/>
  <c r="AA266" i="1"/>
  <c r="AA264" i="1"/>
  <c r="AA278" i="1"/>
  <c r="W46" i="3"/>
  <c r="W51" i="3"/>
  <c r="AR104" i="4"/>
  <c r="AR149" i="15"/>
  <c r="AR349" i="14"/>
  <c r="W54" i="3"/>
  <c r="P149" i="15"/>
  <c r="P349" i="14"/>
  <c r="AP104" i="4"/>
  <c r="AN104" i="4"/>
  <c r="AK104" i="4"/>
  <c r="AI104" i="4"/>
  <c r="AP349" i="14"/>
  <c r="AN349" i="14"/>
  <c r="AK349" i="14"/>
  <c r="AP149" i="15"/>
  <c r="AI349" i="14"/>
  <c r="AN149" i="15"/>
  <c r="AK149" i="15"/>
  <c r="AI149" i="15"/>
  <c r="J104" i="4"/>
  <c r="J149" i="15"/>
  <c r="J349" i="14"/>
  <c r="Y149" i="15"/>
  <c r="Y349" i="14"/>
  <c r="Y104" i="4"/>
  <c r="P104" i="4"/>
  <c r="W52" i="3" l="1"/>
  <c r="W55" i="3"/>
  <c r="AA270" i="1"/>
  <c r="AA260" i="1"/>
  <c r="AA274" i="1"/>
  <c r="AA258" i="1"/>
  <c r="AA268" i="1"/>
  <c r="F514" i="3"/>
  <c r="H135" i="8" l="1"/>
  <c r="Q514" i="3"/>
  <c r="J137" i="8" s="1"/>
  <c r="T514" i="3"/>
  <c r="V137" i="8" s="1"/>
  <c r="S514" i="3"/>
  <c r="R137" i="8" s="1"/>
  <c r="R514" i="3"/>
  <c r="N137" i="8" s="1"/>
  <c r="G514" i="3"/>
  <c r="N514" i="3"/>
  <c r="R135" i="8" s="1"/>
  <c r="M514" i="3"/>
  <c r="N135" i="8" s="1"/>
  <c r="L514" i="3"/>
  <c r="J135" i="8" s="1"/>
  <c r="AQ135" i="8" s="1"/>
  <c r="O514" i="3"/>
  <c r="V135" i="8" s="1"/>
  <c r="F135" i="8" l="1"/>
  <c r="J514" i="3"/>
  <c r="K514" i="3"/>
  <c r="H514" i="3"/>
  <c r="I514" i="3"/>
  <c r="P514" i="3"/>
  <c r="Z128" i="1" s="1"/>
  <c r="Y514" i="3"/>
  <c r="AH514" i="3" s="1"/>
  <c r="AJ511" i="3" s="1"/>
  <c r="Z514" i="3"/>
  <c r="Z515" i="3" s="1"/>
  <c r="X515" i="3" s="1"/>
  <c r="X514" i="3" l="1"/>
  <c r="E668" i="3"/>
  <c r="Z516" i="3"/>
  <c r="X516" i="3" s="1"/>
  <c r="E669" i="3"/>
  <c r="K668" i="3"/>
  <c r="AI663" i="3"/>
  <c r="AI643" i="3"/>
  <c r="AI623" i="3"/>
  <c r="AI603" i="3"/>
  <c r="AI583" i="3"/>
  <c r="AI563" i="3"/>
  <c r="AI543" i="3"/>
  <c r="AI523" i="3"/>
  <c r="AI662" i="3"/>
  <c r="AI642" i="3"/>
  <c r="AI622" i="3"/>
  <c r="AI602" i="3"/>
  <c r="AI582" i="3"/>
  <c r="AI562" i="3"/>
  <c r="AI542" i="3"/>
  <c r="AI522" i="3"/>
  <c r="AI661" i="3"/>
  <c r="AI641" i="3"/>
  <c r="AI621" i="3"/>
  <c r="AI601" i="3"/>
  <c r="AI581" i="3"/>
  <c r="AI561" i="3"/>
  <c r="AI541" i="3"/>
  <c r="AI521" i="3"/>
  <c r="AI660" i="3"/>
  <c r="AI640" i="3"/>
  <c r="AI620" i="3"/>
  <c r="AI600" i="3"/>
  <c r="AI580" i="3"/>
  <c r="AI560" i="3"/>
  <c r="AI540" i="3"/>
  <c r="AI520" i="3"/>
  <c r="AI568" i="3"/>
  <c r="AI659" i="3"/>
  <c r="AI639" i="3"/>
  <c r="AI619" i="3"/>
  <c r="AI599" i="3"/>
  <c r="AI579" i="3"/>
  <c r="AI559" i="3"/>
  <c r="AI539" i="3"/>
  <c r="AI519" i="3"/>
  <c r="AI658" i="3"/>
  <c r="AI638" i="3"/>
  <c r="AI618" i="3"/>
  <c r="AI598" i="3"/>
  <c r="AI578" i="3"/>
  <c r="AI558" i="3"/>
  <c r="AI538" i="3"/>
  <c r="AI518" i="3"/>
  <c r="AI657" i="3"/>
  <c r="AI637" i="3"/>
  <c r="AI617" i="3"/>
  <c r="AI597" i="3"/>
  <c r="AI577" i="3"/>
  <c r="AI557" i="3"/>
  <c r="AI537" i="3"/>
  <c r="AI517" i="3"/>
  <c r="AI656" i="3"/>
  <c r="AI636" i="3"/>
  <c r="AI616" i="3"/>
  <c r="AI596" i="3"/>
  <c r="AI576" i="3"/>
  <c r="AI556" i="3"/>
  <c r="AI536" i="3"/>
  <c r="AI516" i="3"/>
  <c r="AI655" i="3"/>
  <c r="AI635" i="3"/>
  <c r="AI615" i="3"/>
  <c r="AI595" i="3"/>
  <c r="AI575" i="3"/>
  <c r="AI555" i="3"/>
  <c r="AI535" i="3"/>
  <c r="AI515" i="3"/>
  <c r="AI548" i="3"/>
  <c r="AI654" i="3"/>
  <c r="AI634" i="3"/>
  <c r="AI614" i="3"/>
  <c r="AI594" i="3"/>
  <c r="AI574" i="3"/>
  <c r="AI554" i="3"/>
  <c r="AI534" i="3"/>
  <c r="AI514" i="3"/>
  <c r="AI588" i="3"/>
  <c r="AI653" i="3"/>
  <c r="AI633" i="3"/>
  <c r="AI613" i="3"/>
  <c r="AI593" i="3"/>
  <c r="AI573" i="3"/>
  <c r="AI553" i="3"/>
  <c r="AI533" i="3"/>
  <c r="AI652" i="3"/>
  <c r="AI632" i="3"/>
  <c r="AI612" i="3"/>
  <c r="AI592" i="3"/>
  <c r="AI572" i="3"/>
  <c r="AI552" i="3"/>
  <c r="AI532" i="3"/>
  <c r="AI651" i="3"/>
  <c r="AI631" i="3"/>
  <c r="AI611" i="3"/>
  <c r="AI591" i="3"/>
  <c r="AI571" i="3"/>
  <c r="AI551" i="3"/>
  <c r="AI531" i="3"/>
  <c r="AI650" i="3"/>
  <c r="AI630" i="3"/>
  <c r="AI610" i="3"/>
  <c r="AI590" i="3"/>
  <c r="AI570" i="3"/>
  <c r="AI550" i="3"/>
  <c r="AI530" i="3"/>
  <c r="AI608" i="3"/>
  <c r="AI649" i="3"/>
  <c r="AI629" i="3"/>
  <c r="AI609" i="3"/>
  <c r="AI589" i="3"/>
  <c r="AI569" i="3"/>
  <c r="AI549" i="3"/>
  <c r="AI529" i="3"/>
  <c r="AI628" i="3"/>
  <c r="AI648" i="3"/>
  <c r="AI647" i="3"/>
  <c r="AI627" i="3"/>
  <c r="AI607" i="3"/>
  <c r="AI587" i="3"/>
  <c r="AI567" i="3"/>
  <c r="AI547" i="3"/>
  <c r="AI527" i="3"/>
  <c r="AI528" i="3"/>
  <c r="AI646" i="3"/>
  <c r="AI626" i="3"/>
  <c r="AI606" i="3"/>
  <c r="AI586" i="3"/>
  <c r="AI566" i="3"/>
  <c r="AI546" i="3"/>
  <c r="AI526" i="3"/>
  <c r="AI645" i="3"/>
  <c r="AI625" i="3"/>
  <c r="AI605" i="3"/>
  <c r="AI585" i="3"/>
  <c r="AI565" i="3"/>
  <c r="AI545" i="3"/>
  <c r="AI525" i="3"/>
  <c r="AI644" i="3"/>
  <c r="AI624" i="3"/>
  <c r="AI604" i="3"/>
  <c r="AI584" i="3"/>
  <c r="AI564" i="3"/>
  <c r="AI544" i="3"/>
  <c r="AI524" i="3"/>
  <c r="L802" i="8" l="1"/>
  <c r="Z517" i="3"/>
  <c r="AK605" i="3"/>
  <c r="B203" i="14" s="1"/>
  <c r="J203" i="14" s="1"/>
  <c r="A203" i="14"/>
  <c r="AK529" i="3"/>
  <c r="A87" i="15"/>
  <c r="A127" i="14"/>
  <c r="AK631" i="3"/>
  <c r="B229" i="14" s="1"/>
  <c r="J229" i="14" s="1"/>
  <c r="A229" i="14"/>
  <c r="AK574" i="3"/>
  <c r="B172" i="14" s="1"/>
  <c r="J172" i="14" s="1"/>
  <c r="A172" i="14"/>
  <c r="AK636" i="3"/>
  <c r="B234" i="14" s="1"/>
  <c r="J234" i="14" s="1"/>
  <c r="A234" i="14"/>
  <c r="AK559" i="3"/>
  <c r="B157" i="14" s="1"/>
  <c r="J157" i="14" s="1"/>
  <c r="A157" i="14"/>
  <c r="AK621" i="3"/>
  <c r="B219" i="14" s="1"/>
  <c r="J219" i="14" s="1"/>
  <c r="A219" i="14"/>
  <c r="AK549" i="3"/>
  <c r="B147" i="14" s="1"/>
  <c r="J147" i="14" s="1"/>
  <c r="A147" i="14"/>
  <c r="AK651" i="3"/>
  <c r="B249" i="14" s="1"/>
  <c r="J249" i="14" s="1"/>
  <c r="A249" i="14"/>
  <c r="AK594" i="3"/>
  <c r="B192" i="14" s="1"/>
  <c r="J192" i="14" s="1"/>
  <c r="A192" i="14"/>
  <c r="AK656" i="3"/>
  <c r="B254" i="14" s="1"/>
  <c r="J254" i="14" s="1"/>
  <c r="A254" i="14"/>
  <c r="AK579" i="3"/>
  <c r="B177" i="14" s="1"/>
  <c r="J177" i="14" s="1"/>
  <c r="A177" i="14"/>
  <c r="AK641" i="3"/>
  <c r="B239" i="14" s="1"/>
  <c r="J239" i="14" s="1"/>
  <c r="A239" i="14"/>
  <c r="AK584" i="3"/>
  <c r="B182" i="14" s="1"/>
  <c r="J182" i="14" s="1"/>
  <c r="A182" i="14"/>
  <c r="AK625" i="3"/>
  <c r="B223" i="14" s="1"/>
  <c r="J223" i="14" s="1"/>
  <c r="A223" i="14"/>
  <c r="AK645" i="3"/>
  <c r="B243" i="14" s="1"/>
  <c r="J243" i="14" s="1"/>
  <c r="A243" i="14"/>
  <c r="AK569" i="3"/>
  <c r="B167" i="14" s="1"/>
  <c r="J167" i="14" s="1"/>
  <c r="A167" i="14"/>
  <c r="AK532" i="3"/>
  <c r="A90" i="15"/>
  <c r="A130" i="14"/>
  <c r="AK614" i="3"/>
  <c r="B212" i="14" s="1"/>
  <c r="J212" i="14" s="1"/>
  <c r="A212" i="14"/>
  <c r="AK517" i="3"/>
  <c r="A115" i="14"/>
  <c r="A75" i="15"/>
  <c r="AK599" i="3"/>
  <c r="B197" i="14" s="1"/>
  <c r="J197" i="14" s="1"/>
  <c r="A197" i="14"/>
  <c r="AK661" i="3"/>
  <c r="B259" i="14" s="1"/>
  <c r="J259" i="14" s="1"/>
  <c r="A259" i="14"/>
  <c r="AK526" i="3"/>
  <c r="A84" i="15"/>
  <c r="A124" i="14"/>
  <c r="AK589" i="3"/>
  <c r="B187" i="14" s="1"/>
  <c r="J187" i="14" s="1"/>
  <c r="A187" i="14"/>
  <c r="AK552" i="3"/>
  <c r="B150" i="14" s="1"/>
  <c r="J150" i="14" s="1"/>
  <c r="A150" i="14"/>
  <c r="AK634" i="3"/>
  <c r="B232" i="14" s="1"/>
  <c r="J232" i="14" s="1"/>
  <c r="A232" i="14"/>
  <c r="AK537" i="3"/>
  <c r="A95" i="15"/>
  <c r="A135" i="14"/>
  <c r="AK619" i="3"/>
  <c r="B217" i="14" s="1"/>
  <c r="J217" i="14" s="1"/>
  <c r="A217" i="14"/>
  <c r="AK522" i="3"/>
  <c r="A80" i="15"/>
  <c r="A120" i="14"/>
  <c r="AK609" i="3"/>
  <c r="B207" i="14" s="1"/>
  <c r="J207" i="14" s="1"/>
  <c r="A207" i="14"/>
  <c r="AK572" i="3"/>
  <c r="B170" i="14" s="1"/>
  <c r="J170" i="14" s="1"/>
  <c r="A170" i="14"/>
  <c r="AK654" i="3"/>
  <c r="B252" i="14" s="1"/>
  <c r="J252" i="14" s="1"/>
  <c r="A252" i="14"/>
  <c r="AK557" i="3"/>
  <c r="B155" i="14" s="1"/>
  <c r="J155" i="14" s="1"/>
  <c r="A155" i="14"/>
  <c r="AK639" i="3"/>
  <c r="B237" i="14" s="1"/>
  <c r="J237" i="14" s="1"/>
  <c r="A237" i="14"/>
  <c r="AK542" i="3"/>
  <c r="A100" i="15"/>
  <c r="A140" i="14"/>
  <c r="AK566" i="3"/>
  <c r="B164" i="14" s="1"/>
  <c r="J164" i="14" s="1"/>
  <c r="A164" i="14"/>
  <c r="AK629" i="3"/>
  <c r="B227" i="14" s="1"/>
  <c r="J227" i="14" s="1"/>
  <c r="A227" i="14"/>
  <c r="AK592" i="3"/>
  <c r="B190" i="14" s="1"/>
  <c r="J190" i="14" s="1"/>
  <c r="A190" i="14"/>
  <c r="AK548" i="3"/>
  <c r="B146" i="14" s="1"/>
  <c r="J146" i="14" s="1"/>
  <c r="A146" i="14"/>
  <c r="AK577" i="3"/>
  <c r="B175" i="14" s="1"/>
  <c r="J175" i="14" s="1"/>
  <c r="A175" i="14"/>
  <c r="AK659" i="3"/>
  <c r="B257" i="14" s="1"/>
  <c r="J257" i="14" s="1"/>
  <c r="A257" i="14"/>
  <c r="AK562" i="3"/>
  <c r="B160" i="14" s="1"/>
  <c r="J160" i="14" s="1"/>
  <c r="A160" i="14"/>
  <c r="AK546" i="3"/>
  <c r="B144" i="14" s="1"/>
  <c r="J144" i="14" s="1"/>
  <c r="A144" i="14"/>
  <c r="AK649" i="3"/>
  <c r="B247" i="14" s="1"/>
  <c r="J247" i="14" s="1"/>
  <c r="A247" i="14"/>
  <c r="AK612" i="3"/>
  <c r="B210" i="14" s="1"/>
  <c r="J210" i="14" s="1"/>
  <c r="A210" i="14"/>
  <c r="A73" i="15"/>
  <c r="A113" i="14"/>
  <c r="AK597" i="3"/>
  <c r="B195" i="14" s="1"/>
  <c r="J195" i="14" s="1"/>
  <c r="A195" i="14"/>
  <c r="AK568" i="3"/>
  <c r="B166" i="14" s="1"/>
  <c r="J166" i="14" s="1"/>
  <c r="A166" i="14"/>
  <c r="AK582" i="3"/>
  <c r="B180" i="14" s="1"/>
  <c r="J180" i="14" s="1"/>
  <c r="A180" i="14"/>
  <c r="AK586" i="3"/>
  <c r="B184" i="14" s="1"/>
  <c r="J184" i="14" s="1"/>
  <c r="A184" i="14"/>
  <c r="AK606" i="3"/>
  <c r="B204" i="14" s="1"/>
  <c r="J204" i="14" s="1"/>
  <c r="A204" i="14"/>
  <c r="AK608" i="3"/>
  <c r="B206" i="14" s="1"/>
  <c r="J206" i="14" s="1"/>
  <c r="A206" i="14"/>
  <c r="AK632" i="3"/>
  <c r="B230" i="14" s="1"/>
  <c r="J230" i="14" s="1"/>
  <c r="A230" i="14"/>
  <c r="AK535" i="3"/>
  <c r="A93" i="15"/>
  <c r="A133" i="14"/>
  <c r="AK617" i="3"/>
  <c r="B215" i="14" s="1"/>
  <c r="J215" i="14" s="1"/>
  <c r="A215" i="14"/>
  <c r="AK520" i="3"/>
  <c r="A78" i="15"/>
  <c r="A118" i="14"/>
  <c r="AK602" i="3"/>
  <c r="B200" i="14" s="1"/>
  <c r="J200" i="14" s="1"/>
  <c r="A200" i="14"/>
  <c r="AK626" i="3"/>
  <c r="B224" i="14" s="1"/>
  <c r="J224" i="14" s="1"/>
  <c r="A224" i="14"/>
  <c r="AK530" i="3"/>
  <c r="A88" i="15"/>
  <c r="A128" i="14"/>
  <c r="AK652" i="3"/>
  <c r="B250" i="14" s="1"/>
  <c r="J250" i="14" s="1"/>
  <c r="A250" i="14"/>
  <c r="AK555" i="3"/>
  <c r="B153" i="14" s="1"/>
  <c r="J153" i="14" s="1"/>
  <c r="A153" i="14"/>
  <c r="AK637" i="3"/>
  <c r="B235" i="14" s="1"/>
  <c r="J235" i="14" s="1"/>
  <c r="A235" i="14"/>
  <c r="AK540" i="3"/>
  <c r="A98" i="15"/>
  <c r="A138" i="14"/>
  <c r="AK622" i="3"/>
  <c r="B220" i="14" s="1"/>
  <c r="J220" i="14" s="1"/>
  <c r="A220" i="14"/>
  <c r="AK524" i="3"/>
  <c r="A82" i="15"/>
  <c r="A122" i="14"/>
  <c r="AK646" i="3"/>
  <c r="B244" i="14" s="1"/>
  <c r="J244" i="14" s="1"/>
  <c r="A244" i="14"/>
  <c r="AK550" i="3"/>
  <c r="B148" i="14" s="1"/>
  <c r="J148" i="14" s="1"/>
  <c r="A148" i="14"/>
  <c r="AK533" i="3"/>
  <c r="A91" i="15"/>
  <c r="A131" i="14"/>
  <c r="AK575" i="3"/>
  <c r="B173" i="14" s="1"/>
  <c r="J173" i="14" s="1"/>
  <c r="A173" i="14"/>
  <c r="AK657" i="3"/>
  <c r="B255" i="14" s="1"/>
  <c r="J255" i="14" s="1"/>
  <c r="A255" i="14"/>
  <c r="AK560" i="3"/>
  <c r="B158" i="14" s="1"/>
  <c r="J158" i="14" s="1"/>
  <c r="A158" i="14"/>
  <c r="AK642" i="3"/>
  <c r="B240" i="14" s="1"/>
  <c r="J240" i="14" s="1"/>
  <c r="A240" i="14"/>
  <c r="AK544" i="3"/>
  <c r="B142" i="14" s="1"/>
  <c r="J142" i="14" s="1"/>
  <c r="A142" i="14"/>
  <c r="AK528" i="3"/>
  <c r="A86" i="15"/>
  <c r="A126" i="14"/>
  <c r="AK570" i="3"/>
  <c r="B168" i="14" s="1"/>
  <c r="J168" i="14" s="1"/>
  <c r="A168" i="14"/>
  <c r="AK553" i="3"/>
  <c r="B151" i="14" s="1"/>
  <c r="J151" i="14" s="1"/>
  <c r="A151" i="14"/>
  <c r="AK595" i="3"/>
  <c r="B193" i="14" s="1"/>
  <c r="J193" i="14" s="1"/>
  <c r="A193" i="14"/>
  <c r="AK518" i="3"/>
  <c r="A76" i="15"/>
  <c r="A116" i="14"/>
  <c r="AK580" i="3"/>
  <c r="B178" i="14" s="1"/>
  <c r="J178" i="14" s="1"/>
  <c r="A178" i="14"/>
  <c r="AK662" i="3"/>
  <c r="B260" i="14" s="1"/>
  <c r="J260" i="14" s="1"/>
  <c r="A260" i="14"/>
  <c r="AK564" i="3"/>
  <c r="B162" i="14" s="1"/>
  <c r="J162" i="14" s="1"/>
  <c r="A162" i="14"/>
  <c r="AK527" i="3"/>
  <c r="A85" i="15"/>
  <c r="A125" i="14"/>
  <c r="AK590" i="3"/>
  <c r="B188" i="14" s="1"/>
  <c r="J188" i="14" s="1"/>
  <c r="A188" i="14"/>
  <c r="AK573" i="3"/>
  <c r="B171" i="14" s="1"/>
  <c r="J171" i="14" s="1"/>
  <c r="A171" i="14"/>
  <c r="AK615" i="3"/>
  <c r="B213" i="14" s="1"/>
  <c r="J213" i="14" s="1"/>
  <c r="A213" i="14"/>
  <c r="AK538" i="3"/>
  <c r="A96" i="15"/>
  <c r="A136" i="14"/>
  <c r="AK600" i="3"/>
  <c r="B198" i="14" s="1"/>
  <c r="J198" i="14" s="1"/>
  <c r="A198" i="14"/>
  <c r="AK523" i="3"/>
  <c r="A81" i="15"/>
  <c r="A121" i="14"/>
  <c r="AK547" i="3"/>
  <c r="B145" i="14" s="1"/>
  <c r="J145" i="14" s="1"/>
  <c r="A145" i="14"/>
  <c r="AK610" i="3"/>
  <c r="B208" i="14" s="1"/>
  <c r="J208" i="14" s="1"/>
  <c r="A208" i="14"/>
  <c r="AK593" i="3"/>
  <c r="B191" i="14" s="1"/>
  <c r="J191" i="14" s="1"/>
  <c r="A191" i="14"/>
  <c r="AK635" i="3"/>
  <c r="B233" i="14" s="1"/>
  <c r="J233" i="14" s="1"/>
  <c r="A233" i="14"/>
  <c r="AK558" i="3"/>
  <c r="B156" i="14" s="1"/>
  <c r="J156" i="14" s="1"/>
  <c r="A156" i="14"/>
  <c r="AK620" i="3"/>
  <c r="B218" i="14" s="1"/>
  <c r="J218" i="14" s="1"/>
  <c r="A218" i="14"/>
  <c r="AK543" i="3"/>
  <c r="A101" i="15"/>
  <c r="A141" i="14"/>
  <c r="AK567" i="3"/>
  <c r="B165" i="14" s="1"/>
  <c r="J165" i="14" s="1"/>
  <c r="A165" i="14"/>
  <c r="AK630" i="3"/>
  <c r="B228" i="14" s="1"/>
  <c r="J228" i="14" s="1"/>
  <c r="A228" i="14"/>
  <c r="AK613" i="3"/>
  <c r="B211" i="14" s="1"/>
  <c r="J211" i="14" s="1"/>
  <c r="A211" i="14"/>
  <c r="AK655" i="3"/>
  <c r="B253" i="14" s="1"/>
  <c r="J253" i="14" s="1"/>
  <c r="A253" i="14"/>
  <c r="AK578" i="3"/>
  <c r="B176" i="14" s="1"/>
  <c r="J176" i="14" s="1"/>
  <c r="A176" i="14"/>
  <c r="AK640" i="3"/>
  <c r="B238" i="14" s="1"/>
  <c r="J238" i="14" s="1"/>
  <c r="A238" i="14"/>
  <c r="AK563" i="3"/>
  <c r="B161" i="14" s="1"/>
  <c r="J161" i="14" s="1"/>
  <c r="A161" i="14"/>
  <c r="AK624" i="3"/>
  <c r="B222" i="14" s="1"/>
  <c r="J222" i="14" s="1"/>
  <c r="A222" i="14"/>
  <c r="AK587" i="3"/>
  <c r="B185" i="14" s="1"/>
  <c r="J185" i="14" s="1"/>
  <c r="A185" i="14"/>
  <c r="AK650" i="3"/>
  <c r="B248" i="14" s="1"/>
  <c r="J248" i="14" s="1"/>
  <c r="A248" i="14"/>
  <c r="AK633" i="3"/>
  <c r="B231" i="14" s="1"/>
  <c r="J231" i="14" s="1"/>
  <c r="A231" i="14"/>
  <c r="AK516" i="3"/>
  <c r="A74" i="15"/>
  <c r="A114" i="14"/>
  <c r="AK598" i="3"/>
  <c r="B196" i="14" s="1"/>
  <c r="J196" i="14" s="1"/>
  <c r="A196" i="14"/>
  <c r="AK660" i="3"/>
  <c r="B258" i="14" s="1"/>
  <c r="J258" i="14" s="1"/>
  <c r="A258" i="14"/>
  <c r="AK583" i="3"/>
  <c r="B181" i="14" s="1"/>
  <c r="J181" i="14" s="1"/>
  <c r="A181" i="14"/>
  <c r="AK644" i="3"/>
  <c r="B242" i="14" s="1"/>
  <c r="J242" i="14" s="1"/>
  <c r="A242" i="14"/>
  <c r="AK607" i="3"/>
  <c r="B205" i="14" s="1"/>
  <c r="J205" i="14" s="1"/>
  <c r="A205" i="14"/>
  <c r="AK531" i="3"/>
  <c r="A89" i="15"/>
  <c r="A129" i="14"/>
  <c r="AK653" i="3"/>
  <c r="B251" i="14" s="1"/>
  <c r="J251" i="14" s="1"/>
  <c r="A251" i="14"/>
  <c r="AK536" i="3"/>
  <c r="A94" i="15"/>
  <c r="A134" i="14"/>
  <c r="AK618" i="3"/>
  <c r="B216" i="14" s="1"/>
  <c r="J216" i="14" s="1"/>
  <c r="A216" i="14"/>
  <c r="AK521" i="3"/>
  <c r="A79" i="15"/>
  <c r="A119" i="14"/>
  <c r="AK603" i="3"/>
  <c r="B201" i="14" s="1"/>
  <c r="J201" i="14" s="1"/>
  <c r="A201" i="14"/>
  <c r="AK604" i="3"/>
  <c r="B202" i="14" s="1"/>
  <c r="J202" i="14" s="1"/>
  <c r="A202" i="14"/>
  <c r="AK551" i="3"/>
  <c r="B149" i="14" s="1"/>
  <c r="J149" i="14" s="1"/>
  <c r="A149" i="14"/>
  <c r="AK588" i="3"/>
  <c r="B186" i="14" s="1"/>
  <c r="J186" i="14" s="1"/>
  <c r="A186" i="14"/>
  <c r="AK556" i="3"/>
  <c r="B154" i="14" s="1"/>
  <c r="J154" i="14" s="1"/>
  <c r="A154" i="14"/>
  <c r="AK638" i="3"/>
  <c r="B236" i="14" s="1"/>
  <c r="J236" i="14" s="1"/>
  <c r="A236" i="14"/>
  <c r="AK541" i="3"/>
  <c r="A99" i="15"/>
  <c r="A139" i="14"/>
  <c r="AK623" i="3"/>
  <c r="B221" i="14" s="1"/>
  <c r="J221" i="14" s="1"/>
  <c r="A221" i="14"/>
  <c r="AK545" i="3"/>
  <c r="B143" i="14" s="1"/>
  <c r="J143" i="14" s="1"/>
  <c r="A143" i="14"/>
  <c r="AK571" i="3"/>
  <c r="B169" i="14" s="1"/>
  <c r="J169" i="14" s="1"/>
  <c r="A169" i="14"/>
  <c r="A72" i="15"/>
  <c r="A112" i="14"/>
  <c r="AK576" i="3"/>
  <c r="B174" i="14" s="1"/>
  <c r="J174" i="14" s="1"/>
  <c r="A174" i="14"/>
  <c r="AK658" i="3"/>
  <c r="B256" i="14" s="1"/>
  <c r="J256" i="14" s="1"/>
  <c r="A256" i="14"/>
  <c r="AK561" i="3"/>
  <c r="B159" i="14" s="1"/>
  <c r="J159" i="14" s="1"/>
  <c r="A159" i="14"/>
  <c r="AK643" i="3"/>
  <c r="B241" i="14" s="1"/>
  <c r="J241" i="14" s="1"/>
  <c r="A241" i="14"/>
  <c r="AK627" i="3"/>
  <c r="B225" i="14" s="1"/>
  <c r="J225" i="14" s="1"/>
  <c r="A225" i="14"/>
  <c r="AK565" i="3"/>
  <c r="B163" i="14" s="1"/>
  <c r="J163" i="14" s="1"/>
  <c r="A163" i="14"/>
  <c r="AK648" i="3"/>
  <c r="B246" i="14" s="1"/>
  <c r="J246" i="14" s="1"/>
  <c r="A246" i="14"/>
  <c r="AK591" i="3"/>
  <c r="B189" i="14" s="1"/>
  <c r="J189" i="14" s="1"/>
  <c r="A189" i="14"/>
  <c r="AK534" i="3"/>
  <c r="A92" i="15"/>
  <c r="A132" i="14"/>
  <c r="AK596" i="3"/>
  <c r="B194" i="14" s="1"/>
  <c r="J194" i="14" s="1"/>
  <c r="A194" i="14"/>
  <c r="AK519" i="3"/>
  <c r="A77" i="15"/>
  <c r="A117" i="14"/>
  <c r="AK581" i="3"/>
  <c r="B179" i="14" s="1"/>
  <c r="J179" i="14" s="1"/>
  <c r="A179" i="14"/>
  <c r="AK663" i="3"/>
  <c r="B261" i="14" s="1"/>
  <c r="J261" i="14" s="1"/>
  <c r="A261" i="14"/>
  <c r="AK525" i="3"/>
  <c r="A83" i="15"/>
  <c r="A123" i="14"/>
  <c r="AK647" i="3"/>
  <c r="B245" i="14" s="1"/>
  <c r="J245" i="14" s="1"/>
  <c r="A245" i="14"/>
  <c r="AK585" i="3"/>
  <c r="B183" i="14" s="1"/>
  <c r="J183" i="14" s="1"/>
  <c r="A183" i="14"/>
  <c r="AK628" i="3"/>
  <c r="B226" i="14" s="1"/>
  <c r="J226" i="14" s="1"/>
  <c r="A226" i="14"/>
  <c r="AK611" i="3"/>
  <c r="B209" i="14" s="1"/>
  <c r="J209" i="14" s="1"/>
  <c r="A209" i="14"/>
  <c r="AK554" i="3"/>
  <c r="B152" i="14" s="1"/>
  <c r="J152" i="14" s="1"/>
  <c r="A152" i="14"/>
  <c r="AK616" i="3"/>
  <c r="B214" i="14" s="1"/>
  <c r="J214" i="14" s="1"/>
  <c r="A214" i="14"/>
  <c r="AK539" i="3"/>
  <c r="A97" i="15"/>
  <c r="A137" i="14"/>
  <c r="AK601" i="3"/>
  <c r="B199" i="14" s="1"/>
  <c r="J199" i="14" s="1"/>
  <c r="A199" i="14"/>
  <c r="AK515" i="3"/>
  <c r="AK514" i="3"/>
  <c r="AJ641" i="3"/>
  <c r="C239" i="14" s="1"/>
  <c r="AJ605" i="3"/>
  <c r="C203" i="14" s="1"/>
  <c r="AJ529" i="3"/>
  <c r="AJ631" i="3"/>
  <c r="C229" i="14" s="1"/>
  <c r="AJ574" i="3"/>
  <c r="C172" i="14" s="1"/>
  <c r="AJ636" i="3"/>
  <c r="C234" i="14" s="1"/>
  <c r="AJ559" i="3"/>
  <c r="C157" i="14" s="1"/>
  <c r="AJ621" i="3"/>
  <c r="C219" i="14" s="1"/>
  <c r="AJ599" i="3"/>
  <c r="C197" i="14" s="1"/>
  <c r="AJ661" i="3"/>
  <c r="C259" i="14" s="1"/>
  <c r="AJ526" i="3"/>
  <c r="AJ589" i="3"/>
  <c r="C187" i="14" s="1"/>
  <c r="AJ552" i="3"/>
  <c r="C150" i="14" s="1"/>
  <c r="AJ634" i="3"/>
  <c r="C232" i="14" s="1"/>
  <c r="AJ537" i="3"/>
  <c r="AJ619" i="3"/>
  <c r="C217" i="14" s="1"/>
  <c r="AJ522" i="3"/>
  <c r="AJ614" i="3"/>
  <c r="C212" i="14" s="1"/>
  <c r="AJ609" i="3"/>
  <c r="C207" i="14" s="1"/>
  <c r="AJ572" i="3"/>
  <c r="C170" i="14" s="1"/>
  <c r="AJ654" i="3"/>
  <c r="C252" i="14" s="1"/>
  <c r="AJ557" i="3"/>
  <c r="C155" i="14" s="1"/>
  <c r="AJ639" i="3"/>
  <c r="C237" i="14" s="1"/>
  <c r="AJ542" i="3"/>
  <c r="AJ645" i="3"/>
  <c r="C243" i="14" s="1"/>
  <c r="AJ629" i="3"/>
  <c r="C227" i="14" s="1"/>
  <c r="AJ592" i="3"/>
  <c r="C190" i="14" s="1"/>
  <c r="AJ548" i="3"/>
  <c r="C146" i="14" s="1"/>
  <c r="AJ577" i="3"/>
  <c r="C175" i="14" s="1"/>
  <c r="AJ659" i="3"/>
  <c r="C257" i="14" s="1"/>
  <c r="AJ562" i="3"/>
  <c r="C160" i="14" s="1"/>
  <c r="AJ625" i="3"/>
  <c r="C223" i="14" s="1"/>
  <c r="AJ546" i="3"/>
  <c r="C144" i="14" s="1"/>
  <c r="AJ586" i="3"/>
  <c r="C184" i="14" s="1"/>
  <c r="AJ649" i="3"/>
  <c r="C247" i="14" s="1"/>
  <c r="AJ612" i="3"/>
  <c r="C210" i="14" s="1"/>
  <c r="AJ597" i="3"/>
  <c r="C195" i="14" s="1"/>
  <c r="AJ568" i="3"/>
  <c r="C166" i="14" s="1"/>
  <c r="AJ582" i="3"/>
  <c r="C180" i="14" s="1"/>
  <c r="AJ569" i="3"/>
  <c r="C167" i="14" s="1"/>
  <c r="AJ606" i="3"/>
  <c r="C204" i="14" s="1"/>
  <c r="AJ608" i="3"/>
  <c r="C206" i="14" s="1"/>
  <c r="AJ632" i="3"/>
  <c r="C230" i="14" s="1"/>
  <c r="AJ535" i="3"/>
  <c r="AJ617" i="3"/>
  <c r="C215" i="14" s="1"/>
  <c r="AJ520" i="3"/>
  <c r="AJ602" i="3"/>
  <c r="C200" i="14" s="1"/>
  <c r="AJ532" i="3"/>
  <c r="AJ626" i="3"/>
  <c r="C224" i="14" s="1"/>
  <c r="AJ530" i="3"/>
  <c r="AJ652" i="3"/>
  <c r="C250" i="14" s="1"/>
  <c r="AJ555" i="3"/>
  <c r="C153" i="14" s="1"/>
  <c r="AJ637" i="3"/>
  <c r="C235" i="14" s="1"/>
  <c r="AJ540" i="3"/>
  <c r="AJ622" i="3"/>
  <c r="C220" i="14" s="1"/>
  <c r="AJ566" i="3"/>
  <c r="C164" i="14" s="1"/>
  <c r="AJ550" i="3"/>
  <c r="C148" i="14" s="1"/>
  <c r="AJ533" i="3"/>
  <c r="AJ575" i="3"/>
  <c r="C173" i="14" s="1"/>
  <c r="AJ657" i="3"/>
  <c r="C255" i="14" s="1"/>
  <c r="AJ560" i="3"/>
  <c r="C158" i="14" s="1"/>
  <c r="AJ642" i="3"/>
  <c r="C240" i="14" s="1"/>
  <c r="AJ549" i="3"/>
  <c r="C147" i="14" s="1"/>
  <c r="AJ517" i="3"/>
  <c r="AJ646" i="3"/>
  <c r="C244" i="14" s="1"/>
  <c r="AJ528" i="3"/>
  <c r="AJ570" i="3"/>
  <c r="C168" i="14" s="1"/>
  <c r="AJ553" i="3"/>
  <c r="C151" i="14" s="1"/>
  <c r="AJ595" i="3"/>
  <c r="C193" i="14" s="1"/>
  <c r="AJ518" i="3"/>
  <c r="AJ580" i="3"/>
  <c r="C178" i="14" s="1"/>
  <c r="AJ662" i="3"/>
  <c r="C260" i="14" s="1"/>
  <c r="AJ651" i="3"/>
  <c r="C249" i="14" s="1"/>
  <c r="AJ524" i="3"/>
  <c r="AJ544" i="3"/>
  <c r="C142" i="14" s="1"/>
  <c r="AJ564" i="3"/>
  <c r="C162" i="14" s="1"/>
  <c r="AJ527" i="3"/>
  <c r="AJ590" i="3"/>
  <c r="C188" i="14" s="1"/>
  <c r="AJ573" i="3"/>
  <c r="C171" i="14" s="1"/>
  <c r="AJ615" i="3"/>
  <c r="C213" i="14" s="1"/>
  <c r="AJ538" i="3"/>
  <c r="AJ600" i="3"/>
  <c r="C198" i="14" s="1"/>
  <c r="AJ523" i="3"/>
  <c r="AJ547" i="3"/>
  <c r="C145" i="14" s="1"/>
  <c r="AJ610" i="3"/>
  <c r="C208" i="14" s="1"/>
  <c r="AJ593" i="3"/>
  <c r="C191" i="14" s="1"/>
  <c r="AJ635" i="3"/>
  <c r="C233" i="14" s="1"/>
  <c r="AJ558" i="3"/>
  <c r="C156" i="14" s="1"/>
  <c r="AJ620" i="3"/>
  <c r="C218" i="14" s="1"/>
  <c r="AJ543" i="3"/>
  <c r="AJ584" i="3"/>
  <c r="C182" i="14" s="1"/>
  <c r="AJ567" i="3"/>
  <c r="C165" i="14" s="1"/>
  <c r="AJ630" i="3"/>
  <c r="C228" i="14" s="1"/>
  <c r="AJ613" i="3"/>
  <c r="C211" i="14" s="1"/>
  <c r="AJ655" i="3"/>
  <c r="C253" i="14" s="1"/>
  <c r="AJ578" i="3"/>
  <c r="C176" i="14" s="1"/>
  <c r="AJ640" i="3"/>
  <c r="C238" i="14" s="1"/>
  <c r="AJ563" i="3"/>
  <c r="C161" i="14" s="1"/>
  <c r="AJ604" i="3"/>
  <c r="C202" i="14" s="1"/>
  <c r="AJ624" i="3"/>
  <c r="C222" i="14" s="1"/>
  <c r="AJ587" i="3"/>
  <c r="C185" i="14" s="1"/>
  <c r="AJ650" i="3"/>
  <c r="C248" i="14" s="1"/>
  <c r="AJ633" i="3"/>
  <c r="C231" i="14" s="1"/>
  <c r="AJ516" i="3"/>
  <c r="AJ598" i="3"/>
  <c r="C196" i="14" s="1"/>
  <c r="AJ660" i="3"/>
  <c r="C258" i="14" s="1"/>
  <c r="AJ583" i="3"/>
  <c r="C181" i="14" s="1"/>
  <c r="AJ594" i="3"/>
  <c r="C192" i="14" s="1"/>
  <c r="AJ644" i="3"/>
  <c r="C242" i="14" s="1"/>
  <c r="AJ607" i="3"/>
  <c r="C205" i="14" s="1"/>
  <c r="AJ531" i="3"/>
  <c r="AJ653" i="3"/>
  <c r="C251" i="14" s="1"/>
  <c r="AJ536" i="3"/>
  <c r="AJ618" i="3"/>
  <c r="C216" i="14" s="1"/>
  <c r="AJ521" i="3"/>
  <c r="AJ603" i="3"/>
  <c r="C201" i="14" s="1"/>
  <c r="AJ627" i="3"/>
  <c r="C225" i="14" s="1"/>
  <c r="AJ551" i="3"/>
  <c r="C149" i="14" s="1"/>
  <c r="AJ588" i="3"/>
  <c r="C186" i="14" s="1"/>
  <c r="AJ556" i="3"/>
  <c r="C154" i="14" s="1"/>
  <c r="AJ638" i="3"/>
  <c r="C236" i="14" s="1"/>
  <c r="AJ541" i="3"/>
  <c r="AJ623" i="3"/>
  <c r="C221" i="14" s="1"/>
  <c r="AJ656" i="3"/>
  <c r="C254" i="14" s="1"/>
  <c r="AJ525" i="3"/>
  <c r="AJ647" i="3"/>
  <c r="C245" i="14" s="1"/>
  <c r="AJ571" i="3"/>
  <c r="C169" i="14" s="1"/>
  <c r="AJ576" i="3"/>
  <c r="C174" i="14" s="1"/>
  <c r="AJ658" i="3"/>
  <c r="C256" i="14" s="1"/>
  <c r="AJ561" i="3"/>
  <c r="C159" i="14" s="1"/>
  <c r="AJ643" i="3"/>
  <c r="C241" i="14" s="1"/>
  <c r="AJ545" i="3"/>
  <c r="C143" i="14" s="1"/>
  <c r="AJ565" i="3"/>
  <c r="C163" i="14" s="1"/>
  <c r="AJ648" i="3"/>
  <c r="C246" i="14" s="1"/>
  <c r="AJ591" i="3"/>
  <c r="C189" i="14" s="1"/>
  <c r="AJ534" i="3"/>
  <c r="AJ596" i="3"/>
  <c r="C194" i="14" s="1"/>
  <c r="AJ519" i="3"/>
  <c r="AJ581" i="3"/>
  <c r="C179" i="14" s="1"/>
  <c r="AJ663" i="3"/>
  <c r="C261" i="14" s="1"/>
  <c r="AJ579" i="3"/>
  <c r="C177" i="14" s="1"/>
  <c r="AJ585" i="3"/>
  <c r="C183" i="14" s="1"/>
  <c r="AJ628" i="3"/>
  <c r="C226" i="14" s="1"/>
  <c r="AJ611" i="3"/>
  <c r="C209" i="14" s="1"/>
  <c r="AJ554" i="3"/>
  <c r="C152" i="14" s="1"/>
  <c r="AJ616" i="3"/>
  <c r="C214" i="14" s="1"/>
  <c r="AJ539" i="3"/>
  <c r="AJ601" i="3"/>
  <c r="C199" i="14" s="1"/>
  <c r="AJ514" i="3"/>
  <c r="A64" i="4"/>
  <c r="AJ515" i="3"/>
  <c r="A65" i="4"/>
  <c r="E670" i="3"/>
  <c r="X143" i="8"/>
  <c r="AI511" i="3" l="1" a="1"/>
  <c r="AI511" i="3" s="1"/>
  <c r="AK511" i="3" s="1"/>
  <c r="X517" i="3"/>
  <c r="Z518" i="3"/>
  <c r="Z519" i="3" s="1"/>
  <c r="X519" i="3" s="1"/>
  <c r="C88" i="15"/>
  <c r="C128" i="14"/>
  <c r="G112" i="14"/>
  <c r="H112" i="14"/>
  <c r="D112" i="14"/>
  <c r="F112" i="14"/>
  <c r="E112" i="14"/>
  <c r="G181" i="14"/>
  <c r="AL181" i="14" s="1"/>
  <c r="W181" i="14"/>
  <c r="AN181" i="14"/>
  <c r="AF181" i="14"/>
  <c r="AT181" i="14"/>
  <c r="N181" i="14"/>
  <c r="D181" i="14"/>
  <c r="E181" i="14"/>
  <c r="U181" i="14" s="1"/>
  <c r="F181" i="14"/>
  <c r="AD181" i="14" s="1"/>
  <c r="H181" i="14"/>
  <c r="G191" i="14"/>
  <c r="AL191" i="14" s="1"/>
  <c r="AN191" i="14"/>
  <c r="W191" i="14"/>
  <c r="N191" i="14"/>
  <c r="AF191" i="14"/>
  <c r="F191" i="14"/>
  <c r="AD191" i="14" s="1"/>
  <c r="E191" i="14"/>
  <c r="U191" i="14" s="1"/>
  <c r="D191" i="14"/>
  <c r="H191" i="14"/>
  <c r="AT191" i="14" s="1"/>
  <c r="D125" i="14"/>
  <c r="H125" i="14"/>
  <c r="E125" i="14"/>
  <c r="G125" i="14"/>
  <c r="F125" i="14"/>
  <c r="B86" i="15"/>
  <c r="J86" i="15" s="1"/>
  <c r="B126" i="14"/>
  <c r="J126" i="14" s="1"/>
  <c r="B82" i="15"/>
  <c r="J82" i="15" s="1"/>
  <c r="B122" i="14"/>
  <c r="J122" i="14" s="1"/>
  <c r="E78" i="15"/>
  <c r="G78" i="15"/>
  <c r="D78" i="15"/>
  <c r="H78" i="15"/>
  <c r="F78" i="15"/>
  <c r="H212" i="14"/>
  <c r="AT212" i="14" s="1"/>
  <c r="AF212" i="14"/>
  <c r="AN212" i="14"/>
  <c r="W212" i="14"/>
  <c r="N212" i="14"/>
  <c r="F212" i="14"/>
  <c r="AD212" i="14" s="1"/>
  <c r="D212" i="14"/>
  <c r="E212" i="14"/>
  <c r="U212" i="14" s="1"/>
  <c r="G212" i="14"/>
  <c r="AL212" i="14" s="1"/>
  <c r="C72" i="15"/>
  <c r="N72" i="15" s="1"/>
  <c r="C112" i="14"/>
  <c r="AN112" i="14" s="1"/>
  <c r="D209" i="14"/>
  <c r="AN209" i="14"/>
  <c r="W209" i="14"/>
  <c r="AF209" i="14"/>
  <c r="N209" i="14"/>
  <c r="H209" i="14"/>
  <c r="AT209" i="14" s="1"/>
  <c r="G209" i="14"/>
  <c r="AL209" i="14" s="1"/>
  <c r="F209" i="14"/>
  <c r="AD209" i="14" s="1"/>
  <c r="E209" i="14"/>
  <c r="U209" i="14" s="1"/>
  <c r="D132" i="14"/>
  <c r="G132" i="14"/>
  <c r="E132" i="14"/>
  <c r="F132" i="14"/>
  <c r="H132" i="14"/>
  <c r="H72" i="15"/>
  <c r="E72" i="15"/>
  <c r="F72" i="15"/>
  <c r="D72" i="15"/>
  <c r="G72" i="15"/>
  <c r="G201" i="14"/>
  <c r="AL201" i="14" s="1"/>
  <c r="W201" i="14"/>
  <c r="AN201" i="14"/>
  <c r="AF201" i="14"/>
  <c r="N201" i="14"/>
  <c r="H201" i="14"/>
  <c r="AT201" i="14" s="1"/>
  <c r="F201" i="14"/>
  <c r="AD201" i="14" s="1"/>
  <c r="E201" i="14"/>
  <c r="U201" i="14" s="1"/>
  <c r="D201" i="14"/>
  <c r="E176" i="14"/>
  <c r="U176" i="14" s="1"/>
  <c r="N176" i="14"/>
  <c r="AF176" i="14"/>
  <c r="AN176" i="14"/>
  <c r="W176" i="14"/>
  <c r="F176" i="14"/>
  <c r="AD176" i="14" s="1"/>
  <c r="D176" i="14"/>
  <c r="H176" i="14"/>
  <c r="AT176" i="14" s="1"/>
  <c r="G176" i="14"/>
  <c r="AL176" i="14" s="1"/>
  <c r="G85" i="15"/>
  <c r="H85" i="15"/>
  <c r="D85" i="15"/>
  <c r="E85" i="15"/>
  <c r="F85" i="15"/>
  <c r="D142" i="14"/>
  <c r="AF142" i="14"/>
  <c r="AN142" i="14"/>
  <c r="W142" i="14"/>
  <c r="N142" i="14"/>
  <c r="E142" i="14"/>
  <c r="U142" i="14" s="1"/>
  <c r="G142" i="14"/>
  <c r="AL142" i="14" s="1"/>
  <c r="H142" i="14"/>
  <c r="AT142" i="14" s="1"/>
  <c r="F142" i="14"/>
  <c r="AD142" i="14" s="1"/>
  <c r="D220" i="14"/>
  <c r="W220" i="14"/>
  <c r="AN220" i="14"/>
  <c r="AF220" i="14"/>
  <c r="N220" i="14"/>
  <c r="G220" i="14"/>
  <c r="AL220" i="14" s="1"/>
  <c r="F220" i="14"/>
  <c r="AD220" i="14" s="1"/>
  <c r="E220" i="14"/>
  <c r="U220" i="14" s="1"/>
  <c r="H220" i="14"/>
  <c r="AT220" i="14" s="1"/>
  <c r="B78" i="15"/>
  <c r="J78" i="15" s="1"/>
  <c r="B118" i="14"/>
  <c r="J118" i="14" s="1"/>
  <c r="H113" i="14"/>
  <c r="E113" i="14"/>
  <c r="F113" i="14"/>
  <c r="D113" i="14"/>
  <c r="G113" i="14"/>
  <c r="D164" i="14"/>
  <c r="W164" i="14"/>
  <c r="AF164" i="14"/>
  <c r="AN164" i="14"/>
  <c r="N164" i="14"/>
  <c r="F164" i="14"/>
  <c r="AD164" i="14" s="1"/>
  <c r="G164" i="14"/>
  <c r="AL164" i="14" s="1"/>
  <c r="E164" i="14"/>
  <c r="U164" i="14" s="1"/>
  <c r="H164" i="14"/>
  <c r="AT164" i="14" s="1"/>
  <c r="D135" i="14"/>
  <c r="G135" i="14"/>
  <c r="E135" i="14"/>
  <c r="F135" i="14"/>
  <c r="H135" i="14"/>
  <c r="G249" i="14"/>
  <c r="AL249" i="14" s="1"/>
  <c r="AN249" i="14"/>
  <c r="W249" i="14"/>
  <c r="AF249" i="14"/>
  <c r="N249" i="14"/>
  <c r="E249" i="14"/>
  <c r="U249" i="14" s="1"/>
  <c r="H249" i="14"/>
  <c r="AT249" i="14" s="1"/>
  <c r="F249" i="14"/>
  <c r="AD249" i="14" s="1"/>
  <c r="D249" i="14"/>
  <c r="C90" i="15"/>
  <c r="AN90" i="15" s="1"/>
  <c r="C130" i="14"/>
  <c r="H92" i="15"/>
  <c r="G92" i="15"/>
  <c r="E92" i="15"/>
  <c r="D92" i="15"/>
  <c r="F92" i="15"/>
  <c r="D169" i="14"/>
  <c r="AD169" i="14"/>
  <c r="AN169" i="14"/>
  <c r="W169" i="14"/>
  <c r="AF169" i="14"/>
  <c r="N169" i="14"/>
  <c r="H169" i="14"/>
  <c r="AT169" i="14" s="1"/>
  <c r="G169" i="14"/>
  <c r="AL169" i="14" s="1"/>
  <c r="F169" i="14"/>
  <c r="E169" i="14"/>
  <c r="U169" i="14" s="1"/>
  <c r="AN258" i="14"/>
  <c r="N258" i="14"/>
  <c r="D258" i="14"/>
  <c r="E258" i="14"/>
  <c r="U258" i="14" s="1"/>
  <c r="F258" i="14"/>
  <c r="AD258" i="14" s="1"/>
  <c r="G258" i="14"/>
  <c r="AL258" i="14" s="1"/>
  <c r="H258" i="14"/>
  <c r="AT258" i="14" s="1"/>
  <c r="AF258" i="14"/>
  <c r="W258" i="14"/>
  <c r="D208" i="14"/>
  <c r="AN208" i="14"/>
  <c r="N208" i="14"/>
  <c r="H208" i="14"/>
  <c r="AT208" i="14" s="1"/>
  <c r="W208" i="14"/>
  <c r="AF208" i="14"/>
  <c r="G208" i="14"/>
  <c r="AL208" i="14" s="1"/>
  <c r="E208" i="14"/>
  <c r="U208" i="14" s="1"/>
  <c r="F208" i="14"/>
  <c r="AD208" i="14" s="1"/>
  <c r="B85" i="15"/>
  <c r="J85" i="15" s="1"/>
  <c r="B125" i="14"/>
  <c r="J125" i="14" s="1"/>
  <c r="D215" i="14"/>
  <c r="AF215" i="14"/>
  <c r="AN215" i="14"/>
  <c r="N215" i="14"/>
  <c r="W215" i="14"/>
  <c r="H215" i="14"/>
  <c r="AT215" i="14" s="1"/>
  <c r="G215" i="14"/>
  <c r="AL215" i="14" s="1"/>
  <c r="F215" i="14"/>
  <c r="AD215" i="14" s="1"/>
  <c r="E215" i="14"/>
  <c r="U215" i="14" s="1"/>
  <c r="E73" i="15"/>
  <c r="F73" i="15"/>
  <c r="H73" i="15"/>
  <c r="G73" i="15"/>
  <c r="D73" i="15"/>
  <c r="E95" i="15"/>
  <c r="D95" i="15"/>
  <c r="H95" i="15"/>
  <c r="F95" i="15"/>
  <c r="G95" i="15"/>
  <c r="D130" i="14"/>
  <c r="AF130" i="14"/>
  <c r="G130" i="14"/>
  <c r="H130" i="14"/>
  <c r="E130" i="14"/>
  <c r="F130" i="14"/>
  <c r="G226" i="14"/>
  <c r="AL226" i="14" s="1"/>
  <c r="W226" i="14"/>
  <c r="AF226" i="14"/>
  <c r="N226" i="14"/>
  <c r="AN226" i="14"/>
  <c r="D226" i="14"/>
  <c r="E226" i="14"/>
  <c r="U226" i="14" s="1"/>
  <c r="H226" i="14"/>
  <c r="AT226" i="14" s="1"/>
  <c r="F226" i="14"/>
  <c r="AD226" i="14" s="1"/>
  <c r="B92" i="15"/>
  <c r="J92" i="15" s="1"/>
  <c r="B132" i="14"/>
  <c r="J132" i="14" s="1"/>
  <c r="F119" i="14"/>
  <c r="G119" i="14"/>
  <c r="H119" i="14"/>
  <c r="D119" i="14"/>
  <c r="E119" i="14"/>
  <c r="D253" i="14"/>
  <c r="AF253" i="14"/>
  <c r="AN253" i="14"/>
  <c r="AT253" i="14"/>
  <c r="N253" i="14"/>
  <c r="W253" i="14"/>
  <c r="H253" i="14"/>
  <c r="F253" i="14"/>
  <c r="AD253" i="14" s="1"/>
  <c r="E253" i="14"/>
  <c r="U253" i="14" s="1"/>
  <c r="G253" i="14"/>
  <c r="AL253" i="14" s="1"/>
  <c r="D162" i="14"/>
  <c r="AF162" i="14"/>
  <c r="AN162" i="14"/>
  <c r="N162" i="14"/>
  <c r="W162" i="14"/>
  <c r="G162" i="14"/>
  <c r="AL162" i="14" s="1"/>
  <c r="H162" i="14"/>
  <c r="AT162" i="14" s="1"/>
  <c r="F162" i="14"/>
  <c r="AD162" i="14" s="1"/>
  <c r="E162" i="14"/>
  <c r="U162" i="14" s="1"/>
  <c r="E240" i="14"/>
  <c r="U240" i="14" s="1"/>
  <c r="W240" i="14"/>
  <c r="AN240" i="14"/>
  <c r="AF240" i="14"/>
  <c r="G240" i="14"/>
  <c r="AL240" i="14" s="1"/>
  <c r="F240" i="14"/>
  <c r="AD240" i="14" s="1"/>
  <c r="N240" i="14"/>
  <c r="D240" i="14"/>
  <c r="H240" i="14"/>
  <c r="AT240" i="14" s="1"/>
  <c r="F138" i="14"/>
  <c r="G138" i="14"/>
  <c r="E138" i="14"/>
  <c r="D138" i="14"/>
  <c r="H138" i="14"/>
  <c r="D210" i="14"/>
  <c r="AN210" i="14"/>
  <c r="W210" i="14"/>
  <c r="AF210" i="14"/>
  <c r="N210" i="14"/>
  <c r="H210" i="14"/>
  <c r="AT210" i="14" s="1"/>
  <c r="E210" i="14"/>
  <c r="U210" i="14" s="1"/>
  <c r="G210" i="14"/>
  <c r="AL210" i="14" s="1"/>
  <c r="F210" i="14"/>
  <c r="AD210" i="14" s="1"/>
  <c r="E140" i="14"/>
  <c r="F140" i="14"/>
  <c r="D140" i="14"/>
  <c r="G140" i="14"/>
  <c r="H140" i="14"/>
  <c r="B95" i="15"/>
  <c r="J95" i="15" s="1"/>
  <c r="B135" i="14"/>
  <c r="J135" i="14" s="1"/>
  <c r="E90" i="15"/>
  <c r="G90" i="15"/>
  <c r="D90" i="15"/>
  <c r="F90" i="15"/>
  <c r="AD90" i="15" s="1"/>
  <c r="H90" i="15"/>
  <c r="D147" i="14"/>
  <c r="AN147" i="14"/>
  <c r="W147" i="14"/>
  <c r="N147" i="14"/>
  <c r="AF147" i="14"/>
  <c r="E147" i="14"/>
  <c r="U147" i="14" s="1"/>
  <c r="H147" i="14"/>
  <c r="AT147" i="14" s="1"/>
  <c r="G147" i="14"/>
  <c r="AL147" i="14" s="1"/>
  <c r="F147" i="14"/>
  <c r="AD147" i="14" s="1"/>
  <c r="C76" i="15"/>
  <c r="C116" i="14"/>
  <c r="C86" i="15"/>
  <c r="N86" i="15" s="1"/>
  <c r="C126" i="14"/>
  <c r="C78" i="15"/>
  <c r="AL78" i="15" s="1"/>
  <c r="C118" i="14"/>
  <c r="W118" i="14" s="1"/>
  <c r="D189" i="14"/>
  <c r="AN189" i="14"/>
  <c r="W189" i="14"/>
  <c r="AF189" i="14"/>
  <c r="N189" i="14"/>
  <c r="H189" i="14"/>
  <c r="AT189" i="14" s="1"/>
  <c r="G189" i="14"/>
  <c r="AL189" i="14" s="1"/>
  <c r="F189" i="14"/>
  <c r="AD189" i="14" s="1"/>
  <c r="E189" i="14"/>
  <c r="U189" i="14" s="1"/>
  <c r="F143" i="14"/>
  <c r="AD143" i="14" s="1"/>
  <c r="W143" i="14"/>
  <c r="AF143" i="14"/>
  <c r="AN143" i="14"/>
  <c r="N143" i="14"/>
  <c r="D143" i="14"/>
  <c r="E143" i="14"/>
  <c r="U143" i="14" s="1"/>
  <c r="G143" i="14"/>
  <c r="AL143" i="14" s="1"/>
  <c r="H143" i="14"/>
  <c r="AT143" i="14" s="1"/>
  <c r="H79" i="15"/>
  <c r="G79" i="15"/>
  <c r="F79" i="15"/>
  <c r="D79" i="15"/>
  <c r="E79" i="15"/>
  <c r="G196" i="14"/>
  <c r="AL196" i="14" s="1"/>
  <c r="N196" i="14"/>
  <c r="AF196" i="14"/>
  <c r="W196" i="14"/>
  <c r="AN196" i="14"/>
  <c r="E196" i="14"/>
  <c r="U196" i="14" s="1"/>
  <c r="H196" i="14"/>
  <c r="AT196" i="14" s="1"/>
  <c r="F196" i="14"/>
  <c r="AD196" i="14" s="1"/>
  <c r="D196" i="14"/>
  <c r="E145" i="14"/>
  <c r="U145" i="14" s="1"/>
  <c r="AN145" i="14"/>
  <c r="W145" i="14"/>
  <c r="AF145" i="14"/>
  <c r="N145" i="14"/>
  <c r="F145" i="14"/>
  <c r="AD145" i="14" s="1"/>
  <c r="H145" i="14"/>
  <c r="AT145" i="14" s="1"/>
  <c r="D145" i="14"/>
  <c r="G145" i="14"/>
  <c r="AL145" i="14" s="1"/>
  <c r="D98" i="15"/>
  <c r="E98" i="15"/>
  <c r="G98" i="15"/>
  <c r="F98" i="15"/>
  <c r="H98" i="15"/>
  <c r="G133" i="14"/>
  <c r="H133" i="14"/>
  <c r="F133" i="14"/>
  <c r="E133" i="14"/>
  <c r="D133" i="14"/>
  <c r="F100" i="15"/>
  <c r="G100" i="15"/>
  <c r="D100" i="15"/>
  <c r="E100" i="15"/>
  <c r="H100" i="15"/>
  <c r="H232" i="14"/>
  <c r="AT232" i="14" s="1"/>
  <c r="AN232" i="14"/>
  <c r="W232" i="14"/>
  <c r="AF232" i="14"/>
  <c r="F232" i="14"/>
  <c r="AD232" i="14" s="1"/>
  <c r="N232" i="14"/>
  <c r="G232" i="14"/>
  <c r="AL232" i="14" s="1"/>
  <c r="E232" i="14"/>
  <c r="U232" i="14" s="1"/>
  <c r="D232" i="14"/>
  <c r="B90" i="15"/>
  <c r="J90" i="15" s="1"/>
  <c r="B130" i="14"/>
  <c r="J130" i="14" s="1"/>
  <c r="E183" i="14"/>
  <c r="U183" i="14" s="1"/>
  <c r="N183" i="14"/>
  <c r="AF183" i="14"/>
  <c r="AN183" i="14"/>
  <c r="W183" i="14"/>
  <c r="G183" i="14"/>
  <c r="AL183" i="14" s="1"/>
  <c r="F183" i="14"/>
  <c r="AD183" i="14" s="1"/>
  <c r="D183" i="14"/>
  <c r="H183" i="14"/>
  <c r="AT183" i="14" s="1"/>
  <c r="B79" i="15"/>
  <c r="J79" i="15" s="1"/>
  <c r="B119" i="14"/>
  <c r="J119" i="14" s="1"/>
  <c r="G211" i="14"/>
  <c r="AN211" i="14"/>
  <c r="AL211" i="14"/>
  <c r="W211" i="14"/>
  <c r="AF211" i="14"/>
  <c r="N211" i="14"/>
  <c r="D211" i="14"/>
  <c r="F211" i="14"/>
  <c r="AD211" i="14" s="1"/>
  <c r="E211" i="14"/>
  <c r="U211" i="14" s="1"/>
  <c r="H211" i="14"/>
  <c r="AT211" i="14" s="1"/>
  <c r="H260" i="14"/>
  <c r="AT260" i="14" s="1"/>
  <c r="W260" i="14"/>
  <c r="AN260" i="14"/>
  <c r="AF260" i="14"/>
  <c r="U260" i="14"/>
  <c r="N260" i="14"/>
  <c r="D260" i="14"/>
  <c r="E260" i="14"/>
  <c r="F260" i="14"/>
  <c r="AD260" i="14"/>
  <c r="G260" i="14"/>
  <c r="AL260" i="14" s="1"/>
  <c r="D158" i="14"/>
  <c r="W158" i="14"/>
  <c r="AN158" i="14"/>
  <c r="AF158" i="14"/>
  <c r="N158" i="14"/>
  <c r="G158" i="14"/>
  <c r="AL158" i="14" s="1"/>
  <c r="F158" i="14"/>
  <c r="AD158" i="14" s="1"/>
  <c r="E158" i="14"/>
  <c r="U158" i="14" s="1"/>
  <c r="H158" i="14"/>
  <c r="AT158" i="14" s="1"/>
  <c r="B98" i="15"/>
  <c r="J98" i="15" s="1"/>
  <c r="B138" i="14"/>
  <c r="J138" i="14" s="1"/>
  <c r="E93" i="15"/>
  <c r="H93" i="15"/>
  <c r="D93" i="15"/>
  <c r="F93" i="15"/>
  <c r="G93" i="15"/>
  <c r="D247" i="14"/>
  <c r="AN247" i="14"/>
  <c r="W247" i="14"/>
  <c r="N247" i="14"/>
  <c r="U247" i="14"/>
  <c r="AF247" i="14"/>
  <c r="G247" i="14"/>
  <c r="AL247" i="14" s="1"/>
  <c r="H247" i="14"/>
  <c r="AT247" i="14" s="1"/>
  <c r="F247" i="14"/>
  <c r="AD247" i="14" s="1"/>
  <c r="E247" i="14"/>
  <c r="B100" i="15"/>
  <c r="J100" i="15" s="1"/>
  <c r="B140" i="14"/>
  <c r="J140" i="14" s="1"/>
  <c r="W167" i="14"/>
  <c r="N167" i="14"/>
  <c r="H167" i="14"/>
  <c r="AT167" i="14" s="1"/>
  <c r="G167" i="14"/>
  <c r="AL167" i="14" s="1"/>
  <c r="F167" i="14"/>
  <c r="AD167" i="14" s="1"/>
  <c r="E167" i="14"/>
  <c r="U167" i="14" s="1"/>
  <c r="D167" i="14"/>
  <c r="AN167" i="14"/>
  <c r="AF167" i="14"/>
  <c r="D219" i="14"/>
  <c r="W219" i="14"/>
  <c r="N219" i="14"/>
  <c r="AN219" i="14"/>
  <c r="AF219" i="14"/>
  <c r="H219" i="14"/>
  <c r="AT219" i="14" s="1"/>
  <c r="G219" i="14"/>
  <c r="AL219" i="14" s="1"/>
  <c r="E219" i="14"/>
  <c r="U219" i="14" s="1"/>
  <c r="F219" i="14"/>
  <c r="AD219" i="14" s="1"/>
  <c r="C114" i="14"/>
  <c r="AN114" i="14" s="1"/>
  <c r="C74" i="15"/>
  <c r="N74" i="15" s="1"/>
  <c r="C75" i="15"/>
  <c r="AN75" i="15" s="1"/>
  <c r="C115" i="14"/>
  <c r="N115" i="14" s="1"/>
  <c r="C93" i="15"/>
  <c r="C133" i="14"/>
  <c r="AF133" i="14" s="1"/>
  <c r="C100" i="15"/>
  <c r="W100" i="15" s="1"/>
  <c r="C140" i="14"/>
  <c r="H246" i="14"/>
  <c r="AT246" i="14" s="1"/>
  <c r="W246" i="14"/>
  <c r="AF246" i="14"/>
  <c r="N246" i="14"/>
  <c r="AN246" i="14"/>
  <c r="D246" i="14"/>
  <c r="F246" i="14"/>
  <c r="AD246" i="14" s="1"/>
  <c r="E246" i="14"/>
  <c r="U246" i="14" s="1"/>
  <c r="G246" i="14"/>
  <c r="AL246" i="14" s="1"/>
  <c r="G221" i="14"/>
  <c r="AL221" i="14" s="1"/>
  <c r="W221" i="14"/>
  <c r="AN221" i="14"/>
  <c r="AF221" i="14"/>
  <c r="N221" i="14"/>
  <c r="F221" i="14"/>
  <c r="AD221" i="14" s="1"/>
  <c r="D221" i="14"/>
  <c r="E221" i="14"/>
  <c r="U221" i="14" s="1"/>
  <c r="H221" i="14"/>
  <c r="AT221" i="14" s="1"/>
  <c r="G216" i="14"/>
  <c r="AL216" i="14" s="1"/>
  <c r="N216" i="14"/>
  <c r="AF216" i="14"/>
  <c r="AN216" i="14"/>
  <c r="W216" i="14"/>
  <c r="F216" i="14"/>
  <c r="AD216" i="14" s="1"/>
  <c r="D216" i="14"/>
  <c r="E216" i="14"/>
  <c r="U216" i="14" s="1"/>
  <c r="H216" i="14"/>
  <c r="AT216" i="14" s="1"/>
  <c r="D114" i="14"/>
  <c r="H114" i="14"/>
  <c r="G114" i="14"/>
  <c r="F114" i="14"/>
  <c r="E114" i="14"/>
  <c r="E121" i="14"/>
  <c r="H121" i="14"/>
  <c r="G121" i="14"/>
  <c r="D121" i="14"/>
  <c r="F121" i="14"/>
  <c r="D235" i="14"/>
  <c r="AF235" i="14"/>
  <c r="AN235" i="14"/>
  <c r="E235" i="14"/>
  <c r="U235" i="14" s="1"/>
  <c r="W235" i="14"/>
  <c r="N235" i="14"/>
  <c r="H235" i="14"/>
  <c r="AT235" i="14" s="1"/>
  <c r="G235" i="14"/>
  <c r="AL235" i="14" s="1"/>
  <c r="F235" i="14"/>
  <c r="AD235" i="14" s="1"/>
  <c r="B93" i="15"/>
  <c r="J93" i="15" s="1"/>
  <c r="B133" i="14"/>
  <c r="J133" i="14" s="1"/>
  <c r="D237" i="14"/>
  <c r="AN237" i="14"/>
  <c r="N237" i="14"/>
  <c r="AF237" i="14"/>
  <c r="W237" i="14"/>
  <c r="F237" i="14"/>
  <c r="AD237" i="14" s="1"/>
  <c r="E237" i="14"/>
  <c r="U237" i="14" s="1"/>
  <c r="H237" i="14"/>
  <c r="AT237" i="14" s="1"/>
  <c r="G237" i="14"/>
  <c r="AL237" i="14" s="1"/>
  <c r="E150" i="14"/>
  <c r="U150" i="14" s="1"/>
  <c r="AF150" i="14"/>
  <c r="AN150" i="14"/>
  <c r="W150" i="14"/>
  <c r="N150" i="14"/>
  <c r="H150" i="14"/>
  <c r="AT150" i="14" s="1"/>
  <c r="F150" i="14"/>
  <c r="AD150" i="14" s="1"/>
  <c r="G150" i="14"/>
  <c r="AL150" i="14" s="1"/>
  <c r="D150" i="14"/>
  <c r="C81" i="15"/>
  <c r="AN81" i="15" s="1"/>
  <c r="C121" i="14"/>
  <c r="C87" i="15"/>
  <c r="N87" i="15" s="1"/>
  <c r="C127" i="14"/>
  <c r="AN127" i="14" s="1"/>
  <c r="F245" i="14"/>
  <c r="AD245" i="14" s="1"/>
  <c r="W245" i="14"/>
  <c r="AF245" i="14"/>
  <c r="AN245" i="14"/>
  <c r="D245" i="14"/>
  <c r="E245" i="14"/>
  <c r="U245" i="14" s="1"/>
  <c r="N245" i="14"/>
  <c r="H245" i="14"/>
  <c r="AT245" i="14" s="1"/>
  <c r="G245" i="14"/>
  <c r="AL245" i="14" s="1"/>
  <c r="H74" i="15"/>
  <c r="F74" i="15"/>
  <c r="E74" i="15"/>
  <c r="D74" i="15"/>
  <c r="G74" i="15"/>
  <c r="D228" i="14"/>
  <c r="AN228" i="14"/>
  <c r="AF228" i="14"/>
  <c r="W228" i="14"/>
  <c r="N228" i="14"/>
  <c r="F228" i="14"/>
  <c r="AD228" i="14" s="1"/>
  <c r="E228" i="14"/>
  <c r="U228" i="14" s="1"/>
  <c r="G228" i="14"/>
  <c r="AL228" i="14" s="1"/>
  <c r="H228" i="14"/>
  <c r="AT228" i="14" s="1"/>
  <c r="H81" i="15"/>
  <c r="F81" i="15"/>
  <c r="G81" i="15"/>
  <c r="E81" i="15"/>
  <c r="D81" i="15"/>
  <c r="D178" i="14"/>
  <c r="AN178" i="14"/>
  <c r="N178" i="14"/>
  <c r="W178" i="14"/>
  <c r="AF178" i="14"/>
  <c r="F178" i="14"/>
  <c r="AD178" i="14" s="1"/>
  <c r="E178" i="14"/>
  <c r="U178" i="14" s="1"/>
  <c r="H178" i="14"/>
  <c r="AT178" i="14" s="1"/>
  <c r="G178" i="14"/>
  <c r="AL178" i="14" s="1"/>
  <c r="AF255" i="14"/>
  <c r="AN255" i="14"/>
  <c r="E255" i="14"/>
  <c r="U255" i="14" s="1"/>
  <c r="F255" i="14"/>
  <c r="AD255" i="14" s="1"/>
  <c r="G255" i="14"/>
  <c r="AL255" i="14" s="1"/>
  <c r="H255" i="14"/>
  <c r="AT255" i="14" s="1"/>
  <c r="D255" i="14"/>
  <c r="N255" i="14"/>
  <c r="W255" i="14"/>
  <c r="D230" i="14"/>
  <c r="AN230" i="14"/>
  <c r="W230" i="14"/>
  <c r="AF230" i="14"/>
  <c r="N230" i="14"/>
  <c r="F230" i="14"/>
  <c r="AD230" i="14" s="1"/>
  <c r="H230" i="14"/>
  <c r="AT230" i="14" s="1"/>
  <c r="E230" i="14"/>
  <c r="U230" i="14" s="1"/>
  <c r="G230" i="14"/>
  <c r="AL230" i="14" s="1"/>
  <c r="D144" i="14"/>
  <c r="W144" i="14"/>
  <c r="AF144" i="14"/>
  <c r="AN144" i="14"/>
  <c r="N144" i="14"/>
  <c r="E144" i="14"/>
  <c r="U144" i="14" s="1"/>
  <c r="F144" i="14"/>
  <c r="AD144" i="14" s="1"/>
  <c r="H144" i="14"/>
  <c r="AT144" i="14" s="1"/>
  <c r="G144" i="14"/>
  <c r="AL144" i="14" s="1"/>
  <c r="D243" i="14"/>
  <c r="N243" i="14"/>
  <c r="AF243" i="14"/>
  <c r="AN243" i="14"/>
  <c r="W243" i="14"/>
  <c r="H243" i="14"/>
  <c r="AT243" i="14" s="1"/>
  <c r="G243" i="14"/>
  <c r="AL243" i="14" s="1"/>
  <c r="F243" i="14"/>
  <c r="AD243" i="14" s="1"/>
  <c r="E243" i="14"/>
  <c r="U243" i="14" s="1"/>
  <c r="D157" i="14"/>
  <c r="W157" i="14"/>
  <c r="N157" i="14"/>
  <c r="AN157" i="14"/>
  <c r="AF157" i="14"/>
  <c r="H157" i="14"/>
  <c r="AT157" i="14" s="1"/>
  <c r="G157" i="14"/>
  <c r="AL157" i="14" s="1"/>
  <c r="F157" i="14"/>
  <c r="AD157" i="14" s="1"/>
  <c r="E157" i="14"/>
  <c r="U157" i="14" s="1"/>
  <c r="H163" i="14"/>
  <c r="AL163" i="14"/>
  <c r="W163" i="14"/>
  <c r="AF163" i="14"/>
  <c r="AN163" i="14"/>
  <c r="AT163" i="14"/>
  <c r="N163" i="14"/>
  <c r="G163" i="14"/>
  <c r="F163" i="14"/>
  <c r="AD163" i="14" s="1"/>
  <c r="D163" i="14"/>
  <c r="E163" i="14"/>
  <c r="U163" i="14" s="1"/>
  <c r="D139" i="14"/>
  <c r="F139" i="14"/>
  <c r="E139" i="14"/>
  <c r="H139" i="14"/>
  <c r="G139" i="14"/>
  <c r="D134" i="14"/>
  <c r="E134" i="14"/>
  <c r="H134" i="14"/>
  <c r="F134" i="14"/>
  <c r="G134" i="14"/>
  <c r="B74" i="15"/>
  <c r="J74" i="15" s="1"/>
  <c r="B114" i="14"/>
  <c r="J114" i="14" s="1"/>
  <c r="B121" i="14"/>
  <c r="J121" i="14" s="1"/>
  <c r="B81" i="15"/>
  <c r="J81" i="15" s="1"/>
  <c r="F153" i="14"/>
  <c r="AD153" i="14" s="1"/>
  <c r="AF153" i="14"/>
  <c r="AN153" i="14"/>
  <c r="W153" i="14"/>
  <c r="N153" i="14"/>
  <c r="E153" i="14"/>
  <c r="U153" i="14" s="1"/>
  <c r="G153" i="14"/>
  <c r="AL153" i="14" s="1"/>
  <c r="D153" i="14"/>
  <c r="H153" i="14"/>
  <c r="AT153" i="14" s="1"/>
  <c r="D155" i="14"/>
  <c r="AN155" i="14"/>
  <c r="N155" i="14"/>
  <c r="AF155" i="14"/>
  <c r="W155" i="14"/>
  <c r="H155" i="14"/>
  <c r="AT155" i="14" s="1"/>
  <c r="G155" i="14"/>
  <c r="AL155" i="14" s="1"/>
  <c r="F155" i="14"/>
  <c r="AD155" i="14" s="1"/>
  <c r="E155" i="14"/>
  <c r="U155" i="14" s="1"/>
  <c r="H187" i="14"/>
  <c r="AT187" i="14" s="1"/>
  <c r="AN187" i="14"/>
  <c r="AD187" i="14"/>
  <c r="W187" i="14"/>
  <c r="N187" i="14"/>
  <c r="AF187" i="14"/>
  <c r="E187" i="14"/>
  <c r="U187" i="14" s="1"/>
  <c r="D187" i="14"/>
  <c r="G187" i="14"/>
  <c r="AL187" i="14" s="1"/>
  <c r="F187" i="14"/>
  <c r="C99" i="15"/>
  <c r="C139" i="14"/>
  <c r="C96" i="15"/>
  <c r="AN96" i="15" s="1"/>
  <c r="C136" i="14"/>
  <c r="N136" i="14" s="1"/>
  <c r="E123" i="14"/>
  <c r="F123" i="14"/>
  <c r="H123" i="14"/>
  <c r="G123" i="14"/>
  <c r="D123" i="14"/>
  <c r="H99" i="15"/>
  <c r="D99" i="15"/>
  <c r="F99" i="15"/>
  <c r="G99" i="15"/>
  <c r="E99" i="15"/>
  <c r="H94" i="15"/>
  <c r="G94" i="15"/>
  <c r="F94" i="15"/>
  <c r="E94" i="15"/>
  <c r="D94" i="15"/>
  <c r="G231" i="14"/>
  <c r="AL231" i="14" s="1"/>
  <c r="AN231" i="14"/>
  <c r="W231" i="14"/>
  <c r="AF231" i="14"/>
  <c r="N231" i="14"/>
  <c r="F231" i="14"/>
  <c r="AD231" i="14" s="1"/>
  <c r="E231" i="14"/>
  <c r="U231" i="14" s="1"/>
  <c r="H231" i="14"/>
  <c r="AT231" i="14" s="1"/>
  <c r="D231" i="14"/>
  <c r="AN165" i="14"/>
  <c r="W165" i="14"/>
  <c r="G165" i="14"/>
  <c r="AL165" i="14" s="1"/>
  <c r="F165" i="14"/>
  <c r="AD165" i="14" s="1"/>
  <c r="N165" i="14"/>
  <c r="D165" i="14"/>
  <c r="H165" i="14"/>
  <c r="AT165" i="14" s="1"/>
  <c r="AF165" i="14"/>
  <c r="E165" i="14"/>
  <c r="U165" i="14" s="1"/>
  <c r="E198" i="14"/>
  <c r="U198" i="14" s="1"/>
  <c r="AN198" i="14"/>
  <c r="N198" i="14"/>
  <c r="W198" i="14"/>
  <c r="AF198" i="14"/>
  <c r="D198" i="14"/>
  <c r="G198" i="14"/>
  <c r="AL198" i="14" s="1"/>
  <c r="F198" i="14"/>
  <c r="AD198" i="14" s="1"/>
  <c r="H198" i="14"/>
  <c r="AT198" i="14" s="1"/>
  <c r="E116" i="14"/>
  <c r="D116" i="14"/>
  <c r="H116" i="14"/>
  <c r="G116" i="14"/>
  <c r="F116" i="14"/>
  <c r="D173" i="14"/>
  <c r="AF173" i="14"/>
  <c r="AN173" i="14"/>
  <c r="E173" i="14"/>
  <c r="U173" i="14" s="1"/>
  <c r="N173" i="14"/>
  <c r="W173" i="14"/>
  <c r="F173" i="14"/>
  <c r="AD173" i="14" s="1"/>
  <c r="H173" i="14"/>
  <c r="AT173" i="14" s="1"/>
  <c r="G173" i="14"/>
  <c r="AL173" i="14" s="1"/>
  <c r="G206" i="14"/>
  <c r="AL206" i="14" s="1"/>
  <c r="W206" i="14"/>
  <c r="AF206" i="14"/>
  <c r="AN206" i="14"/>
  <c r="N206" i="14"/>
  <c r="E206" i="14"/>
  <c r="U206" i="14" s="1"/>
  <c r="D206" i="14"/>
  <c r="F206" i="14"/>
  <c r="AD206" i="14" s="1"/>
  <c r="H206" i="14"/>
  <c r="AT206" i="14" s="1"/>
  <c r="D160" i="14"/>
  <c r="W160" i="14"/>
  <c r="N160" i="14"/>
  <c r="AF160" i="14"/>
  <c r="AN160" i="14"/>
  <c r="G160" i="14"/>
  <c r="AL160" i="14" s="1"/>
  <c r="F160" i="14"/>
  <c r="AD160" i="14" s="1"/>
  <c r="E160" i="14"/>
  <c r="U160" i="14" s="1"/>
  <c r="H160" i="14"/>
  <c r="AT160" i="14" s="1"/>
  <c r="D223" i="14"/>
  <c r="N223" i="14"/>
  <c r="AF223" i="14"/>
  <c r="AN223" i="14"/>
  <c r="U223" i="14"/>
  <c r="W223" i="14"/>
  <c r="G223" i="14"/>
  <c r="AL223" i="14" s="1"/>
  <c r="H223" i="14"/>
  <c r="AT223" i="14" s="1"/>
  <c r="E223" i="14"/>
  <c r="F223" i="14"/>
  <c r="AD223" i="14" s="1"/>
  <c r="E234" i="14"/>
  <c r="U234" i="14" s="1"/>
  <c r="AF234" i="14"/>
  <c r="AN234" i="14"/>
  <c r="W234" i="14"/>
  <c r="N234" i="14"/>
  <c r="D234" i="14"/>
  <c r="G234" i="14"/>
  <c r="AL234" i="14" s="1"/>
  <c r="H234" i="14"/>
  <c r="AT234" i="14" s="1"/>
  <c r="F234" i="14"/>
  <c r="AD234" i="14" s="1"/>
  <c r="B64" i="4"/>
  <c r="B72" i="15"/>
  <c r="B112" i="14"/>
  <c r="D83" i="15"/>
  <c r="H83" i="15"/>
  <c r="F83" i="15"/>
  <c r="E83" i="15"/>
  <c r="G83" i="15"/>
  <c r="D225" i="14"/>
  <c r="W225" i="14"/>
  <c r="AF225" i="14"/>
  <c r="AN225" i="14"/>
  <c r="G225" i="14"/>
  <c r="AL225" i="14" s="1"/>
  <c r="N225" i="14"/>
  <c r="H225" i="14"/>
  <c r="AT225" i="14" s="1"/>
  <c r="F225" i="14"/>
  <c r="AD225" i="14" s="1"/>
  <c r="E225" i="14"/>
  <c r="U225" i="14" s="1"/>
  <c r="B99" i="15"/>
  <c r="J99" i="15" s="1"/>
  <c r="B139" i="14"/>
  <c r="J139" i="14" s="1"/>
  <c r="B94" i="15"/>
  <c r="J94" i="15" s="1"/>
  <c r="B134" i="14"/>
  <c r="J134" i="14" s="1"/>
  <c r="H76" i="15"/>
  <c r="G76" i="15"/>
  <c r="D76" i="15"/>
  <c r="E76" i="15"/>
  <c r="F76" i="15"/>
  <c r="D250" i="14"/>
  <c r="AN250" i="14"/>
  <c r="W250" i="14"/>
  <c r="N250" i="14"/>
  <c r="AF250" i="14"/>
  <c r="H250" i="14"/>
  <c r="AT250" i="14" s="1"/>
  <c r="G250" i="14"/>
  <c r="AL250" i="14" s="1"/>
  <c r="F250" i="14"/>
  <c r="AD250" i="14" s="1"/>
  <c r="E250" i="14"/>
  <c r="U250" i="14" s="1"/>
  <c r="H252" i="14"/>
  <c r="AT252" i="14" s="1"/>
  <c r="AN252" i="14"/>
  <c r="W252" i="14"/>
  <c r="N252" i="14"/>
  <c r="AF252" i="14"/>
  <c r="F252" i="14"/>
  <c r="AD252" i="14" s="1"/>
  <c r="D252" i="14"/>
  <c r="E252" i="14"/>
  <c r="U252" i="14" s="1"/>
  <c r="G252" i="14"/>
  <c r="AL252" i="14" s="1"/>
  <c r="D124" i="14"/>
  <c r="E124" i="14"/>
  <c r="G124" i="14"/>
  <c r="H124" i="14"/>
  <c r="F124" i="14"/>
  <c r="C101" i="15"/>
  <c r="AF101" i="15" s="1"/>
  <c r="C141" i="14"/>
  <c r="W141" i="14" s="1"/>
  <c r="B65" i="4"/>
  <c r="J65" i="4" s="1"/>
  <c r="B73" i="15"/>
  <c r="J73" i="15" s="1"/>
  <c r="B113" i="14"/>
  <c r="J113" i="14" s="1"/>
  <c r="B83" i="15"/>
  <c r="J83" i="15" s="1"/>
  <c r="B123" i="14"/>
  <c r="J123" i="14" s="1"/>
  <c r="E236" i="14"/>
  <c r="U236" i="14" s="1"/>
  <c r="N236" i="14"/>
  <c r="AF236" i="14"/>
  <c r="W236" i="14"/>
  <c r="AN236" i="14"/>
  <c r="H236" i="14"/>
  <c r="AT236" i="14" s="1"/>
  <c r="G236" i="14"/>
  <c r="AL236" i="14" s="1"/>
  <c r="F236" i="14"/>
  <c r="AD236" i="14" s="1"/>
  <c r="D236" i="14"/>
  <c r="D251" i="14"/>
  <c r="AN251" i="14"/>
  <c r="W251" i="14"/>
  <c r="N251" i="14"/>
  <c r="AF251" i="14"/>
  <c r="H251" i="14"/>
  <c r="AT251" i="14" s="1"/>
  <c r="G251" i="14"/>
  <c r="AL251" i="14" s="1"/>
  <c r="F251" i="14"/>
  <c r="AD251" i="14" s="1"/>
  <c r="E251" i="14"/>
  <c r="U251" i="14" s="1"/>
  <c r="D248" i="14"/>
  <c r="AN248" i="14"/>
  <c r="N248" i="14"/>
  <c r="AF248" i="14"/>
  <c r="W248" i="14"/>
  <c r="G248" i="14"/>
  <c r="AL248" i="14" s="1"/>
  <c r="F248" i="14"/>
  <c r="AD248" i="14" s="1"/>
  <c r="E248" i="14"/>
  <c r="U248" i="14" s="1"/>
  <c r="H248" i="14"/>
  <c r="AT248" i="14" s="1"/>
  <c r="D141" i="14"/>
  <c r="F141" i="14"/>
  <c r="H141" i="14"/>
  <c r="G141" i="14"/>
  <c r="E141" i="14"/>
  <c r="E136" i="14"/>
  <c r="U136" i="14" s="1"/>
  <c r="W136" i="14"/>
  <c r="AF136" i="14"/>
  <c r="G136" i="14"/>
  <c r="AL136" i="14" s="1"/>
  <c r="H136" i="14"/>
  <c r="AT136" i="14" s="1"/>
  <c r="D136" i="14"/>
  <c r="F136" i="14"/>
  <c r="B76" i="15"/>
  <c r="J76" i="15" s="1"/>
  <c r="B116" i="14"/>
  <c r="J116" i="14" s="1"/>
  <c r="E131" i="14"/>
  <c r="G131" i="14"/>
  <c r="D131" i="14"/>
  <c r="H131" i="14"/>
  <c r="F131" i="14"/>
  <c r="D204" i="14"/>
  <c r="AF204" i="14"/>
  <c r="AN204" i="14"/>
  <c r="N204" i="14"/>
  <c r="W204" i="14"/>
  <c r="H204" i="14"/>
  <c r="AT204" i="14" s="1"/>
  <c r="G204" i="14"/>
  <c r="AL204" i="14" s="1"/>
  <c r="F204" i="14"/>
  <c r="AD204" i="14" s="1"/>
  <c r="E204" i="14"/>
  <c r="U204" i="14" s="1"/>
  <c r="D257" i="14"/>
  <c r="AN257" i="14"/>
  <c r="N257" i="14"/>
  <c r="AF257" i="14"/>
  <c r="W257" i="14"/>
  <c r="H257" i="14"/>
  <c r="AT257" i="14" s="1"/>
  <c r="G257" i="14"/>
  <c r="AL257" i="14" s="1"/>
  <c r="F257" i="14"/>
  <c r="AD257" i="14" s="1"/>
  <c r="E257" i="14"/>
  <c r="U257" i="14" s="1"/>
  <c r="G84" i="15"/>
  <c r="E84" i="15"/>
  <c r="D84" i="15"/>
  <c r="F84" i="15"/>
  <c r="H84" i="15"/>
  <c r="E182" i="14"/>
  <c r="U182" i="14" s="1"/>
  <c r="W182" i="14"/>
  <c r="N182" i="14"/>
  <c r="AF182" i="14"/>
  <c r="AN182" i="14"/>
  <c r="H182" i="14"/>
  <c r="AT182" i="14" s="1"/>
  <c r="F182" i="14"/>
  <c r="AD182" i="14" s="1"/>
  <c r="D182" i="14"/>
  <c r="G182" i="14"/>
  <c r="AL182" i="14" s="1"/>
  <c r="D172" i="14"/>
  <c r="AF172" i="14"/>
  <c r="AN172" i="14"/>
  <c r="AT172" i="14"/>
  <c r="W172" i="14"/>
  <c r="N172" i="14"/>
  <c r="H172" i="14"/>
  <c r="F172" i="14"/>
  <c r="AD172" i="14" s="1"/>
  <c r="G172" i="14"/>
  <c r="AL172" i="14" s="1"/>
  <c r="E172" i="14"/>
  <c r="U172" i="14" s="1"/>
  <c r="C97" i="15"/>
  <c r="AN97" i="15" s="1"/>
  <c r="C137" i="14"/>
  <c r="N137" i="14" s="1"/>
  <c r="C91" i="15"/>
  <c r="AN91" i="15" s="1"/>
  <c r="C131" i="14"/>
  <c r="AF131" i="14" s="1"/>
  <c r="D199" i="14"/>
  <c r="W199" i="14"/>
  <c r="N199" i="14"/>
  <c r="AN199" i="14"/>
  <c r="AF199" i="14"/>
  <c r="F199" i="14"/>
  <c r="AD199" i="14" s="1"/>
  <c r="G199" i="14"/>
  <c r="AL199" i="14" s="1"/>
  <c r="E199" i="14"/>
  <c r="U199" i="14" s="1"/>
  <c r="H199" i="14"/>
  <c r="AT199" i="14" s="1"/>
  <c r="D261" i="14"/>
  <c r="AN261" i="14"/>
  <c r="W261" i="14"/>
  <c r="AF261" i="14"/>
  <c r="N261" i="14"/>
  <c r="E261" i="14"/>
  <c r="U261" i="14" s="1"/>
  <c r="H261" i="14"/>
  <c r="AT261" i="14" s="1"/>
  <c r="G261" i="14"/>
  <c r="AL261" i="14" s="1"/>
  <c r="F261" i="14"/>
  <c r="AD261" i="14" s="1"/>
  <c r="E241" i="14"/>
  <c r="U241" i="14" s="1"/>
  <c r="W241" i="14"/>
  <c r="AN241" i="14"/>
  <c r="AF241" i="14"/>
  <c r="AD241" i="14"/>
  <c r="N241" i="14"/>
  <c r="H241" i="14"/>
  <c r="AT241" i="14" s="1"/>
  <c r="G241" i="14"/>
  <c r="AL241" i="14" s="1"/>
  <c r="F241" i="14"/>
  <c r="D241" i="14"/>
  <c r="H101" i="15"/>
  <c r="E101" i="15"/>
  <c r="D101" i="15"/>
  <c r="G101" i="15"/>
  <c r="F101" i="15"/>
  <c r="W96" i="15"/>
  <c r="H96" i="15"/>
  <c r="AT96" i="15" s="1"/>
  <c r="AF96" i="15"/>
  <c r="E96" i="15"/>
  <c r="D96" i="15"/>
  <c r="G96" i="15"/>
  <c r="F96" i="15"/>
  <c r="N96" i="15"/>
  <c r="D193" i="14"/>
  <c r="AF193" i="14"/>
  <c r="AD193" i="14"/>
  <c r="AN193" i="14"/>
  <c r="W193" i="14"/>
  <c r="N193" i="14"/>
  <c r="E193" i="14"/>
  <c r="U193" i="14" s="1"/>
  <c r="H193" i="14"/>
  <c r="AT193" i="14" s="1"/>
  <c r="F193" i="14"/>
  <c r="G193" i="14"/>
  <c r="AL193" i="14" s="1"/>
  <c r="D91" i="15"/>
  <c r="H91" i="15"/>
  <c r="F91" i="15"/>
  <c r="E91" i="15"/>
  <c r="G91" i="15"/>
  <c r="D128" i="14"/>
  <c r="AN128" i="14"/>
  <c r="W128" i="14"/>
  <c r="N128" i="14"/>
  <c r="AF128" i="14"/>
  <c r="H128" i="14"/>
  <c r="AT128" i="14" s="1"/>
  <c r="G128" i="14"/>
  <c r="AL128" i="14" s="1"/>
  <c r="E128" i="14"/>
  <c r="U128" i="14" s="1"/>
  <c r="F128" i="14"/>
  <c r="AD128" i="14" s="1"/>
  <c r="D170" i="14"/>
  <c r="AN170" i="14"/>
  <c r="W170" i="14"/>
  <c r="AF170" i="14"/>
  <c r="N170" i="14"/>
  <c r="G170" i="14"/>
  <c r="AL170" i="14" s="1"/>
  <c r="F170" i="14"/>
  <c r="AD170" i="14" s="1"/>
  <c r="H170" i="14"/>
  <c r="AT170" i="14" s="1"/>
  <c r="E170" i="14"/>
  <c r="U170" i="14" s="1"/>
  <c r="B84" i="15"/>
  <c r="J84" i="15" s="1"/>
  <c r="B124" i="14"/>
  <c r="J124" i="14" s="1"/>
  <c r="C85" i="15"/>
  <c r="AT85" i="15" s="1"/>
  <c r="C125" i="14"/>
  <c r="AN125" i="14" s="1"/>
  <c r="C80" i="15"/>
  <c r="N80" i="15" s="1"/>
  <c r="C120" i="14"/>
  <c r="W120" i="14" s="1"/>
  <c r="D154" i="14"/>
  <c r="N154" i="14"/>
  <c r="AF154" i="14"/>
  <c r="AN154" i="14"/>
  <c r="W154" i="14"/>
  <c r="F154" i="14"/>
  <c r="AD154" i="14" s="1"/>
  <c r="E154" i="14"/>
  <c r="U154" i="14" s="1"/>
  <c r="H154" i="14"/>
  <c r="AT154" i="14" s="1"/>
  <c r="G154" i="14"/>
  <c r="AL154" i="14" s="1"/>
  <c r="H129" i="14"/>
  <c r="E129" i="14"/>
  <c r="F129" i="14"/>
  <c r="D129" i="14"/>
  <c r="G129" i="14"/>
  <c r="D185" i="14"/>
  <c r="W185" i="14"/>
  <c r="AF185" i="14"/>
  <c r="AN185" i="14"/>
  <c r="N185" i="14"/>
  <c r="E185" i="14"/>
  <c r="U185" i="14" s="1"/>
  <c r="F185" i="14"/>
  <c r="AD185" i="14" s="1"/>
  <c r="G185" i="14"/>
  <c r="AL185" i="14" s="1"/>
  <c r="H185" i="14"/>
  <c r="AT185" i="14" s="1"/>
  <c r="B101" i="15"/>
  <c r="J101" i="15" s="1"/>
  <c r="B141" i="14"/>
  <c r="J141" i="14" s="1"/>
  <c r="B96" i="15"/>
  <c r="J96" i="15" s="1"/>
  <c r="B136" i="14"/>
  <c r="J136" i="14" s="1"/>
  <c r="B91" i="15"/>
  <c r="J91" i="15" s="1"/>
  <c r="B131" i="14"/>
  <c r="J131" i="14" s="1"/>
  <c r="E88" i="15"/>
  <c r="U88" i="15" s="1"/>
  <c r="H88" i="15"/>
  <c r="AT88" i="15" s="1"/>
  <c r="D88" i="15"/>
  <c r="AN88" i="15"/>
  <c r="AF88" i="15"/>
  <c r="G88" i="15"/>
  <c r="AL88" i="15" s="1"/>
  <c r="W88" i="15"/>
  <c r="F88" i="15"/>
  <c r="AD88" i="15" s="1"/>
  <c r="N88" i="15"/>
  <c r="D184" i="14"/>
  <c r="AF184" i="14"/>
  <c r="AN184" i="14"/>
  <c r="W184" i="14"/>
  <c r="N184" i="14"/>
  <c r="G184" i="14"/>
  <c r="AL184" i="14" s="1"/>
  <c r="E184" i="14"/>
  <c r="U184" i="14" s="1"/>
  <c r="F184" i="14"/>
  <c r="AD184" i="14" s="1"/>
  <c r="H184" i="14"/>
  <c r="AT184" i="14" s="1"/>
  <c r="F175" i="14"/>
  <c r="AD175" i="14" s="1"/>
  <c r="AF175" i="14"/>
  <c r="AN175" i="14"/>
  <c r="W175" i="14"/>
  <c r="N175" i="14"/>
  <c r="H175" i="14"/>
  <c r="AT175" i="14" s="1"/>
  <c r="E175" i="14"/>
  <c r="U175" i="14" s="1"/>
  <c r="D175" i="14"/>
  <c r="G175" i="14"/>
  <c r="AL175" i="14" s="1"/>
  <c r="D259" i="14"/>
  <c r="W259" i="14"/>
  <c r="N259" i="14"/>
  <c r="AN259" i="14"/>
  <c r="AF259" i="14"/>
  <c r="H259" i="14"/>
  <c r="AT259" i="14" s="1"/>
  <c r="G259" i="14"/>
  <c r="AL259" i="14" s="1"/>
  <c r="F259" i="14"/>
  <c r="AD259" i="14" s="1"/>
  <c r="E259" i="14"/>
  <c r="U259" i="14" s="1"/>
  <c r="G239" i="14"/>
  <c r="AL239" i="14" s="1"/>
  <c r="W239" i="14"/>
  <c r="N239" i="14"/>
  <c r="AN239" i="14"/>
  <c r="AF239" i="14"/>
  <c r="D239" i="14"/>
  <c r="H239" i="14"/>
  <c r="AT239" i="14" s="1"/>
  <c r="F239" i="14"/>
  <c r="AD239" i="14" s="1"/>
  <c r="E239" i="14"/>
  <c r="U239" i="14" s="1"/>
  <c r="D229" i="14"/>
  <c r="AN229" i="14"/>
  <c r="AL229" i="14"/>
  <c r="W229" i="14"/>
  <c r="AF229" i="14"/>
  <c r="N229" i="14"/>
  <c r="H229" i="14"/>
  <c r="AT229" i="14" s="1"/>
  <c r="F229" i="14"/>
  <c r="AD229" i="14" s="1"/>
  <c r="G229" i="14"/>
  <c r="E229" i="14"/>
  <c r="U229" i="14" s="1"/>
  <c r="D137" i="14"/>
  <c r="G137" i="14"/>
  <c r="E137" i="14"/>
  <c r="F137" i="14"/>
  <c r="H137" i="14"/>
  <c r="D179" i="14"/>
  <c r="W179" i="14"/>
  <c r="N179" i="14"/>
  <c r="AN179" i="14"/>
  <c r="AF179" i="14"/>
  <c r="G179" i="14"/>
  <c r="AL179" i="14" s="1"/>
  <c r="F179" i="14"/>
  <c r="AD179" i="14" s="1"/>
  <c r="H179" i="14"/>
  <c r="AT179" i="14" s="1"/>
  <c r="E179" i="14"/>
  <c r="U179" i="14" s="1"/>
  <c r="D159" i="14"/>
  <c r="W159" i="14"/>
  <c r="AN159" i="14"/>
  <c r="AF159" i="14"/>
  <c r="N159" i="14"/>
  <c r="G159" i="14"/>
  <c r="AL159" i="14" s="1"/>
  <c r="F159" i="14"/>
  <c r="AD159" i="14" s="1"/>
  <c r="E159" i="14"/>
  <c r="U159" i="14" s="1"/>
  <c r="H159" i="14"/>
  <c r="AT159" i="14" s="1"/>
  <c r="H89" i="15"/>
  <c r="D89" i="15"/>
  <c r="F89" i="15"/>
  <c r="E89" i="15"/>
  <c r="G89" i="15"/>
  <c r="F218" i="14"/>
  <c r="AD218" i="14" s="1"/>
  <c r="AN218" i="14"/>
  <c r="N218" i="14"/>
  <c r="AF218" i="14"/>
  <c r="W218" i="14"/>
  <c r="D218" i="14"/>
  <c r="E218" i="14"/>
  <c r="U218" i="14" s="1"/>
  <c r="G218" i="14"/>
  <c r="AL218" i="14" s="1"/>
  <c r="H218" i="14"/>
  <c r="AT218" i="14" s="1"/>
  <c r="E213" i="14"/>
  <c r="U213" i="14" s="1"/>
  <c r="AF213" i="14"/>
  <c r="AN213" i="14"/>
  <c r="W213" i="14"/>
  <c r="N213" i="14"/>
  <c r="D213" i="14"/>
  <c r="H213" i="14"/>
  <c r="AT213" i="14" s="1"/>
  <c r="G213" i="14"/>
  <c r="AL213" i="14" s="1"/>
  <c r="F213" i="14"/>
  <c r="AD213" i="14" s="1"/>
  <c r="D151" i="14"/>
  <c r="AF151" i="14"/>
  <c r="AN151" i="14"/>
  <c r="W151" i="14"/>
  <c r="N151" i="14"/>
  <c r="H151" i="14"/>
  <c r="AT151" i="14" s="1"/>
  <c r="G151" i="14"/>
  <c r="AL151" i="14" s="1"/>
  <c r="F151" i="14"/>
  <c r="AD151" i="14" s="1"/>
  <c r="E151" i="14"/>
  <c r="U151" i="14" s="1"/>
  <c r="F148" i="14"/>
  <c r="AD148" i="14" s="1"/>
  <c r="AN148" i="14"/>
  <c r="W148" i="14"/>
  <c r="N148" i="14"/>
  <c r="AF148" i="14"/>
  <c r="D148" i="14"/>
  <c r="H148" i="14"/>
  <c r="AT148" i="14" s="1"/>
  <c r="E148" i="14"/>
  <c r="U148" i="14" s="1"/>
  <c r="G148" i="14"/>
  <c r="AL148" i="14" s="1"/>
  <c r="B88" i="15"/>
  <c r="J88" i="15" s="1"/>
  <c r="B128" i="14"/>
  <c r="J128" i="14" s="1"/>
  <c r="H207" i="14"/>
  <c r="AT207" i="14" s="1"/>
  <c r="AN207" i="14"/>
  <c r="W207" i="14"/>
  <c r="AF207" i="14"/>
  <c r="N207" i="14"/>
  <c r="G207" i="14"/>
  <c r="AL207" i="14" s="1"/>
  <c r="E207" i="14"/>
  <c r="U207" i="14" s="1"/>
  <c r="D207" i="14"/>
  <c r="F207" i="14"/>
  <c r="AD207" i="14" s="1"/>
  <c r="C79" i="15"/>
  <c r="W79" i="15" s="1"/>
  <c r="C119" i="14"/>
  <c r="AL119" i="14" s="1"/>
  <c r="C95" i="15"/>
  <c r="AF95" i="15" s="1"/>
  <c r="C135" i="14"/>
  <c r="N135" i="14" s="1"/>
  <c r="E97" i="15"/>
  <c r="U97" i="15" s="1"/>
  <c r="H97" i="15"/>
  <c r="G97" i="15"/>
  <c r="W97" i="15"/>
  <c r="D97" i="15"/>
  <c r="F97" i="15"/>
  <c r="G186" i="14"/>
  <c r="AL186" i="14" s="1"/>
  <c r="W186" i="14"/>
  <c r="AF186" i="14"/>
  <c r="AN186" i="14"/>
  <c r="N186" i="14"/>
  <c r="E186" i="14"/>
  <c r="U186" i="14" s="1"/>
  <c r="D186" i="14"/>
  <c r="F186" i="14"/>
  <c r="AD186" i="14" s="1"/>
  <c r="H186" i="14"/>
  <c r="AT186" i="14" s="1"/>
  <c r="B89" i="15"/>
  <c r="J89" i="15" s="1"/>
  <c r="B129" i="14"/>
  <c r="J129" i="14" s="1"/>
  <c r="H222" i="14"/>
  <c r="AT222" i="14" s="1"/>
  <c r="W222" i="14"/>
  <c r="N222" i="14"/>
  <c r="AN222" i="14"/>
  <c r="AF222" i="14"/>
  <c r="E222" i="14"/>
  <c r="U222" i="14" s="1"/>
  <c r="F222" i="14"/>
  <c r="AD222" i="14" s="1"/>
  <c r="G222" i="14"/>
  <c r="AL222" i="14" s="1"/>
  <c r="D222" i="14"/>
  <c r="D224" i="14"/>
  <c r="AF224" i="14"/>
  <c r="AN224" i="14"/>
  <c r="W224" i="14"/>
  <c r="N224" i="14"/>
  <c r="G224" i="14"/>
  <c r="AL224" i="14" s="1"/>
  <c r="E224" i="14"/>
  <c r="U224" i="14" s="1"/>
  <c r="F224" i="14"/>
  <c r="AD224" i="14" s="1"/>
  <c r="H224" i="14"/>
  <c r="AT224" i="14" s="1"/>
  <c r="E180" i="14"/>
  <c r="U180" i="14" s="1"/>
  <c r="W180" i="14"/>
  <c r="AN180" i="14"/>
  <c r="AF180" i="14"/>
  <c r="N180" i="14"/>
  <c r="D180" i="14"/>
  <c r="H180" i="14"/>
  <c r="AT180" i="14" s="1"/>
  <c r="F180" i="14"/>
  <c r="AD180" i="14" s="1"/>
  <c r="G180" i="14"/>
  <c r="AL180" i="14" s="1"/>
  <c r="D146" i="14"/>
  <c r="AN146" i="14"/>
  <c r="N146" i="14"/>
  <c r="W146" i="14"/>
  <c r="AF146" i="14"/>
  <c r="F146" i="14"/>
  <c r="AD146" i="14" s="1"/>
  <c r="H146" i="14"/>
  <c r="AT146" i="14" s="1"/>
  <c r="G146" i="14"/>
  <c r="AL146" i="14" s="1"/>
  <c r="E146" i="14"/>
  <c r="U146" i="14" s="1"/>
  <c r="H197" i="14"/>
  <c r="AT197" i="14" s="1"/>
  <c r="AN197" i="14"/>
  <c r="N197" i="14"/>
  <c r="W197" i="14"/>
  <c r="AF197" i="14"/>
  <c r="D197" i="14"/>
  <c r="G197" i="14"/>
  <c r="AL197" i="14" s="1"/>
  <c r="F197" i="14"/>
  <c r="AD197" i="14" s="1"/>
  <c r="E197" i="14"/>
  <c r="U197" i="14" s="1"/>
  <c r="D177" i="14"/>
  <c r="AN177" i="14"/>
  <c r="N177" i="14"/>
  <c r="AF177" i="14"/>
  <c r="W177" i="14"/>
  <c r="G177" i="14"/>
  <c r="AL177" i="14" s="1"/>
  <c r="F177" i="14"/>
  <c r="AD177" i="14" s="1"/>
  <c r="E177" i="14"/>
  <c r="U177" i="14" s="1"/>
  <c r="H177" i="14"/>
  <c r="AT177" i="14" s="1"/>
  <c r="D127" i="14"/>
  <c r="H127" i="14"/>
  <c r="G127" i="14"/>
  <c r="F127" i="14"/>
  <c r="E127" i="14"/>
  <c r="C77" i="15"/>
  <c r="AN77" i="15" s="1"/>
  <c r="C117" i="14"/>
  <c r="W117" i="14" s="1"/>
  <c r="C82" i="15"/>
  <c r="AN82" i="15" s="1"/>
  <c r="C122" i="14"/>
  <c r="W122" i="14" s="1"/>
  <c r="C98" i="15"/>
  <c r="AN98" i="15" s="1"/>
  <c r="C138" i="14"/>
  <c r="B97" i="15"/>
  <c r="J97" i="15" s="1"/>
  <c r="B137" i="14"/>
  <c r="J137" i="14" s="1"/>
  <c r="D117" i="14"/>
  <c r="E117" i="14"/>
  <c r="G117" i="14"/>
  <c r="F117" i="14"/>
  <c r="H117" i="14"/>
  <c r="E256" i="14"/>
  <c r="U256" i="14" s="1"/>
  <c r="N256" i="14"/>
  <c r="AF256" i="14"/>
  <c r="AN256" i="14"/>
  <c r="D256" i="14"/>
  <c r="F256" i="14"/>
  <c r="AD256" i="14" s="1"/>
  <c r="G256" i="14"/>
  <c r="AL256" i="14" s="1"/>
  <c r="H256" i="14"/>
  <c r="AT256" i="14" s="1"/>
  <c r="W256" i="14"/>
  <c r="D205" i="14"/>
  <c r="W205" i="14"/>
  <c r="AF205" i="14"/>
  <c r="AN205" i="14"/>
  <c r="N205" i="14"/>
  <c r="F205" i="14"/>
  <c r="AD205" i="14" s="1"/>
  <c r="H205" i="14"/>
  <c r="AT205" i="14" s="1"/>
  <c r="E205" i="14"/>
  <c r="U205" i="14" s="1"/>
  <c r="G205" i="14"/>
  <c r="AL205" i="14" s="1"/>
  <c r="G156" i="14"/>
  <c r="AL156" i="14" s="1"/>
  <c r="AN156" i="14"/>
  <c r="N156" i="14"/>
  <c r="AF156" i="14"/>
  <c r="W156" i="14"/>
  <c r="E156" i="14"/>
  <c r="U156" i="14" s="1"/>
  <c r="F156" i="14"/>
  <c r="AD156" i="14" s="1"/>
  <c r="H156" i="14"/>
  <c r="AT156" i="14" s="1"/>
  <c r="D156" i="14"/>
  <c r="E171" i="14"/>
  <c r="U171" i="14" s="1"/>
  <c r="AN171" i="14"/>
  <c r="W171" i="14"/>
  <c r="AF171" i="14"/>
  <c r="N171" i="14"/>
  <c r="G171" i="14"/>
  <c r="AL171" i="14" s="1"/>
  <c r="D171" i="14"/>
  <c r="H171" i="14"/>
  <c r="AT171" i="14" s="1"/>
  <c r="F171" i="14"/>
  <c r="AD171" i="14" s="1"/>
  <c r="D168" i="14"/>
  <c r="AN168" i="14"/>
  <c r="N168" i="14"/>
  <c r="AF168" i="14"/>
  <c r="W168" i="14"/>
  <c r="H168" i="14"/>
  <c r="AT168" i="14" s="1"/>
  <c r="F168" i="14"/>
  <c r="AD168" i="14" s="1"/>
  <c r="G168" i="14"/>
  <c r="AL168" i="14" s="1"/>
  <c r="E168" i="14"/>
  <c r="U168" i="14" s="1"/>
  <c r="D244" i="14"/>
  <c r="AF244" i="14"/>
  <c r="AN244" i="14"/>
  <c r="W244" i="14"/>
  <c r="F244" i="14"/>
  <c r="AD244" i="14" s="1"/>
  <c r="N244" i="14"/>
  <c r="H244" i="14"/>
  <c r="AT244" i="14" s="1"/>
  <c r="G244" i="14"/>
  <c r="AL244" i="14" s="1"/>
  <c r="E244" i="14"/>
  <c r="U244" i="14" s="1"/>
  <c r="D120" i="14"/>
  <c r="H120" i="14"/>
  <c r="G120" i="14"/>
  <c r="E120" i="14"/>
  <c r="F120" i="14"/>
  <c r="G87" i="15"/>
  <c r="F87" i="15"/>
  <c r="W87" i="15"/>
  <c r="D87" i="15"/>
  <c r="E87" i="15"/>
  <c r="H87" i="15"/>
  <c r="C83" i="15"/>
  <c r="AN83" i="15" s="1"/>
  <c r="C123" i="14"/>
  <c r="AD123" i="14" s="1"/>
  <c r="C92" i="15"/>
  <c r="W92" i="15" s="1"/>
  <c r="C132" i="14"/>
  <c r="AF132" i="14" s="1"/>
  <c r="C94" i="15"/>
  <c r="AN94" i="15" s="1"/>
  <c r="C134" i="14"/>
  <c r="AL134" i="14" s="1"/>
  <c r="D214" i="14"/>
  <c r="AF214" i="14"/>
  <c r="AN214" i="14"/>
  <c r="N214" i="14"/>
  <c r="W214" i="14"/>
  <c r="H214" i="14"/>
  <c r="AT214" i="14" s="1"/>
  <c r="F214" i="14"/>
  <c r="AD214" i="14" s="1"/>
  <c r="G214" i="14"/>
  <c r="AL214" i="14" s="1"/>
  <c r="E214" i="14"/>
  <c r="U214" i="14" s="1"/>
  <c r="D77" i="15"/>
  <c r="E77" i="15"/>
  <c r="H77" i="15"/>
  <c r="G77" i="15"/>
  <c r="F77" i="15"/>
  <c r="D149" i="14"/>
  <c r="AN149" i="14"/>
  <c r="W149" i="14"/>
  <c r="N149" i="14"/>
  <c r="AF149" i="14"/>
  <c r="H149" i="14"/>
  <c r="AT149" i="14" s="1"/>
  <c r="E149" i="14"/>
  <c r="U149" i="14" s="1"/>
  <c r="G149" i="14"/>
  <c r="AL149" i="14" s="1"/>
  <c r="F149" i="14"/>
  <c r="AD149" i="14" s="1"/>
  <c r="G161" i="14"/>
  <c r="AL161" i="14" s="1"/>
  <c r="N161" i="14"/>
  <c r="AF161" i="14"/>
  <c r="AN161" i="14"/>
  <c r="E161" i="14"/>
  <c r="U161" i="14" s="1"/>
  <c r="W161" i="14"/>
  <c r="H161" i="14"/>
  <c r="AT161" i="14" s="1"/>
  <c r="D161" i="14"/>
  <c r="F161" i="14"/>
  <c r="AD161" i="14" s="1"/>
  <c r="D200" i="14"/>
  <c r="W200" i="14"/>
  <c r="AN200" i="14"/>
  <c r="AF200" i="14"/>
  <c r="N200" i="14"/>
  <c r="G200" i="14"/>
  <c r="AL200" i="14" s="1"/>
  <c r="F200" i="14"/>
  <c r="AD200" i="14" s="1"/>
  <c r="E200" i="14"/>
  <c r="U200" i="14" s="1"/>
  <c r="H200" i="14"/>
  <c r="AT200" i="14" s="1"/>
  <c r="G166" i="14"/>
  <c r="AL166" i="14" s="1"/>
  <c r="AN166" i="14"/>
  <c r="W166" i="14"/>
  <c r="AF166" i="14"/>
  <c r="N166" i="14"/>
  <c r="F166" i="14"/>
  <c r="AD166" i="14" s="1"/>
  <c r="E166" i="14"/>
  <c r="U166" i="14" s="1"/>
  <c r="D166" i="14"/>
  <c r="H166" i="14"/>
  <c r="AT166" i="14" s="1"/>
  <c r="D190" i="14"/>
  <c r="AN190" i="14"/>
  <c r="W190" i="14"/>
  <c r="N190" i="14"/>
  <c r="AF190" i="14"/>
  <c r="H190" i="14"/>
  <c r="AT190" i="14" s="1"/>
  <c r="F190" i="14"/>
  <c r="AD190" i="14" s="1"/>
  <c r="G190" i="14"/>
  <c r="AL190" i="14" s="1"/>
  <c r="E190" i="14"/>
  <c r="U190" i="14" s="1"/>
  <c r="F80" i="15"/>
  <c r="E80" i="15"/>
  <c r="G80" i="15"/>
  <c r="H80" i="15"/>
  <c r="D80" i="15"/>
  <c r="E75" i="15"/>
  <c r="D75" i="15"/>
  <c r="H75" i="15"/>
  <c r="F75" i="15"/>
  <c r="G75" i="15"/>
  <c r="AF254" i="14"/>
  <c r="AN254" i="14"/>
  <c r="N254" i="14"/>
  <c r="D254" i="14"/>
  <c r="W254" i="14"/>
  <c r="E254" i="14"/>
  <c r="U254" i="14" s="1"/>
  <c r="F254" i="14"/>
  <c r="AD254" i="14" s="1"/>
  <c r="G254" i="14"/>
  <c r="AL254" i="14" s="1"/>
  <c r="H254" i="14"/>
  <c r="AT254" i="14" s="1"/>
  <c r="B87" i="15"/>
  <c r="J87" i="15" s="1"/>
  <c r="B127" i="14"/>
  <c r="J127" i="14" s="1"/>
  <c r="B77" i="15"/>
  <c r="J77" i="15" s="1"/>
  <c r="B117" i="14"/>
  <c r="J117" i="14" s="1"/>
  <c r="D174" i="14"/>
  <c r="AF174" i="14"/>
  <c r="AN174" i="14"/>
  <c r="N174" i="14"/>
  <c r="W174" i="14"/>
  <c r="G174" i="14"/>
  <c r="AL174" i="14" s="1"/>
  <c r="E174" i="14"/>
  <c r="U174" i="14" s="1"/>
  <c r="F174" i="14"/>
  <c r="AD174" i="14" s="1"/>
  <c r="H174" i="14"/>
  <c r="AT174" i="14" s="1"/>
  <c r="D242" i="14"/>
  <c r="W242" i="14"/>
  <c r="N242" i="14"/>
  <c r="AN242" i="14"/>
  <c r="AF242" i="14"/>
  <c r="H242" i="14"/>
  <c r="AT242" i="14" s="1"/>
  <c r="F242" i="14"/>
  <c r="AD242" i="14" s="1"/>
  <c r="E242" i="14"/>
  <c r="U242" i="14" s="1"/>
  <c r="G242" i="14"/>
  <c r="AL242" i="14" s="1"/>
  <c r="E233" i="14"/>
  <c r="U233" i="14" s="1"/>
  <c r="AF233" i="14"/>
  <c r="AN233" i="14"/>
  <c r="W233" i="14"/>
  <c r="N233" i="14"/>
  <c r="F233" i="14"/>
  <c r="AD233" i="14" s="1"/>
  <c r="H233" i="14"/>
  <c r="AT233" i="14" s="1"/>
  <c r="G233" i="14"/>
  <c r="AL233" i="14" s="1"/>
  <c r="D233" i="14"/>
  <c r="D188" i="14"/>
  <c r="AN188" i="14"/>
  <c r="N188" i="14"/>
  <c r="W188" i="14"/>
  <c r="AF188" i="14"/>
  <c r="F188" i="14"/>
  <c r="AD188" i="14" s="1"/>
  <c r="E188" i="14"/>
  <c r="U188" i="14" s="1"/>
  <c r="H188" i="14"/>
  <c r="AT188" i="14" s="1"/>
  <c r="G188" i="14"/>
  <c r="AL188" i="14" s="1"/>
  <c r="E126" i="14"/>
  <c r="U126" i="14" s="1"/>
  <c r="AN126" i="14"/>
  <c r="N126" i="14"/>
  <c r="W126" i="14"/>
  <c r="AF126" i="14"/>
  <c r="D126" i="14"/>
  <c r="H126" i="14"/>
  <c r="AT126" i="14" s="1"/>
  <c r="G126" i="14"/>
  <c r="AL126" i="14" s="1"/>
  <c r="F126" i="14"/>
  <c r="AD126" i="14" s="1"/>
  <c r="D122" i="14"/>
  <c r="E122" i="14"/>
  <c r="G122" i="14"/>
  <c r="F122" i="14"/>
  <c r="H122" i="14"/>
  <c r="B80" i="15"/>
  <c r="J80" i="15" s="1"/>
  <c r="B120" i="14"/>
  <c r="J120" i="14" s="1"/>
  <c r="D115" i="14"/>
  <c r="H115" i="14"/>
  <c r="G115" i="14"/>
  <c r="E115" i="14"/>
  <c r="F115" i="14"/>
  <c r="G203" i="14"/>
  <c r="AL203" i="14" s="1"/>
  <c r="N203" i="14"/>
  <c r="AF203" i="14"/>
  <c r="AN203" i="14"/>
  <c r="W203" i="14"/>
  <c r="H203" i="14"/>
  <c r="AT203" i="14" s="1"/>
  <c r="F203" i="14"/>
  <c r="AD203" i="14" s="1"/>
  <c r="E203" i="14"/>
  <c r="U203" i="14" s="1"/>
  <c r="D203" i="14"/>
  <c r="C73" i="15"/>
  <c r="C113" i="14"/>
  <c r="C89" i="15"/>
  <c r="AN89" i="15" s="1"/>
  <c r="C129" i="14"/>
  <c r="AN129" i="14" s="1"/>
  <c r="C84" i="15"/>
  <c r="AF84" i="15" s="1"/>
  <c r="C124" i="14"/>
  <c r="AN124" i="14" s="1"/>
  <c r="D152" i="14"/>
  <c r="AF152" i="14"/>
  <c r="AN152" i="14"/>
  <c r="N152" i="14"/>
  <c r="W152" i="14"/>
  <c r="H152" i="14"/>
  <c r="AT152" i="14" s="1"/>
  <c r="G152" i="14"/>
  <c r="AL152" i="14" s="1"/>
  <c r="F152" i="14"/>
  <c r="AD152" i="14" s="1"/>
  <c r="E152" i="14"/>
  <c r="U152" i="14" s="1"/>
  <c r="D194" i="14"/>
  <c r="AF194" i="14"/>
  <c r="AN194" i="14"/>
  <c r="W194" i="14"/>
  <c r="N194" i="14"/>
  <c r="F194" i="14"/>
  <c r="AD194" i="14" s="1"/>
  <c r="G194" i="14"/>
  <c r="AL194" i="14" s="1"/>
  <c r="E194" i="14"/>
  <c r="U194" i="14" s="1"/>
  <c r="H194" i="14"/>
  <c r="AT194" i="14" s="1"/>
  <c r="H202" i="14"/>
  <c r="AT202" i="14" s="1"/>
  <c r="W202" i="14"/>
  <c r="N202" i="14"/>
  <c r="AF202" i="14"/>
  <c r="AN202" i="14"/>
  <c r="D202" i="14"/>
  <c r="F202" i="14"/>
  <c r="AD202" i="14" s="1"/>
  <c r="G202" i="14"/>
  <c r="AL202" i="14" s="1"/>
  <c r="E202" i="14"/>
  <c r="U202" i="14" s="1"/>
  <c r="H238" i="14"/>
  <c r="AT238" i="14" s="1"/>
  <c r="AN238" i="14"/>
  <c r="N238" i="14"/>
  <c r="AF238" i="14"/>
  <c r="W238" i="14"/>
  <c r="E238" i="14"/>
  <c r="U238" i="14" s="1"/>
  <c r="D238" i="14"/>
  <c r="F238" i="14"/>
  <c r="AD238" i="14" s="1"/>
  <c r="G238" i="14"/>
  <c r="AL238" i="14" s="1"/>
  <c r="D86" i="15"/>
  <c r="H86" i="15"/>
  <c r="G86" i="15"/>
  <c r="F86" i="15"/>
  <c r="E86" i="15"/>
  <c r="H82" i="15"/>
  <c r="D82" i="15"/>
  <c r="E82" i="15"/>
  <c r="F82" i="15"/>
  <c r="G82" i="15"/>
  <c r="D118" i="14"/>
  <c r="E118" i="14"/>
  <c r="H118" i="14"/>
  <c r="G118" i="14"/>
  <c r="F118" i="14"/>
  <c r="D195" i="14"/>
  <c r="AF195" i="14"/>
  <c r="AN195" i="14"/>
  <c r="W195" i="14"/>
  <c r="N195" i="14"/>
  <c r="H195" i="14"/>
  <c r="AT195" i="14" s="1"/>
  <c r="G195" i="14"/>
  <c r="AL195" i="14" s="1"/>
  <c r="F195" i="14"/>
  <c r="AD195" i="14" s="1"/>
  <c r="E195" i="14"/>
  <c r="U195" i="14" s="1"/>
  <c r="H227" i="14"/>
  <c r="AT227" i="14" s="1"/>
  <c r="AN227" i="14"/>
  <c r="W227" i="14"/>
  <c r="AF227" i="14"/>
  <c r="N227" i="14"/>
  <c r="E227" i="14"/>
  <c r="U227" i="14" s="1"/>
  <c r="F227" i="14"/>
  <c r="AD227" i="14" s="1"/>
  <c r="G227" i="14"/>
  <c r="AL227" i="14" s="1"/>
  <c r="D227" i="14"/>
  <c r="H217" i="14"/>
  <c r="AT217" i="14" s="1"/>
  <c r="AN217" i="14"/>
  <c r="N217" i="14"/>
  <c r="AF217" i="14"/>
  <c r="W217" i="14"/>
  <c r="D217" i="14"/>
  <c r="G217" i="14"/>
  <c r="AL217" i="14" s="1"/>
  <c r="F217" i="14"/>
  <c r="AD217" i="14" s="1"/>
  <c r="E217" i="14"/>
  <c r="U217" i="14" s="1"/>
  <c r="B75" i="15"/>
  <c r="J75" i="15" s="1"/>
  <c r="B115" i="14"/>
  <c r="J115" i="14" s="1"/>
  <c r="H192" i="14"/>
  <c r="AT192" i="14" s="1"/>
  <c r="AF192" i="14"/>
  <c r="AN192" i="14"/>
  <c r="W192" i="14"/>
  <c r="E192" i="14"/>
  <c r="U192" i="14" s="1"/>
  <c r="N192" i="14"/>
  <c r="F192" i="14"/>
  <c r="AD192" i="14" s="1"/>
  <c r="G192" i="14"/>
  <c r="AL192" i="14" s="1"/>
  <c r="D192" i="14"/>
  <c r="D65" i="4"/>
  <c r="E65" i="4"/>
  <c r="F65" i="4"/>
  <c r="G65" i="4"/>
  <c r="H65" i="4"/>
  <c r="H64" i="4"/>
  <c r="G64" i="4"/>
  <c r="F64" i="4"/>
  <c r="E64" i="4"/>
  <c r="D64" i="4"/>
  <c r="E671" i="3"/>
  <c r="L671" i="3" s="1"/>
  <c r="E672" i="3"/>
  <c r="W516" i="3"/>
  <c r="AA136" i="1"/>
  <c r="Z520" i="3" l="1"/>
  <c r="X518" i="3"/>
  <c r="AL113" i="14"/>
  <c r="AD87" i="15"/>
  <c r="AF87" i="15"/>
  <c r="AN87" i="15"/>
  <c r="AL87" i="15"/>
  <c r="AT87" i="15"/>
  <c r="U87" i="15"/>
  <c r="AL120" i="14"/>
  <c r="AT120" i="14"/>
  <c r="AN120" i="14"/>
  <c r="AF120" i="14"/>
  <c r="N120" i="14"/>
  <c r="AD120" i="14"/>
  <c r="U120" i="14"/>
  <c r="AD138" i="14"/>
  <c r="AD96" i="15"/>
  <c r="AL96" i="15"/>
  <c r="U96" i="15"/>
  <c r="AL139" i="14"/>
  <c r="AD99" i="15"/>
  <c r="AT73" i="15"/>
  <c r="AF97" i="15"/>
  <c r="N97" i="15"/>
  <c r="AD97" i="15"/>
  <c r="AT75" i="15"/>
  <c r="AL97" i="15"/>
  <c r="AT97" i="15"/>
  <c r="N118" i="14"/>
  <c r="AF118" i="14"/>
  <c r="AT80" i="15"/>
  <c r="AF80" i="15"/>
  <c r="AN80" i="15"/>
  <c r="W80" i="15"/>
  <c r="AL80" i="15"/>
  <c r="U80" i="15"/>
  <c r="AD80" i="15"/>
  <c r="AN118" i="14"/>
  <c r="W75" i="15"/>
  <c r="N75" i="15"/>
  <c r="U75" i="15"/>
  <c r="U127" i="14"/>
  <c r="AD127" i="14"/>
  <c r="AL127" i="14"/>
  <c r="AT127" i="14"/>
  <c r="AF127" i="14"/>
  <c r="AD118" i="14"/>
  <c r="AF75" i="15"/>
  <c r="N127" i="14"/>
  <c r="AL118" i="14"/>
  <c r="AL75" i="15"/>
  <c r="W127" i="14"/>
  <c r="AT118" i="14"/>
  <c r="AD75" i="15"/>
  <c r="U118" i="14"/>
  <c r="U93" i="15"/>
  <c r="AD115" i="14"/>
  <c r="U115" i="14"/>
  <c r="AL115" i="14"/>
  <c r="W115" i="14"/>
  <c r="AF115" i="14"/>
  <c r="AN115" i="14"/>
  <c r="AT115" i="14"/>
  <c r="N90" i="15"/>
  <c r="AN136" i="14"/>
  <c r="AT90" i="15"/>
  <c r="AF90" i="15"/>
  <c r="W90" i="15"/>
  <c r="AL90" i="15"/>
  <c r="U90" i="15"/>
  <c r="U86" i="15"/>
  <c r="AN86" i="15"/>
  <c r="AF86" i="15"/>
  <c r="AD86" i="15"/>
  <c r="W86" i="15"/>
  <c r="AL86" i="15"/>
  <c r="AT86" i="15"/>
  <c r="AL116" i="14"/>
  <c r="AL76" i="15"/>
  <c r="N76" i="15"/>
  <c r="AT76" i="15"/>
  <c r="AF76" i="15"/>
  <c r="W76" i="15"/>
  <c r="U76" i="15"/>
  <c r="AN76" i="15"/>
  <c r="AD76" i="15"/>
  <c r="N122" i="14"/>
  <c r="AL82" i="15"/>
  <c r="AF82" i="15"/>
  <c r="W77" i="15"/>
  <c r="AF77" i="15"/>
  <c r="D287" i="1"/>
  <c r="D289" i="1"/>
  <c r="AD122" i="14"/>
  <c r="AT122" i="14"/>
  <c r="AT116" i="14"/>
  <c r="AF122" i="14"/>
  <c r="AD116" i="14"/>
  <c r="AL122" i="14"/>
  <c r="U122" i="14"/>
  <c r="AN122" i="14"/>
  <c r="AN116" i="14"/>
  <c r="U116" i="14"/>
  <c r="AF116" i="14"/>
  <c r="N116" i="14"/>
  <c r="W116" i="14"/>
  <c r="W93" i="15"/>
  <c r="AF93" i="15"/>
  <c r="AD93" i="15"/>
  <c r="AD141" i="14"/>
  <c r="AN141" i="14"/>
  <c r="N114" i="14"/>
  <c r="AF141" i="14"/>
  <c r="N141" i="14"/>
  <c r="N131" i="14"/>
  <c r="AF114" i="14"/>
  <c r="AT93" i="15"/>
  <c r="U72" i="15"/>
  <c r="AT72" i="15"/>
  <c r="U130" i="14"/>
  <c r="U137" i="14"/>
  <c r="N77" i="15"/>
  <c r="AF74" i="15"/>
  <c r="U141" i="14"/>
  <c r="U114" i="14"/>
  <c r="AL141" i="14"/>
  <c r="W114" i="14"/>
  <c r="W91" i="15"/>
  <c r="AT141" i="14"/>
  <c r="AL114" i="14"/>
  <c r="U91" i="15"/>
  <c r="AD114" i="14"/>
  <c r="AL93" i="15"/>
  <c r="AT114" i="14"/>
  <c r="AL117" i="14"/>
  <c r="AF91" i="15"/>
  <c r="AN93" i="15"/>
  <c r="AL137" i="14"/>
  <c r="AT91" i="15"/>
  <c r="U74" i="15"/>
  <c r="N91" i="15"/>
  <c r="AN74" i="15"/>
  <c r="W74" i="15"/>
  <c r="AN101" i="15"/>
  <c r="AT82" i="15"/>
  <c r="W101" i="15"/>
  <c r="U82" i="15"/>
  <c r="AD77" i="15"/>
  <c r="N101" i="15"/>
  <c r="W82" i="15"/>
  <c r="AL77" i="15"/>
  <c r="AD101" i="15"/>
  <c r="U99" i="15"/>
  <c r="AL140" i="14"/>
  <c r="AD82" i="15"/>
  <c r="AL101" i="15"/>
  <c r="W99" i="15"/>
  <c r="U129" i="14"/>
  <c r="AL130" i="14"/>
  <c r="AT77" i="15"/>
  <c r="N130" i="14"/>
  <c r="AF137" i="14"/>
  <c r="U101" i="15"/>
  <c r="AT99" i="15"/>
  <c r="AT74" i="15"/>
  <c r="W130" i="14"/>
  <c r="U77" i="15"/>
  <c r="AT137" i="14"/>
  <c r="AL91" i="15"/>
  <c r="AT101" i="15"/>
  <c r="AL74" i="15"/>
  <c r="N93" i="15"/>
  <c r="AT130" i="14"/>
  <c r="AN137" i="14"/>
  <c r="AN130" i="14"/>
  <c r="AD74" i="15"/>
  <c r="AD130" i="14"/>
  <c r="W137" i="14"/>
  <c r="AD91" i="15"/>
  <c r="AL121" i="14"/>
  <c r="U89" i="15"/>
  <c r="U84" i="15"/>
  <c r="N124" i="14"/>
  <c r="AN123" i="14"/>
  <c r="AD134" i="14"/>
  <c r="U100" i="15"/>
  <c r="AD79" i="15"/>
  <c r="AF138" i="14"/>
  <c r="N73" i="15"/>
  <c r="AT135" i="14"/>
  <c r="N113" i="14"/>
  <c r="AF85" i="15"/>
  <c r="N89" i="15"/>
  <c r="AL84" i="15"/>
  <c r="U124" i="14"/>
  <c r="AF123" i="14"/>
  <c r="AF134" i="14"/>
  <c r="AD100" i="15"/>
  <c r="AT79" i="15"/>
  <c r="AT138" i="14"/>
  <c r="U73" i="15"/>
  <c r="AN135" i="14"/>
  <c r="U113" i="14"/>
  <c r="AD89" i="15"/>
  <c r="AF124" i="14"/>
  <c r="AN99" i="15"/>
  <c r="W123" i="14"/>
  <c r="N134" i="14"/>
  <c r="AF100" i="15"/>
  <c r="U79" i="15"/>
  <c r="AN138" i="14"/>
  <c r="AN73" i="15"/>
  <c r="AF113" i="14"/>
  <c r="N85" i="15"/>
  <c r="W124" i="14"/>
  <c r="AL83" i="15"/>
  <c r="AF99" i="15"/>
  <c r="AL123" i="14"/>
  <c r="AT134" i="14"/>
  <c r="N100" i="15"/>
  <c r="AD98" i="15"/>
  <c r="W138" i="14"/>
  <c r="AD73" i="15"/>
  <c r="AL92" i="15"/>
  <c r="AD113" i="14"/>
  <c r="W89" i="15"/>
  <c r="AL124" i="14"/>
  <c r="U83" i="15"/>
  <c r="N99" i="15"/>
  <c r="U98" i="15"/>
  <c r="AF79" i="15"/>
  <c r="AL138" i="14"/>
  <c r="AD92" i="15"/>
  <c r="AN113" i="14"/>
  <c r="AL85" i="15"/>
  <c r="AT89" i="15"/>
  <c r="AF129" i="14"/>
  <c r="AD124" i="14"/>
  <c r="W83" i="15"/>
  <c r="AL100" i="15"/>
  <c r="AN79" i="15"/>
  <c r="W73" i="15"/>
  <c r="AT113" i="14"/>
  <c r="AN85" i="15"/>
  <c r="AF89" i="15"/>
  <c r="N129" i="14"/>
  <c r="AT124" i="14"/>
  <c r="AD83" i="15"/>
  <c r="AL99" i="15"/>
  <c r="AN100" i="15"/>
  <c r="W95" i="15"/>
  <c r="U92" i="15"/>
  <c r="W113" i="14"/>
  <c r="W85" i="15"/>
  <c r="N132" i="14"/>
  <c r="AD129" i="14"/>
  <c r="AT83" i="15"/>
  <c r="AT98" i="15"/>
  <c r="AL79" i="15"/>
  <c r="AL95" i="15"/>
  <c r="W132" i="14"/>
  <c r="W129" i="14"/>
  <c r="AF83" i="15"/>
  <c r="AD121" i="14"/>
  <c r="N79" i="15"/>
  <c r="AN95" i="15"/>
  <c r="AT92" i="15"/>
  <c r="AT132" i="14"/>
  <c r="AL129" i="14"/>
  <c r="N83" i="15"/>
  <c r="N139" i="14"/>
  <c r="AF81" i="15"/>
  <c r="W121" i="14"/>
  <c r="AL98" i="15"/>
  <c r="AD119" i="14"/>
  <c r="N92" i="15"/>
  <c r="AL132" i="14"/>
  <c r="N112" i="14"/>
  <c r="N82" i="15"/>
  <c r="AT129" i="14"/>
  <c r="AD136" i="14"/>
  <c r="AD139" i="14"/>
  <c r="AT81" i="15"/>
  <c r="AT121" i="14"/>
  <c r="AF98" i="15"/>
  <c r="N119" i="14"/>
  <c r="AD95" i="15"/>
  <c r="AN92" i="15"/>
  <c r="AN132" i="14"/>
  <c r="AF125" i="14"/>
  <c r="U112" i="14"/>
  <c r="AF94" i="15"/>
  <c r="U139" i="14"/>
  <c r="U121" i="14"/>
  <c r="W98" i="15"/>
  <c r="AD140" i="14"/>
  <c r="U119" i="14"/>
  <c r="AT95" i="15"/>
  <c r="AF92" i="15"/>
  <c r="AD132" i="14"/>
  <c r="AF78" i="15"/>
  <c r="N125" i="14"/>
  <c r="W112" i="14"/>
  <c r="D291" i="1"/>
  <c r="AT139" i="14"/>
  <c r="U81" i="15"/>
  <c r="AN121" i="14"/>
  <c r="AT133" i="14"/>
  <c r="N98" i="15"/>
  <c r="U140" i="14"/>
  <c r="AT119" i="14"/>
  <c r="U132" i="14"/>
  <c r="W78" i="15"/>
  <c r="U125" i="14"/>
  <c r="AD112" i="14"/>
  <c r="AD117" i="14"/>
  <c r="W84" i="15"/>
  <c r="W131" i="14"/>
  <c r="N94" i="15"/>
  <c r="AF139" i="14"/>
  <c r="AF121" i="14"/>
  <c r="N133" i="14"/>
  <c r="AT140" i="14"/>
  <c r="AF119" i="14"/>
  <c r="N95" i="15"/>
  <c r="AL72" i="15"/>
  <c r="N78" i="15"/>
  <c r="W125" i="14"/>
  <c r="AF112" i="14"/>
  <c r="U117" i="14"/>
  <c r="N84" i="15"/>
  <c r="AL131" i="14"/>
  <c r="U94" i="15"/>
  <c r="AN139" i="14"/>
  <c r="AL81" i="15"/>
  <c r="N121" i="14"/>
  <c r="U133" i="14"/>
  <c r="AN140" i="14"/>
  <c r="AN119" i="14"/>
  <c r="U95" i="15"/>
  <c r="AF135" i="14"/>
  <c r="W72" i="15"/>
  <c r="AD78" i="15"/>
  <c r="AL125" i="14"/>
  <c r="AT112" i="14"/>
  <c r="AF117" i="14"/>
  <c r="AT84" i="15"/>
  <c r="AT131" i="14"/>
  <c r="AD94" i="15"/>
  <c r="W139" i="14"/>
  <c r="AD81" i="15"/>
  <c r="AD133" i="14"/>
  <c r="AF140" i="14"/>
  <c r="W119" i="14"/>
  <c r="AL135" i="14"/>
  <c r="AF72" i="15"/>
  <c r="AN78" i="15"/>
  <c r="AD125" i="14"/>
  <c r="AL112" i="14"/>
  <c r="AT117" i="14"/>
  <c r="AN84" i="15"/>
  <c r="AN131" i="14"/>
  <c r="AL94" i="15"/>
  <c r="AT123" i="14"/>
  <c r="AN134" i="14"/>
  <c r="N81" i="15"/>
  <c r="W133" i="14"/>
  <c r="N140" i="14"/>
  <c r="W135" i="14"/>
  <c r="U78" i="15"/>
  <c r="AT125" i="14"/>
  <c r="AN117" i="14"/>
  <c r="AD137" i="14"/>
  <c r="AD84" i="15"/>
  <c r="AD131" i="14"/>
  <c r="AT94" i="15"/>
  <c r="N123" i="14"/>
  <c r="U134" i="14"/>
  <c r="W81" i="15"/>
  <c r="AN133" i="14"/>
  <c r="W140" i="14"/>
  <c r="N138" i="14"/>
  <c r="AF73" i="15"/>
  <c r="AD135" i="14"/>
  <c r="AD85" i="15"/>
  <c r="AD72" i="15"/>
  <c r="AT78" i="15"/>
  <c r="N117" i="14"/>
  <c r="U131" i="14"/>
  <c r="W94" i="15"/>
  <c r="U123" i="14"/>
  <c r="W134" i="14"/>
  <c r="AL133" i="14"/>
  <c r="U138" i="14"/>
  <c r="U135" i="14"/>
  <c r="U85" i="15"/>
  <c r="AN72" i="15"/>
  <c r="AL89" i="15"/>
  <c r="AT100" i="15"/>
  <c r="AL73" i="15"/>
  <c r="L672" i="3"/>
  <c r="X520" i="3" l="1"/>
  <c r="Z521" i="3"/>
  <c r="X521" i="3" s="1"/>
  <c r="E673" i="3"/>
  <c r="Z522" i="3" l="1"/>
  <c r="Z523" i="3" s="1"/>
  <c r="E675" i="3"/>
  <c r="L675" i="3" s="1"/>
  <c r="E674" i="3"/>
  <c r="L674" i="3" s="1"/>
  <c r="L673" i="3"/>
  <c r="F821" i="3" s="1"/>
  <c r="Z525" i="3" l="1"/>
  <c r="X525" i="3" s="1"/>
  <c r="Z524" i="3"/>
  <c r="E676" i="3"/>
  <c r="L676" i="3" s="1"/>
  <c r="F822" i="3" s="1"/>
  <c r="Z526" i="3" l="1"/>
  <c r="Z528" i="3" s="1"/>
  <c r="E677" i="3"/>
  <c r="L677" i="3" s="1"/>
  <c r="E678" i="3"/>
  <c r="L678" i="3" s="1"/>
  <c r="Z527" i="3" l="1"/>
  <c r="Z529" i="3" s="1"/>
  <c r="Z531" i="3" s="1"/>
  <c r="E679" i="3"/>
  <c r="L679" i="3" s="1"/>
  <c r="F823" i="3" s="1"/>
  <c r="Z530" i="3" l="1"/>
  <c r="Z532" i="3" s="1"/>
  <c r="Z534" i="3" s="1"/>
  <c r="E680" i="3"/>
  <c r="Z533" i="3" l="1"/>
  <c r="Z535" i="3" s="1"/>
  <c r="Z537" i="3" s="1"/>
  <c r="L680" i="3"/>
  <c r="E682" i="3"/>
  <c r="E681" i="3"/>
  <c r="Z536" i="3" l="1"/>
  <c r="L681" i="3"/>
  <c r="E683" i="3"/>
  <c r="L683" i="3" s="1"/>
  <c r="L682" i="3"/>
  <c r="Y682" i="3"/>
  <c r="Z538" i="3" l="1"/>
  <c r="Z540" i="3" s="1"/>
  <c r="X536" i="3"/>
  <c r="E685" i="3"/>
  <c r="L685" i="3" s="1"/>
  <c r="F824" i="3"/>
  <c r="E684" i="3"/>
  <c r="L684" i="3" s="1"/>
  <c r="Z539" i="3" l="1"/>
  <c r="Z541" i="3" s="1"/>
  <c r="Z543" i="3" s="1"/>
  <c r="F825" i="3"/>
  <c r="Z542" i="3" l="1"/>
  <c r="Z544" i="3" s="1"/>
  <c r="Z546" i="3" s="1"/>
  <c r="X545" i="3"/>
  <c r="E687" i="3"/>
  <c r="L687" i="3" s="1"/>
  <c r="E686" i="3"/>
  <c r="L686" i="3" s="1"/>
  <c r="Z545" i="3" l="1"/>
  <c r="Z547" i="3" s="1"/>
  <c r="Z549" i="3" s="1"/>
  <c r="E688" i="3"/>
  <c r="L688" i="3" s="1"/>
  <c r="F826" i="3" s="1"/>
  <c r="Z548" i="3" l="1"/>
  <c r="Z550" i="3" s="1"/>
  <c r="Z552" i="3" s="1"/>
  <c r="E689" i="3"/>
  <c r="L689" i="3" s="1"/>
  <c r="Z551" i="3" l="1"/>
  <c r="Z553" i="3" s="1"/>
  <c r="Z555" i="3" s="1"/>
  <c r="E690" i="3"/>
  <c r="L690" i="3" s="1"/>
  <c r="Z554" i="3" l="1"/>
  <c r="Z556" i="3" s="1"/>
  <c r="Z558" i="3" s="1"/>
  <c r="E691" i="3"/>
  <c r="L691" i="3" s="1"/>
  <c r="F827" i="3" s="1"/>
  <c r="Z557" i="3" l="1"/>
  <c r="Z559" i="3" s="1"/>
  <c r="Z561" i="3" s="1"/>
  <c r="E693" i="3"/>
  <c r="L693" i="3" s="1"/>
  <c r="E692" i="3"/>
  <c r="L692" i="3" s="1"/>
  <c r="Z560" i="3" l="1"/>
  <c r="Z562" i="3" s="1"/>
  <c r="Z564" i="3" s="1"/>
  <c r="E694" i="3"/>
  <c r="L694" i="3" s="1"/>
  <c r="F828" i="3" s="1"/>
  <c r="Z563" i="3" l="1"/>
  <c r="Z565" i="3" s="1"/>
  <c r="Z567" i="3" s="1"/>
  <c r="E695" i="3"/>
  <c r="L695" i="3" s="1"/>
  <c r="Z566" i="3" l="1"/>
  <c r="Z568" i="3" s="1"/>
  <c r="Z570" i="3" s="1"/>
  <c r="E696" i="3"/>
  <c r="L696" i="3" s="1"/>
  <c r="Z569" i="3" l="1"/>
  <c r="Z571" i="3" s="1"/>
  <c r="Z573" i="3" s="1"/>
  <c r="E697" i="3"/>
  <c r="L697" i="3" s="1"/>
  <c r="F829" i="3" s="1"/>
  <c r="Z572" i="3" l="1"/>
  <c r="Z574" i="3" s="1"/>
  <c r="Z576" i="3" s="1"/>
  <c r="E698" i="3"/>
  <c r="Z575" i="3" l="1"/>
  <c r="Z577" i="3" s="1"/>
  <c r="Z579" i="3" s="1"/>
  <c r="E699" i="3"/>
  <c r="AQ872" i="8"/>
  <c r="K698" i="3"/>
  <c r="L698" i="3"/>
  <c r="J698" i="3"/>
  <c r="Y698" i="3"/>
  <c r="Z578" i="3" l="1"/>
  <c r="Z580" i="3"/>
  <c r="Z582" i="3" s="1"/>
  <c r="X578" i="3"/>
  <c r="AQ874" i="8"/>
  <c r="J699" i="3"/>
  <c r="K699" i="3"/>
  <c r="L699" i="3"/>
  <c r="Y699" i="3"/>
  <c r="E700" i="3"/>
  <c r="Z581" i="3" l="1"/>
  <c r="Z583" i="3" s="1"/>
  <c r="Z585" i="3" s="1"/>
  <c r="E702" i="3"/>
  <c r="AQ876" i="8"/>
  <c r="L700" i="3"/>
  <c r="F830" i="3" s="1"/>
  <c r="K700" i="3"/>
  <c r="J700" i="3"/>
  <c r="D830" i="3" s="1"/>
  <c r="Y700" i="3"/>
  <c r="E701" i="3"/>
  <c r="Z584" i="3" l="1"/>
  <c r="Z586" i="3" s="1"/>
  <c r="Z588" i="3" s="1"/>
  <c r="N279" i="14"/>
  <c r="P872" i="8"/>
  <c r="E703" i="3"/>
  <c r="K701" i="3"/>
  <c r="AQ879" i="8"/>
  <c r="L701" i="3"/>
  <c r="J701" i="3"/>
  <c r="Y701" i="3"/>
  <c r="L702" i="3"/>
  <c r="K702" i="3"/>
  <c r="J702" i="3"/>
  <c r="AQ881" i="8"/>
  <c r="Y702" i="3"/>
  <c r="M698" i="3"/>
  <c r="E830" i="3"/>
  <c r="G830" i="3" s="1"/>
  <c r="Z587" i="3" l="1"/>
  <c r="Z589" i="3" s="1"/>
  <c r="Z591" i="3" s="1"/>
  <c r="M699" i="3"/>
  <c r="Z698" i="3"/>
  <c r="E704" i="3"/>
  <c r="L703" i="3"/>
  <c r="F831" i="3" s="1"/>
  <c r="K703" i="3"/>
  <c r="E831" i="3" s="1"/>
  <c r="AQ883" i="8"/>
  <c r="J703" i="3"/>
  <c r="D831" i="3" s="1"/>
  <c r="Y703" i="3"/>
  <c r="R872" i="8"/>
  <c r="W279" i="14"/>
  <c r="AF279" i="14" s="1"/>
  <c r="Z590" i="3" l="1"/>
  <c r="G831" i="3"/>
  <c r="E705" i="3"/>
  <c r="M701" i="3"/>
  <c r="P879" i="8"/>
  <c r="N280" i="14"/>
  <c r="L704" i="3"/>
  <c r="AQ886" i="8"/>
  <c r="K704" i="3"/>
  <c r="Y704" i="3"/>
  <c r="W280" i="14"/>
  <c r="AF280" i="14" s="1"/>
  <c r="R879" i="8"/>
  <c r="M700" i="3"/>
  <c r="Z700" i="3" s="1"/>
  <c r="Z699" i="3"/>
  <c r="Z592" i="3" l="1"/>
  <c r="Z594" i="3" s="1"/>
  <c r="X590" i="3"/>
  <c r="M702" i="3"/>
  <c r="Z701" i="3"/>
  <c r="L705" i="3"/>
  <c r="J705" i="3"/>
  <c r="K705" i="3"/>
  <c r="AQ888" i="8"/>
  <c r="Y705" i="3"/>
  <c r="E706" i="3"/>
  <c r="J704" i="3"/>
  <c r="Z593" i="3" l="1"/>
  <c r="Z595" i="3" s="1"/>
  <c r="Z597" i="3" s="1"/>
  <c r="E707" i="3"/>
  <c r="L706" i="3"/>
  <c r="F832" i="3" s="1"/>
  <c r="K706" i="3"/>
  <c r="AQ890" i="8"/>
  <c r="J706" i="3"/>
  <c r="D832" i="3" s="1"/>
  <c r="Y706" i="3"/>
  <c r="M703" i="3"/>
  <c r="Z703" i="3" s="1"/>
  <c r="Z702" i="3"/>
  <c r="Z596" i="3" l="1"/>
  <c r="Z598" i="3" s="1"/>
  <c r="Z600" i="3" s="1"/>
  <c r="P886" i="8"/>
  <c r="N281" i="14"/>
  <c r="E832" i="3"/>
  <c r="G832" i="3" s="1"/>
  <c r="M704" i="3"/>
  <c r="E708" i="3"/>
  <c r="AQ893" i="8"/>
  <c r="L707" i="3"/>
  <c r="K707" i="3"/>
  <c r="Y707" i="3"/>
  <c r="J707" i="3"/>
  <c r="Z599" i="3" l="1"/>
  <c r="Z601" i="3" s="1"/>
  <c r="Z603" i="3" s="1"/>
  <c r="E709" i="3"/>
  <c r="M705" i="3"/>
  <c r="Z704" i="3"/>
  <c r="R886" i="8"/>
  <c r="W281" i="14"/>
  <c r="AF281" i="14" s="1"/>
  <c r="K708" i="3"/>
  <c r="AQ895" i="8"/>
  <c r="J708" i="3"/>
  <c r="L708" i="3"/>
  <c r="Y708" i="3"/>
  <c r="Z602" i="3" l="1"/>
  <c r="Z604" i="3" s="1"/>
  <c r="Z606" i="3" s="1"/>
  <c r="E710" i="3"/>
  <c r="AQ897" i="8"/>
  <c r="L709" i="3"/>
  <c r="J709" i="3" s="1"/>
  <c r="K709" i="3"/>
  <c r="E833" i="3" s="1"/>
  <c r="Y709" i="3"/>
  <c r="M706" i="3"/>
  <c r="Z706" i="3" s="1"/>
  <c r="Z705" i="3"/>
  <c r="D833" i="3"/>
  <c r="Z605" i="3" l="1"/>
  <c r="Z607" i="3" s="1"/>
  <c r="Z609" i="3" s="1"/>
  <c r="F833" i="3"/>
  <c r="G833" i="3" s="1"/>
  <c r="M707" i="3"/>
  <c r="M708" i="3" s="1"/>
  <c r="E711" i="3"/>
  <c r="P893" i="8"/>
  <c r="N282" i="14"/>
  <c r="L710" i="3"/>
  <c r="AQ900" i="8"/>
  <c r="K710" i="3"/>
  <c r="J710" i="3"/>
  <c r="Y710" i="3"/>
  <c r="R893" i="8" l="1"/>
  <c r="W282" i="14"/>
  <c r="AF282" i="14" s="1"/>
  <c r="H833" i="3"/>
  <c r="Z608" i="3"/>
  <c r="Z610" i="3" s="1"/>
  <c r="Z612" i="3" s="1"/>
  <c r="Z707" i="3"/>
  <c r="E713" i="3"/>
  <c r="V893" i="8"/>
  <c r="AM282" i="14"/>
  <c r="E712" i="3"/>
  <c r="K711" i="3"/>
  <c r="L711" i="3"/>
  <c r="AQ902" i="8"/>
  <c r="J711" i="3"/>
  <c r="Y711" i="3"/>
  <c r="M709" i="3"/>
  <c r="Z709" i="3" s="1"/>
  <c r="Z708" i="3"/>
  <c r="Z611" i="3" l="1"/>
  <c r="Z613" i="3" s="1"/>
  <c r="Z615" i="3" s="1"/>
  <c r="AQ907" i="8"/>
  <c r="L713" i="3"/>
  <c r="K713" i="3"/>
  <c r="Y713" i="3"/>
  <c r="K712" i="3"/>
  <c r="E834" i="3" s="1"/>
  <c r="L712" i="3"/>
  <c r="J712" i="3" s="1"/>
  <c r="D834" i="3" s="1"/>
  <c r="AQ904" i="8"/>
  <c r="Y712" i="3"/>
  <c r="E714" i="3"/>
  <c r="Z614" i="3" l="1"/>
  <c r="Z616" i="3" s="1"/>
  <c r="Z618" i="3" s="1"/>
  <c r="M710" i="3"/>
  <c r="N283" i="14"/>
  <c r="P900" i="8"/>
  <c r="E715" i="3"/>
  <c r="M711" i="3"/>
  <c r="Z710" i="3"/>
  <c r="L714" i="3"/>
  <c r="K714" i="3"/>
  <c r="AQ909" i="8"/>
  <c r="J714" i="3"/>
  <c r="Y714" i="3"/>
  <c r="J713" i="3"/>
  <c r="F834" i="3"/>
  <c r="G834" i="3" s="1"/>
  <c r="Z617" i="3" l="1"/>
  <c r="Z619" i="3" s="1"/>
  <c r="Z621" i="3" s="1"/>
  <c r="E716" i="3"/>
  <c r="W283" i="14"/>
  <c r="AF283" i="14" s="1"/>
  <c r="H834" i="3"/>
  <c r="R900" i="8"/>
  <c r="M712" i="3"/>
  <c r="Z712" i="3" s="1"/>
  <c r="Z711" i="3"/>
  <c r="AQ911" i="8"/>
  <c r="K715" i="3"/>
  <c r="E835" i="3" s="1"/>
  <c r="L715" i="3"/>
  <c r="F835" i="3" s="1"/>
  <c r="J715" i="3"/>
  <c r="Y715" i="3"/>
  <c r="Z620" i="3" l="1"/>
  <c r="Z622" i="3" s="1"/>
  <c r="Z624" i="3" s="1"/>
  <c r="G835" i="3"/>
  <c r="AM283" i="14"/>
  <c r="V900" i="8"/>
  <c r="M713" i="3"/>
  <c r="E717" i="3"/>
  <c r="D835" i="3"/>
  <c r="L716" i="3"/>
  <c r="K716" i="3"/>
  <c r="AQ914" i="8"/>
  <c r="J716" i="3"/>
  <c r="Y716" i="3"/>
  <c r="Z623" i="3" l="1"/>
  <c r="Z625" i="3" s="1"/>
  <c r="K717" i="3"/>
  <c r="L717" i="3"/>
  <c r="J717" i="3"/>
  <c r="AQ916" i="8"/>
  <c r="Y717" i="3"/>
  <c r="E718" i="3"/>
  <c r="P907" i="8"/>
  <c r="N284" i="14"/>
  <c r="M714" i="3"/>
  <c r="Z713" i="3"/>
  <c r="W284" i="14"/>
  <c r="AF284" i="14" s="1"/>
  <c r="H835" i="3"/>
  <c r="R907" i="8"/>
  <c r="X625" i="3" l="1"/>
  <c r="Z626" i="3"/>
  <c r="V907" i="8"/>
  <c r="AM284" i="14"/>
  <c r="E719" i="3"/>
  <c r="M715" i="3"/>
  <c r="Z715" i="3" s="1"/>
  <c r="Z714" i="3"/>
  <c r="L718" i="3"/>
  <c r="F836" i="3" s="1"/>
  <c r="AQ918" i="8"/>
  <c r="K718" i="3"/>
  <c r="Y718" i="3"/>
  <c r="J718" i="3"/>
  <c r="D836" i="3" s="1"/>
  <c r="Z627" i="3" l="1"/>
  <c r="Z628" i="3" s="1"/>
  <c r="Z630" i="3" s="1"/>
  <c r="E721" i="3"/>
  <c r="P914" i="8"/>
  <c r="N285" i="14"/>
  <c r="M716" i="3"/>
  <c r="E836" i="3"/>
  <c r="G836" i="3" s="1"/>
  <c r="E720" i="3"/>
  <c r="K719" i="3"/>
  <c r="AQ921" i="8"/>
  <c r="L719" i="3"/>
  <c r="Y719" i="3"/>
  <c r="Z629" i="3" l="1"/>
  <c r="Z631" i="3" s="1"/>
  <c r="Z633" i="3" s="1"/>
  <c r="E722" i="3"/>
  <c r="J719" i="3"/>
  <c r="W285" i="14"/>
  <c r="AF285" i="14" s="1"/>
  <c r="H836" i="3"/>
  <c r="R914" i="8"/>
  <c r="L721" i="3"/>
  <c r="J721" i="3" s="1"/>
  <c r="K721" i="3"/>
  <c r="AQ925" i="8"/>
  <c r="Y721" i="3"/>
  <c r="AQ923" i="8"/>
  <c r="K720" i="3"/>
  <c r="J720" i="3"/>
  <c r="L720" i="3"/>
  <c r="F837" i="3" s="1"/>
  <c r="Y720" i="3"/>
  <c r="M717" i="3"/>
  <c r="Z716" i="3"/>
  <c r="Z632" i="3" l="1"/>
  <c r="Z634" i="3" s="1"/>
  <c r="Z636" i="3" s="1"/>
  <c r="M719" i="3"/>
  <c r="Z719" i="3" s="1"/>
  <c r="X719" i="3" s="1"/>
  <c r="E723" i="3"/>
  <c r="M718" i="3"/>
  <c r="Z718" i="3" s="1"/>
  <c r="X718" i="3" s="1"/>
  <c r="Z717" i="3"/>
  <c r="E837" i="3"/>
  <c r="G837" i="3" s="1"/>
  <c r="V914" i="8"/>
  <c r="AM285" i="14"/>
  <c r="K722" i="3"/>
  <c r="AQ928" i="8"/>
  <c r="L722" i="3"/>
  <c r="J722" i="3"/>
  <c r="Y722" i="3"/>
  <c r="D837" i="3"/>
  <c r="Z635" i="3" l="1"/>
  <c r="Z637" i="3" s="1"/>
  <c r="Z639" i="3" s="1"/>
  <c r="M720" i="3"/>
  <c r="W286" i="14"/>
  <c r="AF286" i="14" s="1"/>
  <c r="R921" i="8"/>
  <c r="H837" i="3"/>
  <c r="E724" i="3"/>
  <c r="Y723" i="3"/>
  <c r="K723" i="3"/>
  <c r="AQ930" i="8"/>
  <c r="J723" i="3"/>
  <c r="L723" i="3"/>
  <c r="W718" i="3"/>
  <c r="X918" i="8"/>
  <c r="N286" i="14"/>
  <c r="P921" i="8"/>
  <c r="W719" i="3"/>
  <c r="X921" i="8"/>
  <c r="Z638" i="3" l="1"/>
  <c r="Z640" i="3" s="1"/>
  <c r="Z642" i="3" s="1"/>
  <c r="M721" i="3"/>
  <c r="Z721" i="3" s="1"/>
  <c r="X721" i="3" s="1"/>
  <c r="Z720" i="3"/>
  <c r="X720" i="3" s="1"/>
  <c r="E725" i="3"/>
  <c r="AQ932" i="8"/>
  <c r="K724" i="3"/>
  <c r="L724" i="3"/>
  <c r="F838" i="3" s="1"/>
  <c r="J724" i="3"/>
  <c r="D838" i="3" s="1"/>
  <c r="Y724" i="3"/>
  <c r="V921" i="8"/>
  <c r="AM286" i="14"/>
  <c r="Z641" i="3" l="1"/>
  <c r="Z643" i="3" s="1"/>
  <c r="Z645" i="3" s="1"/>
  <c r="W721" i="3"/>
  <c r="X925" i="8"/>
  <c r="X923" i="8"/>
  <c r="W720" i="3"/>
  <c r="M722" i="3"/>
  <c r="M723" i="3" s="1"/>
  <c r="E726" i="3"/>
  <c r="P928" i="8"/>
  <c r="N287" i="14"/>
  <c r="L725" i="3"/>
  <c r="J725" i="3" s="1"/>
  <c r="AQ935" i="8"/>
  <c r="K725" i="3"/>
  <c r="Y725" i="3"/>
  <c r="E838" i="3"/>
  <c r="G838" i="3" s="1"/>
  <c r="Z644" i="3" l="1"/>
  <c r="Z646" i="3" s="1"/>
  <c r="Z648" i="3" s="1"/>
  <c r="Z722" i="3"/>
  <c r="X722" i="3" s="1"/>
  <c r="W722" i="3" s="1"/>
  <c r="E727" i="3"/>
  <c r="W287" i="14"/>
  <c r="AF287" i="14" s="1"/>
  <c r="R928" i="8"/>
  <c r="H838" i="3"/>
  <c r="K726" i="3"/>
  <c r="J726" i="3"/>
  <c r="L726" i="3"/>
  <c r="AQ937" i="8"/>
  <c r="Y726" i="3"/>
  <c r="M724" i="3"/>
  <c r="Z724" i="3" s="1"/>
  <c r="X724" i="3" s="1"/>
  <c r="Z723" i="3"/>
  <c r="X723" i="3" s="1"/>
  <c r="Z647" i="3" l="1"/>
  <c r="Z649" i="3" s="1"/>
  <c r="Z651" i="3" s="1"/>
  <c r="X928" i="8"/>
  <c r="X932" i="8"/>
  <c r="W724" i="3"/>
  <c r="L727" i="3"/>
  <c r="F839" i="3" s="1"/>
  <c r="AQ939" i="8"/>
  <c r="K727" i="3"/>
  <c r="E839" i="3" s="1"/>
  <c r="J727" i="3"/>
  <c r="D839" i="3" s="1"/>
  <c r="Y727" i="3"/>
  <c r="E728" i="3"/>
  <c r="W723" i="3"/>
  <c r="X930" i="8"/>
  <c r="V928" i="8"/>
  <c r="AM287" i="14"/>
  <c r="Z650" i="3" l="1"/>
  <c r="Z652" i="3" s="1"/>
  <c r="Z653" i="3" s="1"/>
  <c r="X652" i="3"/>
  <c r="G839" i="3"/>
  <c r="H839" i="3" s="1"/>
  <c r="E730" i="3"/>
  <c r="P935" i="8"/>
  <c r="N288" i="14"/>
  <c r="E729" i="3"/>
  <c r="AQ942" i="8"/>
  <c r="K728" i="3"/>
  <c r="L728" i="3"/>
  <c r="J728" i="3"/>
  <c r="Y728" i="3"/>
  <c r="M725" i="3"/>
  <c r="Z654" i="3" l="1"/>
  <c r="Z655" i="3" s="1"/>
  <c r="Z657" i="3" s="1"/>
  <c r="W288" i="14"/>
  <c r="AF288" i="14" s="1"/>
  <c r="R935" i="8"/>
  <c r="E731" i="3"/>
  <c r="AM288" i="14"/>
  <c r="V935" i="8"/>
  <c r="L730" i="3"/>
  <c r="K730" i="3"/>
  <c r="AQ946" i="8"/>
  <c r="J730" i="3"/>
  <c r="Y730" i="3"/>
  <c r="J729" i="3"/>
  <c r="L729" i="3"/>
  <c r="K729" i="3"/>
  <c r="AQ944" i="8"/>
  <c r="Y729" i="3"/>
  <c r="M726" i="3"/>
  <c r="Z725" i="3"/>
  <c r="X725" i="3" s="1"/>
  <c r="Z656" i="3" l="1"/>
  <c r="Z658" i="3" s="1"/>
  <c r="Z659" i="3" s="1"/>
  <c r="M728" i="3"/>
  <c r="M729" i="3" s="1"/>
  <c r="E732" i="3"/>
  <c r="W725" i="3"/>
  <c r="X935" i="8"/>
  <c r="M727" i="3"/>
  <c r="Z727" i="3" s="1"/>
  <c r="X727" i="3" s="1"/>
  <c r="Z726" i="3"/>
  <c r="X726" i="3" s="1"/>
  <c r="F840" i="3"/>
  <c r="AQ949" i="8"/>
  <c r="K731" i="3"/>
  <c r="L731" i="3"/>
  <c r="J731" i="3"/>
  <c r="Y731" i="3"/>
  <c r="E840" i="3"/>
  <c r="G840" i="3" s="1"/>
  <c r="D840" i="3"/>
  <c r="Z660" i="3" l="1"/>
  <c r="Z661" i="3" s="1"/>
  <c r="Z663" i="3" s="1"/>
  <c r="Z728" i="3"/>
  <c r="X728" i="3" s="1"/>
  <c r="W728" i="3" s="1"/>
  <c r="M730" i="3"/>
  <c r="Z730" i="3" s="1"/>
  <c r="X730" i="3" s="1"/>
  <c r="W730" i="3" s="1"/>
  <c r="Z729" i="3"/>
  <c r="X729" i="3" s="1"/>
  <c r="X944" i="8" s="1"/>
  <c r="L732" i="3"/>
  <c r="K732" i="3"/>
  <c r="J732" i="3"/>
  <c r="AQ951" i="8"/>
  <c r="Y732" i="3"/>
  <c r="E733" i="3"/>
  <c r="W727" i="3"/>
  <c r="X939" i="8"/>
  <c r="W289" i="14"/>
  <c r="AF289" i="14" s="1"/>
  <c r="R942" i="8"/>
  <c r="H840" i="3"/>
  <c r="P942" i="8"/>
  <c r="N289" i="14"/>
  <c r="X937" i="8"/>
  <c r="W726" i="3"/>
  <c r="X942" i="8"/>
  <c r="Z662" i="3" l="1"/>
  <c r="X946" i="8"/>
  <c r="W729" i="3"/>
  <c r="E734" i="3"/>
  <c r="V942" i="8"/>
  <c r="AM289" i="14"/>
  <c r="AQ953" i="8"/>
  <c r="K733" i="3"/>
  <c r="L733" i="3"/>
  <c r="J733" i="3" s="1"/>
  <c r="D841" i="3" s="1"/>
  <c r="Y733" i="3"/>
  <c r="P949" i="8" l="1"/>
  <c r="N290" i="14"/>
  <c r="M731" i="3"/>
  <c r="E841" i="3"/>
  <c r="AQ956" i="8"/>
  <c r="K734" i="3"/>
  <c r="L734" i="3"/>
  <c r="J734" i="3" s="1"/>
  <c r="Y734" i="3"/>
  <c r="E735" i="3"/>
  <c r="F841" i="3"/>
  <c r="E736" i="3" l="1"/>
  <c r="M732" i="3"/>
  <c r="Z731" i="3"/>
  <c r="X731" i="3" s="1"/>
  <c r="J735" i="3"/>
  <c r="K735" i="3"/>
  <c r="AQ958" i="8"/>
  <c r="L735" i="3"/>
  <c r="Y735" i="3"/>
  <c r="G841" i="3"/>
  <c r="E737" i="3" l="1"/>
  <c r="W290" i="14"/>
  <c r="AF290" i="14" s="1"/>
  <c r="H841" i="3"/>
  <c r="R949" i="8"/>
  <c r="W731" i="3"/>
  <c r="X949" i="8"/>
  <c r="L736" i="3"/>
  <c r="F842" i="3" s="1"/>
  <c r="AQ960" i="8"/>
  <c r="K736" i="3"/>
  <c r="E842" i="3" s="1"/>
  <c r="J736" i="3"/>
  <c r="D842" i="3" s="1"/>
  <c r="Y736" i="3"/>
  <c r="M733" i="3"/>
  <c r="Z733" i="3" s="1"/>
  <c r="X733" i="3" s="1"/>
  <c r="Z732" i="3"/>
  <c r="X732" i="3" s="1"/>
  <c r="G842" i="3" l="1"/>
  <c r="N291" i="14"/>
  <c r="P956" i="8"/>
  <c r="E738" i="3"/>
  <c r="W291" i="14"/>
  <c r="AF291" i="14" s="1"/>
  <c r="R956" i="8"/>
  <c r="H842" i="3"/>
  <c r="V949" i="8"/>
  <c r="AM290" i="14"/>
  <c r="X953" i="8"/>
  <c r="W733" i="3"/>
  <c r="K737" i="3"/>
  <c r="L737" i="3"/>
  <c r="J737" i="3" s="1"/>
  <c r="AQ963" i="8"/>
  <c r="Y737" i="3"/>
  <c r="X951" i="8"/>
  <c r="W732" i="3"/>
  <c r="M734" i="3"/>
  <c r="M735" i="3" l="1"/>
  <c r="Z734" i="3"/>
  <c r="X734" i="3" s="1"/>
  <c r="E739" i="3"/>
  <c r="V956" i="8"/>
  <c r="AM291" i="14"/>
  <c r="J738" i="3"/>
  <c r="K738" i="3"/>
  <c r="AQ965" i="8"/>
  <c r="L738" i="3"/>
  <c r="Y738" i="3"/>
  <c r="E741" i="3" l="1"/>
  <c r="L739" i="3"/>
  <c r="F843" i="3" s="1"/>
  <c r="AQ967" i="8"/>
  <c r="K739" i="3"/>
  <c r="E843" i="3" s="1"/>
  <c r="J739" i="3"/>
  <c r="D843" i="3" s="1"/>
  <c r="Y739" i="3"/>
  <c r="W734" i="3"/>
  <c r="X956" i="8"/>
  <c r="E740" i="3"/>
  <c r="M736" i="3"/>
  <c r="Z736" i="3" s="1"/>
  <c r="X736" i="3" s="1"/>
  <c r="Z735" i="3"/>
  <c r="X735" i="3" s="1"/>
  <c r="G843" i="3" l="1"/>
  <c r="N292" i="14"/>
  <c r="P963" i="8"/>
  <c r="W292" i="14"/>
  <c r="AF292" i="14" s="1"/>
  <c r="R963" i="8"/>
  <c r="H843" i="3"/>
  <c r="W735" i="3"/>
  <c r="X958" i="8"/>
  <c r="W736" i="3"/>
  <c r="X960" i="8"/>
  <c r="L740" i="3"/>
  <c r="K740" i="3"/>
  <c r="AQ970" i="8"/>
  <c r="J740" i="3"/>
  <c r="Y740" i="3"/>
  <c r="E742" i="3"/>
  <c r="K741" i="3"/>
  <c r="J741" i="3"/>
  <c r="L741" i="3"/>
  <c r="AQ972" i="8"/>
  <c r="Y741" i="3"/>
  <c r="M737" i="3"/>
  <c r="E744" i="3" l="1"/>
  <c r="K742" i="3"/>
  <c r="E844" i="3" s="1"/>
  <c r="L742" i="3"/>
  <c r="F844" i="3" s="1"/>
  <c r="AQ974" i="8"/>
  <c r="J742" i="3"/>
  <c r="D844" i="3" s="1"/>
  <c r="Y742" i="3"/>
  <c r="V963" i="8"/>
  <c r="AM292" i="14"/>
  <c r="M738" i="3"/>
  <c r="Z737" i="3"/>
  <c r="X737" i="3" s="1"/>
  <c r="M740" i="3"/>
  <c r="M741" i="3" s="1"/>
  <c r="M742" i="3" s="1"/>
  <c r="Z742" i="3" s="1"/>
  <c r="X742" i="3" s="1"/>
  <c r="E743" i="3"/>
  <c r="G844" i="3" l="1"/>
  <c r="P970" i="8"/>
  <c r="N293" i="14"/>
  <c r="L743" i="3"/>
  <c r="AQ977" i="8"/>
  <c r="K743" i="3"/>
  <c r="J743" i="3"/>
  <c r="Y743" i="3"/>
  <c r="E745" i="3"/>
  <c r="W742" i="3"/>
  <c r="X974" i="8"/>
  <c r="W737" i="3"/>
  <c r="X963" i="8"/>
  <c r="Z741" i="3"/>
  <c r="X741" i="3" s="1"/>
  <c r="M739" i="3"/>
  <c r="Z739" i="3" s="1"/>
  <c r="X739" i="3" s="1"/>
  <c r="Z738" i="3"/>
  <c r="X738" i="3" s="1"/>
  <c r="Z740" i="3"/>
  <c r="X740" i="3" s="1"/>
  <c r="K744" i="3"/>
  <c r="L744" i="3"/>
  <c r="AQ979" i="8"/>
  <c r="J744" i="3"/>
  <c r="Y744" i="3"/>
  <c r="W293" i="14"/>
  <c r="AF293" i="14" s="1"/>
  <c r="H844" i="3"/>
  <c r="R970" i="8"/>
  <c r="E747" i="3" l="1"/>
  <c r="W740" i="3"/>
  <c r="X970" i="8"/>
  <c r="W739" i="3"/>
  <c r="X967" i="8"/>
  <c r="W741" i="3"/>
  <c r="X972" i="8"/>
  <c r="AM293" i="14"/>
  <c r="V970" i="8"/>
  <c r="X965" i="8"/>
  <c r="W738" i="3"/>
  <c r="E746" i="3"/>
  <c r="L745" i="3"/>
  <c r="K745" i="3"/>
  <c r="E845" i="3" s="1"/>
  <c r="AQ981" i="8"/>
  <c r="J745" i="3"/>
  <c r="D845" i="3" s="1"/>
  <c r="Y745" i="3"/>
  <c r="M743" i="3" l="1"/>
  <c r="M744" i="3" s="1"/>
  <c r="F845" i="3"/>
  <c r="G845" i="3" s="1"/>
  <c r="W294" i="14" s="1"/>
  <c r="AF294" i="14" s="1"/>
  <c r="E748" i="3"/>
  <c r="N294" i="14"/>
  <c r="P977" i="8"/>
  <c r="L747" i="3"/>
  <c r="K747" i="3"/>
  <c r="AQ986" i="8"/>
  <c r="J747" i="3"/>
  <c r="Y747" i="3"/>
  <c r="L746" i="3"/>
  <c r="AQ984" i="8"/>
  <c r="K746" i="3"/>
  <c r="Y746" i="3"/>
  <c r="Z743" i="3" l="1"/>
  <c r="X743" i="3" s="1"/>
  <c r="W743" i="3" s="1"/>
  <c r="H845" i="3"/>
  <c r="AM294" i="14" s="1"/>
  <c r="R977" i="8"/>
  <c r="M745" i="3"/>
  <c r="Z745" i="3" s="1"/>
  <c r="X745" i="3" s="1"/>
  <c r="Z744" i="3"/>
  <c r="X744" i="3" s="1"/>
  <c r="E750" i="3"/>
  <c r="J746" i="3"/>
  <c r="AQ988" i="8"/>
  <c r="L748" i="3"/>
  <c r="F846" i="3" s="1"/>
  <c r="K748" i="3"/>
  <c r="E846" i="3" s="1"/>
  <c r="J748" i="3"/>
  <c r="Y748" i="3"/>
  <c r="E749" i="3"/>
  <c r="V977" i="8" l="1"/>
  <c r="X977" i="8"/>
  <c r="W745" i="3"/>
  <c r="X981" i="8"/>
  <c r="G846" i="3"/>
  <c r="M746" i="3"/>
  <c r="M747" i="3" s="1"/>
  <c r="M748" i="3" s="1"/>
  <c r="Z748" i="3" s="1"/>
  <c r="X748" i="3" s="1"/>
  <c r="W748" i="3" s="1"/>
  <c r="X979" i="8"/>
  <c r="W744" i="3"/>
  <c r="W295" i="14"/>
  <c r="AF295" i="14" s="1"/>
  <c r="H846" i="3"/>
  <c r="R984" i="8"/>
  <c r="E751" i="3"/>
  <c r="K749" i="3"/>
  <c r="L749" i="3"/>
  <c r="AQ991" i="8"/>
  <c r="J749" i="3"/>
  <c r="Y749" i="3"/>
  <c r="D846" i="3"/>
  <c r="Z746" i="3"/>
  <c r="X746" i="3" s="1"/>
  <c r="L750" i="3"/>
  <c r="J750" i="3"/>
  <c r="K750" i="3"/>
  <c r="AQ993" i="8"/>
  <c r="Y750" i="3"/>
  <c r="Z747" i="3" l="1"/>
  <c r="X747" i="3" s="1"/>
  <c r="W747" i="3" s="1"/>
  <c r="X988" i="8"/>
  <c r="X986" i="8"/>
  <c r="W746" i="3"/>
  <c r="X984" i="8"/>
  <c r="AQ995" i="8"/>
  <c r="L751" i="3"/>
  <c r="F847" i="3" s="1"/>
  <c r="K751" i="3"/>
  <c r="E847" i="3" s="1"/>
  <c r="J751" i="3"/>
  <c r="D847" i="3" s="1"/>
  <c r="Y751" i="3"/>
  <c r="P984" i="8"/>
  <c r="N295" i="14"/>
  <c r="E752" i="3"/>
  <c r="AM295" i="14"/>
  <c r="V984" i="8"/>
  <c r="E753" i="3"/>
  <c r="E754" i="3" l="1"/>
  <c r="M749" i="3"/>
  <c r="N296" i="14"/>
  <c r="P991" i="8"/>
  <c r="L753" i="3"/>
  <c r="K753" i="3"/>
  <c r="Y753" i="3" s="1"/>
  <c r="AQ1000" i="8"/>
  <c r="J753" i="3"/>
  <c r="K752" i="3"/>
  <c r="AQ998" i="8"/>
  <c r="L752" i="3"/>
  <c r="J752" i="3" s="1"/>
  <c r="Y752" i="3"/>
  <c r="G847" i="3"/>
  <c r="E756" i="3" l="1"/>
  <c r="M750" i="3"/>
  <c r="Z749" i="3"/>
  <c r="X749" i="3" s="1"/>
  <c r="K754" i="3"/>
  <c r="E848" i="3" s="1"/>
  <c r="AQ1002" i="8"/>
  <c r="L754" i="3"/>
  <c r="F848" i="3" s="1"/>
  <c r="J754" i="3"/>
  <c r="D848" i="3" s="1"/>
  <c r="Y754" i="3"/>
  <c r="W296" i="14"/>
  <c r="AF296" i="14" s="1"/>
  <c r="R991" i="8"/>
  <c r="H847" i="3"/>
  <c r="E755" i="3"/>
  <c r="N297" i="14" l="1"/>
  <c r="P998" i="8"/>
  <c r="V991" i="8"/>
  <c r="AM296" i="14"/>
  <c r="E757" i="3"/>
  <c r="G848" i="3"/>
  <c r="AQ1005" i="8"/>
  <c r="K755" i="3"/>
  <c r="L755" i="3"/>
  <c r="J755" i="3"/>
  <c r="Y755" i="3"/>
  <c r="M751" i="3"/>
  <c r="Z751" i="3" s="1"/>
  <c r="X751" i="3" s="1"/>
  <c r="Z750" i="3"/>
  <c r="X750" i="3" s="1"/>
  <c r="J756" i="3"/>
  <c r="K756" i="3"/>
  <c r="L756" i="3"/>
  <c r="AQ1007" i="8"/>
  <c r="Y756" i="3"/>
  <c r="M752" i="3"/>
  <c r="W749" i="3"/>
  <c r="X991" i="8"/>
  <c r="E759" i="3" l="1"/>
  <c r="W751" i="3"/>
  <c r="X995" i="8"/>
  <c r="W297" i="14"/>
  <c r="AF297" i="14" s="1"/>
  <c r="R998" i="8"/>
  <c r="H848" i="3"/>
  <c r="AQ1009" i="8"/>
  <c r="L757" i="3"/>
  <c r="F849" i="3" s="1"/>
  <c r="K757" i="3"/>
  <c r="E849" i="3" s="1"/>
  <c r="J757" i="3"/>
  <c r="D849" i="3" s="1"/>
  <c r="Y757" i="3"/>
  <c r="W750" i="3"/>
  <c r="X993" i="8"/>
  <c r="E758" i="3"/>
  <c r="M753" i="3"/>
  <c r="Z752" i="3"/>
  <c r="X752" i="3" s="1"/>
  <c r="G849" i="3" l="1"/>
  <c r="W298" i="14"/>
  <c r="AF298" i="14" s="1"/>
  <c r="R1005" i="8"/>
  <c r="H849" i="3"/>
  <c r="M755" i="3"/>
  <c r="E760" i="3"/>
  <c r="N298" i="14"/>
  <c r="P1005" i="8"/>
  <c r="V998" i="8"/>
  <c r="AM297" i="14"/>
  <c r="M754" i="3"/>
  <c r="Z754" i="3" s="1"/>
  <c r="X754" i="3" s="1"/>
  <c r="Z753" i="3"/>
  <c r="X753" i="3" s="1"/>
  <c r="J759" i="3"/>
  <c r="AQ1014" i="8"/>
  <c r="K759" i="3"/>
  <c r="L759" i="3"/>
  <c r="Y759" i="3"/>
  <c r="AQ1012" i="8"/>
  <c r="L758" i="3"/>
  <c r="K758" i="3"/>
  <c r="J758" i="3"/>
  <c r="Y758" i="3"/>
  <c r="W752" i="3"/>
  <c r="X998" i="8"/>
  <c r="E762" i="3" l="1"/>
  <c r="W754" i="3"/>
  <c r="X1002" i="8"/>
  <c r="M756" i="3"/>
  <c r="Z755" i="3"/>
  <c r="X755" i="3" s="1"/>
  <c r="E761" i="3"/>
  <c r="AM298" i="14"/>
  <c r="V1005" i="8"/>
  <c r="W753" i="3"/>
  <c r="X1000" i="8"/>
  <c r="L760" i="3"/>
  <c r="F850" i="3" s="1"/>
  <c r="K760" i="3"/>
  <c r="AQ1016" i="8"/>
  <c r="J760" i="3"/>
  <c r="D850" i="3" s="1"/>
  <c r="Y760" i="3"/>
  <c r="M758" i="3" l="1"/>
  <c r="M759" i="3" s="1"/>
  <c r="P1012" i="8"/>
  <c r="N299" i="14"/>
  <c r="AQ1019" i="8"/>
  <c r="L761" i="3"/>
  <c r="K761" i="3"/>
  <c r="J761" i="3"/>
  <c r="Y761" i="3"/>
  <c r="E763" i="3"/>
  <c r="M757" i="3"/>
  <c r="Z757" i="3" s="1"/>
  <c r="X757" i="3" s="1"/>
  <c r="Z756" i="3"/>
  <c r="X756" i="3" s="1"/>
  <c r="K762" i="3"/>
  <c r="AQ1021" i="8"/>
  <c r="L762" i="3"/>
  <c r="J762" i="3"/>
  <c r="Y762" i="3"/>
  <c r="W755" i="3"/>
  <c r="X1005" i="8"/>
  <c r="E850" i="3"/>
  <c r="G850" i="3" s="1"/>
  <c r="Z758" i="3" l="1"/>
  <c r="X758" i="3" s="1"/>
  <c r="W756" i="3"/>
  <c r="X1007" i="8"/>
  <c r="K763" i="3"/>
  <c r="AQ1023" i="8"/>
  <c r="L763" i="3"/>
  <c r="F851" i="3" s="1"/>
  <c r="J763" i="3"/>
  <c r="Y763" i="3"/>
  <c r="E765" i="3"/>
  <c r="X1009" i="8"/>
  <c r="W757" i="3"/>
  <c r="E851" i="3"/>
  <c r="M761" i="3"/>
  <c r="M762" i="3" s="1"/>
  <c r="M763" i="3" s="1"/>
  <c r="Z763" i="3" s="1"/>
  <c r="X763" i="3" s="1"/>
  <c r="W763" i="3" s="1"/>
  <c r="E764" i="3"/>
  <c r="D851" i="3"/>
  <c r="W299" i="14"/>
  <c r="AF299" i="14" s="1"/>
  <c r="H850" i="3"/>
  <c r="R1012" i="8"/>
  <c r="W758" i="3"/>
  <c r="X1012" i="8"/>
  <c r="M760" i="3"/>
  <c r="Z760" i="3" s="1"/>
  <c r="X760" i="3" s="1"/>
  <c r="Z759" i="3"/>
  <c r="X759" i="3" s="1"/>
  <c r="G851" i="3" l="1"/>
  <c r="Z761" i="3"/>
  <c r="X761" i="3" s="1"/>
  <c r="X1019" i="8" s="1"/>
  <c r="P1019" i="8"/>
  <c r="N300" i="14"/>
  <c r="X1023" i="8"/>
  <c r="K764" i="3"/>
  <c r="L764" i="3"/>
  <c r="AQ1026" i="8"/>
  <c r="J764" i="3"/>
  <c r="Y764" i="3"/>
  <c r="J765" i="3"/>
  <c r="AQ1028" i="8"/>
  <c r="K765" i="3"/>
  <c r="L765" i="3"/>
  <c r="Y765" i="3"/>
  <c r="E766" i="3"/>
  <c r="W759" i="3"/>
  <c r="X1014" i="8"/>
  <c r="X698" i="3"/>
  <c r="V1012" i="8"/>
  <c r="AM299" i="14"/>
  <c r="W300" i="14"/>
  <c r="AF300" i="14" s="1"/>
  <c r="H851" i="3"/>
  <c r="R1019" i="8"/>
  <c r="W760" i="3"/>
  <c r="X1016" i="8"/>
  <c r="Z762" i="3"/>
  <c r="X762" i="3" s="1"/>
  <c r="X700" i="3"/>
  <c r="W761" i="3" l="1"/>
  <c r="K766" i="3"/>
  <c r="E852" i="3" s="1"/>
  <c r="AQ1030" i="8"/>
  <c r="L766" i="3"/>
  <c r="J766" i="3" s="1"/>
  <c r="D852" i="3" s="1"/>
  <c r="Y766" i="3"/>
  <c r="W762" i="3"/>
  <c r="X1021" i="8"/>
  <c r="E767" i="3"/>
  <c r="X699" i="3"/>
  <c r="AM300" i="14"/>
  <c r="V1019" i="8"/>
  <c r="W700" i="3"/>
  <c r="X876" i="8"/>
  <c r="X701" i="3"/>
  <c r="M764" i="3" l="1"/>
  <c r="M765" i="3" s="1"/>
  <c r="M766" i="3" s="1"/>
  <c r="Z766" i="3" s="1"/>
  <c r="X766" i="3" s="1"/>
  <c r="W766" i="3" s="1"/>
  <c r="F852" i="3"/>
  <c r="G852" i="3" s="1"/>
  <c r="K767" i="3"/>
  <c r="L767" i="3"/>
  <c r="AQ1033" i="8"/>
  <c r="Y767" i="3"/>
  <c r="W699" i="3"/>
  <c r="X874" i="8"/>
  <c r="E768" i="3"/>
  <c r="P1026" i="8"/>
  <c r="N301" i="14"/>
  <c r="Z764" i="3"/>
  <c r="X764" i="3" s="1"/>
  <c r="W301" i="14"/>
  <c r="AF301" i="14" s="1"/>
  <c r="R1026" i="8"/>
  <c r="H852" i="3"/>
  <c r="W701" i="3"/>
  <c r="X879" i="8"/>
  <c r="Z765" i="3" l="1"/>
  <c r="X765" i="3" s="1"/>
  <c r="X1030" i="8"/>
  <c r="E770" i="3"/>
  <c r="X1026" i="8"/>
  <c r="W764" i="3"/>
  <c r="E769" i="3"/>
  <c r="J767" i="3"/>
  <c r="V1026" i="8"/>
  <c r="AM301" i="14"/>
  <c r="AQ1035" i="8"/>
  <c r="J768" i="3"/>
  <c r="L768" i="3"/>
  <c r="K768" i="3"/>
  <c r="Y768" i="3"/>
  <c r="X1028" i="8" l="1"/>
  <c r="W765" i="3"/>
  <c r="E771" i="3"/>
  <c r="L770" i="3"/>
  <c r="AQ1040" i="8"/>
  <c r="K770" i="3"/>
  <c r="Y770" i="3"/>
  <c r="AQ1037" i="8"/>
  <c r="L769" i="3"/>
  <c r="F853" i="3" s="1"/>
  <c r="K769" i="3"/>
  <c r="J769" i="3"/>
  <c r="D853" i="3" s="1"/>
  <c r="Y769" i="3"/>
  <c r="N302" i="14" l="1"/>
  <c r="P1033" i="8"/>
  <c r="E773" i="3"/>
  <c r="E853" i="3"/>
  <c r="G853" i="3" s="1"/>
  <c r="M767" i="3"/>
  <c r="E772" i="3"/>
  <c r="J770" i="3"/>
  <c r="AQ1042" i="8"/>
  <c r="L771" i="3"/>
  <c r="J771" i="3"/>
  <c r="Y771" i="3"/>
  <c r="K771" i="3"/>
  <c r="E775" i="3" l="1"/>
  <c r="AQ1044" i="8"/>
  <c r="K772" i="3"/>
  <c r="E854" i="3" s="1"/>
  <c r="L772" i="3"/>
  <c r="F854" i="3" s="1"/>
  <c r="J772" i="3"/>
  <c r="D854" i="3" s="1"/>
  <c r="Y772" i="3"/>
  <c r="M768" i="3"/>
  <c r="Z767" i="3"/>
  <c r="X767" i="3" s="1"/>
  <c r="W302" i="14"/>
  <c r="AF302" i="14" s="1"/>
  <c r="R1033" i="8"/>
  <c r="H853" i="3"/>
  <c r="E774" i="3"/>
  <c r="AQ1047" i="8"/>
  <c r="K773" i="3"/>
  <c r="L773" i="3"/>
  <c r="J773" i="3" s="1"/>
  <c r="Y773" i="3"/>
  <c r="Y775" i="3" l="1"/>
  <c r="P1040" i="8"/>
  <c r="N303" i="14"/>
  <c r="M769" i="3"/>
  <c r="Z769" i="3" s="1"/>
  <c r="X769" i="3" s="1"/>
  <c r="Z768" i="3"/>
  <c r="X768" i="3" s="1"/>
  <c r="E776" i="3"/>
  <c r="G854" i="3"/>
  <c r="V1033" i="8"/>
  <c r="AM302" i="14"/>
  <c r="X1033" i="8"/>
  <c r="W767" i="3"/>
  <c r="M770" i="3"/>
  <c r="L775" i="3"/>
  <c r="K775" i="3"/>
  <c r="AQ1051" i="8"/>
  <c r="J775" i="3"/>
  <c r="K774" i="3"/>
  <c r="L774" i="3"/>
  <c r="AQ1049" i="8"/>
  <c r="J774" i="3"/>
  <c r="Y774" i="3"/>
  <c r="X703" i="3"/>
  <c r="W769" i="3" l="1"/>
  <c r="X1037" i="8"/>
  <c r="F855" i="3"/>
  <c r="E855" i="3"/>
  <c r="E777" i="3"/>
  <c r="Y777" i="3" s="1"/>
  <c r="W768" i="3"/>
  <c r="X1035" i="8"/>
  <c r="AQ1054" i="8"/>
  <c r="K776" i="3"/>
  <c r="L776" i="3"/>
  <c r="J776" i="3" s="1"/>
  <c r="Y776" i="3"/>
  <c r="M773" i="3"/>
  <c r="M771" i="3"/>
  <c r="Z770" i="3"/>
  <c r="X770" i="3" s="1"/>
  <c r="W303" i="14"/>
  <c r="AF303" i="14" s="1"/>
  <c r="H854" i="3"/>
  <c r="R1040" i="8"/>
  <c r="D855" i="3"/>
  <c r="W703" i="3"/>
  <c r="X883" i="8"/>
  <c r="G855" i="3" l="1"/>
  <c r="E779" i="3"/>
  <c r="P1047" i="8"/>
  <c r="N304" i="14"/>
  <c r="M772" i="3"/>
  <c r="Z772" i="3" s="1"/>
  <c r="X772" i="3" s="1"/>
  <c r="Z771" i="3"/>
  <c r="X771" i="3" s="1"/>
  <c r="X702" i="3"/>
  <c r="V1040" i="8"/>
  <c r="AM303" i="14"/>
  <c r="X1040" i="8"/>
  <c r="W770" i="3"/>
  <c r="M774" i="3"/>
  <c r="Z773" i="3"/>
  <c r="X773" i="3" s="1"/>
  <c r="L777" i="3"/>
  <c r="J777" i="3"/>
  <c r="K777" i="3"/>
  <c r="AQ1056" i="8"/>
  <c r="W304" i="14"/>
  <c r="AF304" i="14" s="1"/>
  <c r="R1047" i="8"/>
  <c r="H855" i="3"/>
  <c r="E778" i="3"/>
  <c r="Y779" i="3" l="1"/>
  <c r="E781" i="3"/>
  <c r="L778" i="3"/>
  <c r="F856" i="3" s="1"/>
  <c r="AQ1058" i="8"/>
  <c r="K778" i="3"/>
  <c r="E856" i="3" s="1"/>
  <c r="J778" i="3"/>
  <c r="D856" i="3" s="1"/>
  <c r="Y778" i="3"/>
  <c r="W771" i="3"/>
  <c r="X1042" i="8"/>
  <c r="M775" i="3"/>
  <c r="Z775" i="3" s="1"/>
  <c r="X775" i="3" s="1"/>
  <c r="Z774" i="3"/>
  <c r="X774" i="3" s="1"/>
  <c r="W702" i="3"/>
  <c r="X881" i="8"/>
  <c r="L779" i="3"/>
  <c r="K779" i="3"/>
  <c r="AQ1061" i="8"/>
  <c r="J779" i="3"/>
  <c r="X1044" i="8"/>
  <c r="W772" i="3"/>
  <c r="V1047" i="8"/>
  <c r="AM304" i="14"/>
  <c r="W773" i="3"/>
  <c r="X1047" i="8"/>
  <c r="E780" i="3"/>
  <c r="G856" i="3" l="1"/>
  <c r="E783" i="3"/>
  <c r="W774" i="3"/>
  <c r="X1049" i="8"/>
  <c r="X1051" i="8"/>
  <c r="W775" i="3"/>
  <c r="W305" i="14"/>
  <c r="AF305" i="14" s="1"/>
  <c r="H856" i="3"/>
  <c r="R1054" i="8"/>
  <c r="AQ1065" i="8"/>
  <c r="K781" i="3"/>
  <c r="L781" i="3"/>
  <c r="J781" i="3"/>
  <c r="Y781" i="3"/>
  <c r="P1054" i="8"/>
  <c r="N305" i="14"/>
  <c r="E782" i="3"/>
  <c r="J780" i="3"/>
  <c r="D857" i="3" s="1"/>
  <c r="AQ1063" i="8"/>
  <c r="Y780" i="3"/>
  <c r="L780" i="3"/>
  <c r="K780" i="3"/>
  <c r="M776" i="3"/>
  <c r="X705" i="3"/>
  <c r="F857" i="3" l="1"/>
  <c r="M779" i="3"/>
  <c r="N306" i="14"/>
  <c r="P1061" i="8"/>
  <c r="E785" i="3"/>
  <c r="J785" i="3" s="1"/>
  <c r="M780" i="3"/>
  <c r="M781" i="3" s="1"/>
  <c r="Z781" i="3" s="1"/>
  <c r="X781" i="3" s="1"/>
  <c r="Z779" i="3"/>
  <c r="X779" i="3" s="1"/>
  <c r="X704" i="3"/>
  <c r="AM305" i="14"/>
  <c r="V1054" i="8"/>
  <c r="E857" i="3"/>
  <c r="L783" i="3"/>
  <c r="K783" i="3"/>
  <c r="AQ1070" i="8"/>
  <c r="J783" i="3"/>
  <c r="AQ1068" i="8"/>
  <c r="K782" i="3"/>
  <c r="L782" i="3"/>
  <c r="J782" i="3"/>
  <c r="Y782" i="3"/>
  <c r="Y783" i="3"/>
  <c r="M777" i="3"/>
  <c r="Z776" i="3"/>
  <c r="X776" i="3" s="1"/>
  <c r="E784" i="3"/>
  <c r="W705" i="3"/>
  <c r="X888" i="8"/>
  <c r="Y785" i="3"/>
  <c r="Y784" i="3"/>
  <c r="G857" i="3" l="1"/>
  <c r="L784" i="3"/>
  <c r="F858" i="3" s="1"/>
  <c r="AQ1072" i="8"/>
  <c r="K784" i="3"/>
  <c r="J784" i="3"/>
  <c r="D858" i="3" s="1"/>
  <c r="E786" i="3"/>
  <c r="K785" i="3"/>
  <c r="L785" i="3"/>
  <c r="AQ1075" i="8"/>
  <c r="E858" i="3"/>
  <c r="M782" i="3"/>
  <c r="M783" i="3" s="1"/>
  <c r="M784" i="3" s="1"/>
  <c r="W306" i="14"/>
  <c r="AF306" i="14" s="1"/>
  <c r="R1061" i="8"/>
  <c r="H857" i="3"/>
  <c r="X1065" i="8"/>
  <c r="W781" i="3"/>
  <c r="X1061" i="8"/>
  <c r="W779" i="3"/>
  <c r="W776" i="3"/>
  <c r="X1054" i="8"/>
  <c r="Z780" i="3"/>
  <c r="X780" i="3" s="1"/>
  <c r="X886" i="8"/>
  <c r="W704" i="3"/>
  <c r="M778" i="3"/>
  <c r="Z778" i="3" s="1"/>
  <c r="X778" i="3" s="1"/>
  <c r="Z777" i="3"/>
  <c r="X777" i="3" s="1"/>
  <c r="X706" i="3"/>
  <c r="N307" i="14" l="1"/>
  <c r="P1068" i="8"/>
  <c r="G858" i="3"/>
  <c r="X1063" i="8"/>
  <c r="W780" i="3"/>
  <c r="Z784" i="3"/>
  <c r="X784" i="3" s="1"/>
  <c r="W784" i="3" s="1"/>
  <c r="V1061" i="8"/>
  <c r="AM306" i="14"/>
  <c r="W777" i="3"/>
  <c r="X1056" i="8"/>
  <c r="K786" i="3"/>
  <c r="Y786" i="3"/>
  <c r="J786" i="3"/>
  <c r="AQ1077" i="8"/>
  <c r="L786" i="3"/>
  <c r="E788" i="3"/>
  <c r="J788" i="3" s="1"/>
  <c r="Z782" i="3"/>
  <c r="X782" i="3" s="1"/>
  <c r="W778" i="3"/>
  <c r="X1058" i="8"/>
  <c r="E787" i="3"/>
  <c r="Z783" i="3"/>
  <c r="X783" i="3" s="1"/>
  <c r="W706" i="3"/>
  <c r="X890" i="8"/>
  <c r="X1072" i="8" l="1"/>
  <c r="E790" i="3"/>
  <c r="K788" i="3"/>
  <c r="L788" i="3"/>
  <c r="AQ1082" i="8"/>
  <c r="Y788" i="3"/>
  <c r="W782" i="3"/>
  <c r="X1068" i="8"/>
  <c r="K787" i="3"/>
  <c r="E859" i="3" s="1"/>
  <c r="AQ1079" i="8"/>
  <c r="L787" i="3"/>
  <c r="F859" i="3" s="1"/>
  <c r="J787" i="3"/>
  <c r="D859" i="3" s="1"/>
  <c r="Y787" i="3"/>
  <c r="E789" i="3"/>
  <c r="W307" i="14"/>
  <c r="AF307" i="14" s="1"/>
  <c r="H858" i="3"/>
  <c r="R1068" i="8"/>
  <c r="X1070" i="8"/>
  <c r="W783" i="3"/>
  <c r="X707" i="3"/>
  <c r="N308" i="14" l="1"/>
  <c r="P1075" i="8"/>
  <c r="G859" i="3"/>
  <c r="L789" i="3"/>
  <c r="K789" i="3"/>
  <c r="J789" i="3"/>
  <c r="AQ1084" i="8"/>
  <c r="M785" i="3"/>
  <c r="L790" i="3"/>
  <c r="AQ1086" i="8"/>
  <c r="K790" i="3"/>
  <c r="J790" i="3"/>
  <c r="Y790" i="3"/>
  <c r="E791" i="3"/>
  <c r="Y789" i="3"/>
  <c r="AM307" i="14"/>
  <c r="V1068" i="8"/>
  <c r="W707" i="3"/>
  <c r="X893" i="8"/>
  <c r="E792" i="3" l="1"/>
  <c r="AQ1089" i="8"/>
  <c r="K791" i="3"/>
  <c r="L791" i="3"/>
  <c r="F860" i="3"/>
  <c r="J791" i="3"/>
  <c r="M786" i="3"/>
  <c r="Z785" i="3"/>
  <c r="X785" i="3" s="1"/>
  <c r="D860" i="3"/>
  <c r="E860" i="3"/>
  <c r="M788" i="3"/>
  <c r="W308" i="14"/>
  <c r="AF308" i="14" s="1"/>
  <c r="H859" i="3"/>
  <c r="R1075" i="8"/>
  <c r="Y791" i="3"/>
  <c r="G860" i="3" l="1"/>
  <c r="W309" i="14" s="1"/>
  <c r="AF309" i="14" s="1"/>
  <c r="W785" i="3"/>
  <c r="X1075" i="8"/>
  <c r="E793" i="3"/>
  <c r="Y793" i="3" s="1"/>
  <c r="L792" i="3"/>
  <c r="AQ1091" i="8"/>
  <c r="K792" i="3"/>
  <c r="J792" i="3"/>
  <c r="Y792" i="3"/>
  <c r="N309" i="14"/>
  <c r="P1082" i="8"/>
  <c r="V1075" i="8"/>
  <c r="AM308" i="14"/>
  <c r="M789" i="3"/>
  <c r="Z788" i="3"/>
  <c r="X788" i="3" s="1"/>
  <c r="M787" i="3"/>
  <c r="Z787" i="3" s="1"/>
  <c r="X787" i="3" s="1"/>
  <c r="Z786" i="3"/>
  <c r="X786" i="3" s="1"/>
  <c r="R1082" i="8" l="1"/>
  <c r="H860" i="3"/>
  <c r="X1079" i="8"/>
  <c r="W787" i="3"/>
  <c r="M790" i="3"/>
  <c r="Z790" i="3" s="1"/>
  <c r="X790" i="3" s="1"/>
  <c r="Z789" i="3"/>
  <c r="X789" i="3" s="1"/>
  <c r="W788" i="3"/>
  <c r="X1082" i="8"/>
  <c r="E794" i="3"/>
  <c r="X708" i="3"/>
  <c r="V1082" i="8"/>
  <c r="AM309" i="14"/>
  <c r="E795" i="3"/>
  <c r="AQ1093" i="8"/>
  <c r="L793" i="3"/>
  <c r="F861" i="3" s="1"/>
  <c r="K793" i="3"/>
  <c r="E861" i="3" s="1"/>
  <c r="J793" i="3"/>
  <c r="D861" i="3" s="1"/>
  <c r="P1089" i="8" s="1"/>
  <c r="X1077" i="8"/>
  <c r="W786" i="3"/>
  <c r="X709" i="3"/>
  <c r="E797" i="3" l="1"/>
  <c r="J797" i="3" s="1"/>
  <c r="W708" i="3"/>
  <c r="X895" i="8"/>
  <c r="G861" i="3"/>
  <c r="L795" i="3"/>
  <c r="J795" i="3"/>
  <c r="K795" i="3"/>
  <c r="AQ1098" i="8"/>
  <c r="Y795" i="3"/>
  <c r="N310" i="14"/>
  <c r="W789" i="3"/>
  <c r="X1084" i="8"/>
  <c r="E796" i="3"/>
  <c r="Y796" i="3" s="1"/>
  <c r="W790" i="3"/>
  <c r="X1086" i="8"/>
  <c r="K794" i="3"/>
  <c r="AQ1096" i="8"/>
  <c r="L794" i="3"/>
  <c r="J794" i="3" s="1"/>
  <c r="Y794" i="3"/>
  <c r="M791" i="3"/>
  <c r="W709" i="3"/>
  <c r="X897" i="8"/>
  <c r="E798" i="3" l="1"/>
  <c r="L797" i="3"/>
  <c r="K797" i="3"/>
  <c r="AQ1103" i="8"/>
  <c r="K796" i="3"/>
  <c r="E862" i="3" s="1"/>
  <c r="L796" i="3"/>
  <c r="F862" i="3" s="1"/>
  <c r="AQ1100" i="8"/>
  <c r="J796" i="3"/>
  <c r="D862" i="3" s="1"/>
  <c r="P1096" i="8" s="1"/>
  <c r="Y797" i="3"/>
  <c r="W310" i="14"/>
  <c r="AF310" i="14" s="1"/>
  <c r="R1089" i="8"/>
  <c r="H861" i="3"/>
  <c r="M792" i="3"/>
  <c r="Z791" i="3"/>
  <c r="X791" i="3" s="1"/>
  <c r="X710" i="3"/>
  <c r="Y798" i="3"/>
  <c r="E799" i="3" l="1"/>
  <c r="V1089" i="8"/>
  <c r="AM310" i="14"/>
  <c r="X1089" i="8"/>
  <c r="W791" i="3"/>
  <c r="K798" i="3"/>
  <c r="J798" i="3"/>
  <c r="AQ1105" i="8"/>
  <c r="L798" i="3"/>
  <c r="G862" i="3"/>
  <c r="N311" i="14"/>
  <c r="M793" i="3"/>
  <c r="Z793" i="3" s="1"/>
  <c r="X793" i="3" s="1"/>
  <c r="Z792" i="3"/>
  <c r="X792" i="3" s="1"/>
  <c r="M794" i="3"/>
  <c r="W710" i="3"/>
  <c r="X900" i="8"/>
  <c r="Y799" i="3"/>
  <c r="W793" i="3" l="1"/>
  <c r="X1093" i="8"/>
  <c r="W792" i="3"/>
  <c r="X1091" i="8"/>
  <c r="E800" i="3"/>
  <c r="Y800" i="3" s="1"/>
  <c r="K799" i="3"/>
  <c r="AQ1107" i="8"/>
  <c r="L799" i="3"/>
  <c r="F863" i="3" s="1"/>
  <c r="J799" i="3"/>
  <c r="E863" i="3"/>
  <c r="M795" i="3"/>
  <c r="Z794" i="3"/>
  <c r="X794" i="3" s="1"/>
  <c r="W311" i="14"/>
  <c r="AF311" i="14" s="1"/>
  <c r="H862" i="3"/>
  <c r="R1096" i="8"/>
  <c r="M797" i="3"/>
  <c r="G863" i="3" l="1"/>
  <c r="AM311" i="14"/>
  <c r="V1096" i="8"/>
  <c r="M796" i="3"/>
  <c r="Z796" i="3" s="1"/>
  <c r="X796" i="3" s="1"/>
  <c r="Z795" i="3"/>
  <c r="X795" i="3" s="1"/>
  <c r="W794" i="3"/>
  <c r="X1096" i="8"/>
  <c r="E801" i="3"/>
  <c r="L800" i="3"/>
  <c r="AQ1110" i="8"/>
  <c r="K800" i="3"/>
  <c r="M798" i="3"/>
  <c r="Z797" i="3"/>
  <c r="X797" i="3" s="1"/>
  <c r="D863" i="3"/>
  <c r="J800" i="3"/>
  <c r="X711" i="3"/>
  <c r="E802" i="3" l="1"/>
  <c r="M799" i="3"/>
  <c r="Z799" i="3" s="1"/>
  <c r="X799" i="3" s="1"/>
  <c r="Z798" i="3"/>
  <c r="X798" i="3" s="1"/>
  <c r="W795" i="3"/>
  <c r="X1098" i="8"/>
  <c r="W797" i="3"/>
  <c r="X1103" i="8"/>
  <c r="J801" i="3"/>
  <c r="D864" i="3" s="1"/>
  <c r="L801" i="3"/>
  <c r="K801" i="3"/>
  <c r="AQ1112" i="8"/>
  <c r="Y801" i="3"/>
  <c r="P1103" i="8"/>
  <c r="N312" i="14"/>
  <c r="X1100" i="8"/>
  <c r="W796" i="3"/>
  <c r="W312" i="14"/>
  <c r="AF312" i="14" s="1"/>
  <c r="R1103" i="8"/>
  <c r="H863" i="3"/>
  <c r="W711" i="3"/>
  <c r="X902" i="8"/>
  <c r="J802" i="3"/>
  <c r="W799" i="3" l="1"/>
  <c r="X1107" i="8"/>
  <c r="E804" i="3"/>
  <c r="L802" i="3"/>
  <c r="F864" i="3" s="1"/>
  <c r="K802" i="3"/>
  <c r="E864" i="3" s="1"/>
  <c r="AQ1114" i="8"/>
  <c r="W798" i="3"/>
  <c r="X1105" i="8"/>
  <c r="V1103" i="8"/>
  <c r="AM312" i="14"/>
  <c r="E803" i="3"/>
  <c r="Y802" i="3"/>
  <c r="P1110" i="8"/>
  <c r="N313" i="14"/>
  <c r="G864" i="3" l="1"/>
  <c r="W313" i="14" s="1"/>
  <c r="AF313" i="14" s="1"/>
  <c r="AQ1117" i="8"/>
  <c r="L803" i="3"/>
  <c r="K803" i="3"/>
  <c r="Y803" i="3"/>
  <c r="J803" i="3"/>
  <c r="E805" i="3"/>
  <c r="L804" i="3"/>
  <c r="J804" i="3"/>
  <c r="Y804" i="3"/>
  <c r="AQ1119" i="8"/>
  <c r="K804" i="3"/>
  <c r="R1110" i="8"/>
  <c r="H864" i="3"/>
  <c r="X712" i="3" s="1"/>
  <c r="W712" i="3" s="1"/>
  <c r="M800" i="3"/>
  <c r="J805" i="3"/>
  <c r="E806" i="3" l="1"/>
  <c r="L805" i="3"/>
  <c r="F865" i="3" s="1"/>
  <c r="AQ1121" i="8"/>
  <c r="K805" i="3"/>
  <c r="X904" i="8"/>
  <c r="M801" i="3"/>
  <c r="Z800" i="3"/>
  <c r="X800" i="3" s="1"/>
  <c r="AM313" i="14"/>
  <c r="V1110" i="8"/>
  <c r="Y805" i="3"/>
  <c r="D865" i="3"/>
  <c r="M803" i="3" l="1"/>
  <c r="E808" i="3"/>
  <c r="X1110" i="8"/>
  <c r="W800" i="3"/>
  <c r="L806" i="3"/>
  <c r="K806" i="3"/>
  <c r="AQ1124" i="8"/>
  <c r="M802" i="3"/>
  <c r="Z802" i="3" s="1"/>
  <c r="X802" i="3" s="1"/>
  <c r="Z801" i="3"/>
  <c r="X801" i="3" s="1"/>
  <c r="E807" i="3"/>
  <c r="Y808" i="3" s="1"/>
  <c r="Y806" i="3"/>
  <c r="J806" i="3"/>
  <c r="E865" i="3"/>
  <c r="G865" i="3" s="1"/>
  <c r="X713" i="3"/>
  <c r="P1117" i="8"/>
  <c r="N314" i="14"/>
  <c r="M804" i="3" l="1"/>
  <c r="Z803" i="3"/>
  <c r="X803" i="3" s="1"/>
  <c r="X1114" i="8"/>
  <c r="W802" i="3"/>
  <c r="E809" i="3"/>
  <c r="Y809" i="3" s="1"/>
  <c r="K808" i="3"/>
  <c r="L808" i="3"/>
  <c r="AQ1128" i="8"/>
  <c r="J808" i="3"/>
  <c r="W314" i="14"/>
  <c r="AF314" i="14" s="1"/>
  <c r="R1117" i="8"/>
  <c r="H865" i="3"/>
  <c r="J807" i="3"/>
  <c r="D866" i="3" s="1"/>
  <c r="L807" i="3"/>
  <c r="F866" i="3" s="1"/>
  <c r="K807" i="3"/>
  <c r="AQ1126" i="8"/>
  <c r="Y807" i="3"/>
  <c r="X1112" i="8"/>
  <c r="W801" i="3"/>
  <c r="W713" i="3"/>
  <c r="X907" i="8"/>
  <c r="M806" i="3" l="1"/>
  <c r="W803" i="3"/>
  <c r="X1117" i="8"/>
  <c r="Z804" i="3"/>
  <c r="X804" i="3" s="1"/>
  <c r="M805" i="3"/>
  <c r="Z805" i="3" s="1"/>
  <c r="X805" i="3" s="1"/>
  <c r="M807" i="3"/>
  <c r="M808" i="3" s="1"/>
  <c r="Z808" i="3" s="1"/>
  <c r="X808" i="3" s="1"/>
  <c r="X1128" i="8" s="1"/>
  <c r="Z806" i="3"/>
  <c r="X806" i="3" s="1"/>
  <c r="N315" i="14"/>
  <c r="P1124" i="8"/>
  <c r="AM314" i="14"/>
  <c r="V1117" i="8"/>
  <c r="L809" i="3"/>
  <c r="J809" i="3" s="1"/>
  <c r="K809" i="3"/>
  <c r="AQ1131" i="8"/>
  <c r="Z807" i="3"/>
  <c r="X807" i="3" s="1"/>
  <c r="W807" i="3" s="1"/>
  <c r="E866" i="3"/>
  <c r="G866" i="3" s="1"/>
  <c r="E811" i="3"/>
  <c r="K811" i="3" s="1"/>
  <c r="E810" i="3"/>
  <c r="W805" i="3" l="1"/>
  <c r="X1121" i="8"/>
  <c r="X1119" i="8"/>
  <c r="W804" i="3"/>
  <c r="W808" i="3"/>
  <c r="X1126" i="8"/>
  <c r="AQ1135" i="8"/>
  <c r="E812" i="3"/>
  <c r="L812" i="3" s="1"/>
  <c r="J812" i="3" s="1"/>
  <c r="Y810" i="3"/>
  <c r="AQ1133" i="8"/>
  <c r="K810" i="3"/>
  <c r="E867" i="3" s="1"/>
  <c r="J810" i="3"/>
  <c r="L810" i="3"/>
  <c r="W315" i="14"/>
  <c r="AF315" i="14" s="1"/>
  <c r="R1124" i="8"/>
  <c r="H866" i="3"/>
  <c r="L811" i="3"/>
  <c r="W806" i="3"/>
  <c r="X1124" i="8"/>
  <c r="J811" i="3"/>
  <c r="F867" i="3" l="1"/>
  <c r="M809" i="3"/>
  <c r="E813" i="3"/>
  <c r="G867" i="3"/>
  <c r="W316" i="14" s="1"/>
  <c r="AF316" i="14" s="1"/>
  <c r="X714" i="3"/>
  <c r="AM315" i="14"/>
  <c r="V1124" i="8"/>
  <c r="AQ1138" i="8"/>
  <c r="K812" i="3"/>
  <c r="Z809" i="3"/>
  <c r="X809" i="3" s="1"/>
  <c r="M810" i="3"/>
  <c r="Y812" i="3"/>
  <c r="E814" i="3"/>
  <c r="D867" i="3"/>
  <c r="Y811" i="3"/>
  <c r="L813" i="3"/>
  <c r="K813" i="3"/>
  <c r="AQ1140" i="8"/>
  <c r="J813" i="3"/>
  <c r="R1131" i="8" l="1"/>
  <c r="H867" i="3"/>
  <c r="X909" i="8"/>
  <c r="W714" i="3"/>
  <c r="W809" i="3"/>
  <c r="X1131" i="8"/>
  <c r="Z810" i="3"/>
  <c r="X810" i="3" s="1"/>
  <c r="M811" i="3"/>
  <c r="Z811" i="3" s="1"/>
  <c r="X811" i="3" s="1"/>
  <c r="X715" i="3"/>
  <c r="Y813" i="3"/>
  <c r="V1131" i="8"/>
  <c r="AM316" i="14"/>
  <c r="P1131" i="8"/>
  <c r="N316" i="14"/>
  <c r="E815" i="3"/>
  <c r="E816" i="3"/>
  <c r="L814" i="3"/>
  <c r="F868" i="3" s="1"/>
  <c r="AQ1142" i="8"/>
  <c r="K814" i="3"/>
  <c r="E868" i="3" s="1"/>
  <c r="W715" i="3" l="1"/>
  <c r="X911" i="8"/>
  <c r="W810" i="3"/>
  <c r="X1133" i="8"/>
  <c r="M812" i="3"/>
  <c r="W811" i="3"/>
  <c r="X1135" i="8"/>
  <c r="G868" i="3"/>
  <c r="W317" i="14" s="1"/>
  <c r="AF317" i="14" s="1"/>
  <c r="J814" i="3"/>
  <c r="L816" i="3"/>
  <c r="AQ1147" i="8"/>
  <c r="J816" i="3"/>
  <c r="K816" i="3"/>
  <c r="Y816" i="3"/>
  <c r="E817" i="3"/>
  <c r="L815" i="3"/>
  <c r="AQ1145" i="8"/>
  <c r="K815" i="3"/>
  <c r="M813" i="3" l="1"/>
  <c r="Z812" i="3"/>
  <c r="X812" i="3" s="1"/>
  <c r="H868" i="3"/>
  <c r="X716" i="3" s="1"/>
  <c r="R1138" i="8"/>
  <c r="J815" i="3"/>
  <c r="Y815" i="3"/>
  <c r="L817" i="3"/>
  <c r="K817" i="3"/>
  <c r="E869" i="3" s="1"/>
  <c r="AQ1149" i="8"/>
  <c r="D868" i="3"/>
  <c r="Y814" i="3"/>
  <c r="W812" i="3" l="1"/>
  <c r="X1138" i="8"/>
  <c r="M814" i="3"/>
  <c r="Z814" i="3" s="1"/>
  <c r="X814" i="3" s="1"/>
  <c r="Z813" i="3"/>
  <c r="X813" i="3" s="1"/>
  <c r="M815" i="3"/>
  <c r="M816" i="3" s="1"/>
  <c r="V1138" i="8"/>
  <c r="AM317" i="14"/>
  <c r="P1138" i="8"/>
  <c r="N317" i="14"/>
  <c r="J817" i="3"/>
  <c r="Y817" i="3"/>
  <c r="F869" i="3"/>
  <c r="G869" i="3" s="1"/>
  <c r="W318" i="14" s="1"/>
  <c r="AF318" i="14" s="1"/>
  <c r="W813" i="3" l="1"/>
  <c r="X1140" i="8"/>
  <c r="M817" i="3"/>
  <c r="Z817" i="3" s="1"/>
  <c r="X817" i="3" s="1"/>
  <c r="Z816" i="3"/>
  <c r="X816" i="3" s="1"/>
  <c r="Z815" i="3"/>
  <c r="X815" i="3" s="1"/>
  <c r="W815" i="3" s="1"/>
  <c r="D869" i="3"/>
  <c r="X914" i="8"/>
  <c r="W716" i="3"/>
  <c r="W814" i="3"/>
  <c r="X1142" i="8"/>
  <c r="P1145" i="8"/>
  <c r="N318" i="14"/>
  <c r="R1145" i="8"/>
  <c r="H869" i="3"/>
  <c r="X717" i="3" s="1"/>
  <c r="X1145" i="8" l="1"/>
  <c r="W816" i="3"/>
  <c r="X1147" i="8"/>
  <c r="X916" i="8"/>
  <c r="W717" i="3"/>
  <c r="W817" i="3"/>
  <c r="X1149" i="8"/>
  <c r="V1145" i="8"/>
  <c r="AM318" i="14"/>
  <c r="C65" i="4" l="1"/>
  <c r="X135" i="8"/>
  <c r="C64" i="4"/>
  <c r="W64" i="4" l="1"/>
  <c r="U64" i="4"/>
  <c r="N64" i="4"/>
  <c r="AT64" i="4"/>
  <c r="AN64" i="4"/>
  <c r="AL64" i="4"/>
  <c r="AF64" i="4"/>
  <c r="AD64" i="4"/>
  <c r="AL65" i="4"/>
  <c r="AT65" i="4"/>
  <c r="AN65" i="4"/>
  <c r="AF65" i="4"/>
  <c r="AD65" i="4"/>
  <c r="W65" i="4"/>
  <c r="U65" i="4"/>
  <c r="N65" i="4"/>
  <c r="AA128" i="1"/>
  <c r="W514" i="3"/>
  <c r="AQ806" i="8" l="1"/>
  <c r="K670" i="3"/>
  <c r="L806" i="8" s="1"/>
  <c r="L670" i="3"/>
  <c r="N806" i="8" s="1"/>
  <c r="Y160" i="1"/>
  <c r="X139" i="8"/>
  <c r="J670" i="3" l="1"/>
  <c r="AA132" i="1"/>
  <c r="W515" i="3"/>
  <c r="J806" i="8"/>
  <c r="Y158" i="1"/>
  <c r="L669" i="3"/>
  <c r="K669" i="3"/>
  <c r="AQ804" i="8"/>
  <c r="E820" i="3" l="1"/>
  <c r="Y670" i="3"/>
  <c r="X670" i="3" s="1"/>
  <c r="J669" i="3"/>
  <c r="L804" i="8"/>
  <c r="N804" i="8"/>
  <c r="X148" i="8"/>
  <c r="Y669" i="3" l="1"/>
  <c r="J804" i="8"/>
  <c r="X806" i="8"/>
  <c r="K671" i="3"/>
  <c r="AQ809" i="8"/>
  <c r="W517" i="3"/>
  <c r="J671" i="3" l="1"/>
  <c r="AA160" i="1"/>
  <c r="W670" i="3"/>
  <c r="Y671" i="3"/>
  <c r="X156" i="8"/>
  <c r="X152" i="8"/>
  <c r="K672" i="3" l="1"/>
  <c r="AQ811" i="8"/>
  <c r="J672" i="3"/>
  <c r="K673" i="3"/>
  <c r="AQ813" i="8"/>
  <c r="W518" i="3"/>
  <c r="W519" i="3"/>
  <c r="X161" i="8"/>
  <c r="M671" i="3" l="1"/>
  <c r="Y672" i="3"/>
  <c r="E821" i="3"/>
  <c r="G821" i="3" s="1"/>
  <c r="W110" i="15" s="1"/>
  <c r="K674" i="3"/>
  <c r="AQ816" i="8"/>
  <c r="J673" i="3"/>
  <c r="W520" i="3"/>
  <c r="X169" i="8"/>
  <c r="M672" i="3" l="1"/>
  <c r="Z671" i="3"/>
  <c r="X671" i="3" s="1"/>
  <c r="Y673" i="3"/>
  <c r="R809" i="8"/>
  <c r="W270" i="14"/>
  <c r="D821" i="3"/>
  <c r="N110" i="15" s="1"/>
  <c r="AQ820" i="8"/>
  <c r="K676" i="3"/>
  <c r="AQ818" i="8"/>
  <c r="K675" i="3"/>
  <c r="J674" i="3"/>
  <c r="W522" i="3"/>
  <c r="X165" i="8"/>
  <c r="W73" i="4"/>
  <c r="N73" i="4"/>
  <c r="W671" i="3" l="1"/>
  <c r="X809" i="8"/>
  <c r="M674" i="3"/>
  <c r="Z674" i="3" s="1"/>
  <c r="M673" i="3"/>
  <c r="Z673" i="3" s="1"/>
  <c r="X673" i="3" s="1"/>
  <c r="Z672" i="3"/>
  <c r="X672" i="3" s="1"/>
  <c r="E822" i="3"/>
  <c r="G822" i="3" s="1"/>
  <c r="R816" i="8" s="1"/>
  <c r="P809" i="8"/>
  <c r="N270" i="14"/>
  <c r="J675" i="3"/>
  <c r="Y674" i="3"/>
  <c r="Y675" i="3"/>
  <c r="J676" i="3"/>
  <c r="H821" i="3"/>
  <c r="W521" i="3"/>
  <c r="X182" i="8"/>
  <c r="M675" i="3" l="1"/>
  <c r="M676" i="3" s="1"/>
  <c r="Z676" i="3" s="1"/>
  <c r="X174" i="8"/>
  <c r="X813" i="8"/>
  <c r="W673" i="3"/>
  <c r="X811" i="8"/>
  <c r="W672" i="3"/>
  <c r="W111" i="15"/>
  <c r="AF111" i="15" s="1"/>
  <c r="D822" i="3"/>
  <c r="P816" i="8" s="1"/>
  <c r="W271" i="14"/>
  <c r="AF271" i="14" s="1"/>
  <c r="AM270" i="14"/>
  <c r="AM110" i="15"/>
  <c r="N271" i="14"/>
  <c r="AM73" i="4"/>
  <c r="V809" i="8"/>
  <c r="Y676" i="3"/>
  <c r="AQ823" i="8"/>
  <c r="K677" i="3"/>
  <c r="AQ827" i="8"/>
  <c r="K679" i="3"/>
  <c r="J679" i="3" s="1"/>
  <c r="W525" i="3"/>
  <c r="X178" i="8"/>
  <c r="N111" i="15" l="1"/>
  <c r="Z675" i="3"/>
  <c r="W523" i="3"/>
  <c r="Y679" i="3"/>
  <c r="J677" i="3"/>
  <c r="AQ825" i="8"/>
  <c r="K678" i="3"/>
  <c r="E823" i="3" s="1"/>
  <c r="G823" i="3" s="1"/>
  <c r="W524" i="3"/>
  <c r="X187" i="8"/>
  <c r="H822" i="3"/>
  <c r="M677" i="3" l="1"/>
  <c r="M678" i="3" s="1"/>
  <c r="M679" i="3" s="1"/>
  <c r="Z679" i="3" s="1"/>
  <c r="R823" i="8"/>
  <c r="W112" i="15"/>
  <c r="AF112" i="15" s="1"/>
  <c r="W272" i="14"/>
  <c r="AF272" i="14" s="1"/>
  <c r="V816" i="8"/>
  <c r="AM271" i="14"/>
  <c r="AM111" i="15"/>
  <c r="Y677" i="3"/>
  <c r="J678" i="3"/>
  <c r="K680" i="3"/>
  <c r="AQ830" i="8"/>
  <c r="W526" i="3"/>
  <c r="Z678" i="3" l="1"/>
  <c r="J680" i="3"/>
  <c r="Z677" i="3"/>
  <c r="D823" i="3"/>
  <c r="P823" i="8" s="1"/>
  <c r="Y680" i="3"/>
  <c r="Y678" i="3"/>
  <c r="X191" i="8"/>
  <c r="X195" i="8"/>
  <c r="H823" i="3"/>
  <c r="N112" i="15" l="1"/>
  <c r="N272" i="14"/>
  <c r="V823" i="8"/>
  <c r="AM272" i="14"/>
  <c r="AM112" i="15"/>
  <c r="K682" i="3"/>
  <c r="AQ834" i="8"/>
  <c r="J682" i="3"/>
  <c r="J681" i="3"/>
  <c r="K681" i="3"/>
  <c r="AQ832" i="8"/>
  <c r="W528" i="3"/>
  <c r="W527" i="3"/>
  <c r="E824" i="3" l="1"/>
  <c r="G824" i="3" s="1"/>
  <c r="R830" i="8" s="1"/>
  <c r="M680" i="3"/>
  <c r="W113" i="15"/>
  <c r="W273" i="14"/>
  <c r="D824" i="3"/>
  <c r="Y681" i="3"/>
  <c r="X200" i="8"/>
  <c r="M681" i="3" l="1"/>
  <c r="Z680" i="3"/>
  <c r="P830" i="8"/>
  <c r="N273" i="14"/>
  <c r="N113" i="15"/>
  <c r="AF113" i="15"/>
  <c r="AF273" i="14"/>
  <c r="K683" i="3"/>
  <c r="AQ837" i="8"/>
  <c r="W529" i="3"/>
  <c r="J683" i="3" l="1"/>
  <c r="M682" i="3"/>
  <c r="Z682" i="3" s="1"/>
  <c r="X682" i="3" s="1"/>
  <c r="Z681" i="3"/>
  <c r="X681" i="3" s="1"/>
  <c r="Y683" i="3"/>
  <c r="H824" i="3"/>
  <c r="X204" i="8"/>
  <c r="X208" i="8"/>
  <c r="W681" i="3" l="1"/>
  <c r="X832" i="8"/>
  <c r="W682" i="3"/>
  <c r="X834" i="8"/>
  <c r="V830" i="8"/>
  <c r="AM273" i="14"/>
  <c r="AM113" i="15"/>
  <c r="K685" i="3"/>
  <c r="AQ841" i="8"/>
  <c r="J684" i="3"/>
  <c r="K684" i="3"/>
  <c r="M683" i="3" s="1"/>
  <c r="M684" i="3" s="1"/>
  <c r="M685" i="3" s="1"/>
  <c r="AQ839" i="8"/>
  <c r="W531" i="3"/>
  <c r="W530" i="3"/>
  <c r="Z684" i="3" l="1"/>
  <c r="Z683" i="3"/>
  <c r="X683" i="3" s="1"/>
  <c r="E825" i="3"/>
  <c r="G825" i="3" s="1"/>
  <c r="Y684" i="3"/>
  <c r="X684" i="3" s="1"/>
  <c r="J685" i="3"/>
  <c r="Z685" i="3" s="1"/>
  <c r="K686" i="3"/>
  <c r="AQ844" i="8"/>
  <c r="X213" i="8"/>
  <c r="X217" i="8"/>
  <c r="W683" i="3" l="1"/>
  <c r="X837" i="8"/>
  <c r="D825" i="3"/>
  <c r="P837" i="8" s="1"/>
  <c r="R837" i="8"/>
  <c r="W114" i="15"/>
  <c r="W274" i="14"/>
  <c r="Y685" i="3"/>
  <c r="X685" i="3" s="1"/>
  <c r="X839" i="8"/>
  <c r="J686" i="3"/>
  <c r="W533" i="3"/>
  <c r="W532" i="3"/>
  <c r="X221" i="8"/>
  <c r="H825" i="3"/>
  <c r="N114" i="15" l="1"/>
  <c r="N274" i="14"/>
  <c r="X841" i="8"/>
  <c r="V837" i="8"/>
  <c r="AM274" i="14"/>
  <c r="AM114" i="15"/>
  <c r="AF274" i="14"/>
  <c r="AF114" i="15"/>
  <c r="Y686" i="3"/>
  <c r="W684" i="3"/>
  <c r="K688" i="3"/>
  <c r="AQ848" i="8"/>
  <c r="J687" i="3"/>
  <c r="K687" i="3"/>
  <c r="AQ846" i="8"/>
  <c r="W534" i="3"/>
  <c r="X226" i="8"/>
  <c r="E826" i="3" l="1"/>
  <c r="G826" i="3" s="1"/>
  <c r="M686" i="3"/>
  <c r="W685" i="3"/>
  <c r="R844" i="8"/>
  <c r="W115" i="15"/>
  <c r="W275" i="14"/>
  <c r="Y687" i="3"/>
  <c r="AQ851" i="8"/>
  <c r="K689" i="3"/>
  <c r="J688" i="3"/>
  <c r="W535" i="3"/>
  <c r="H826" i="3"/>
  <c r="X674" i="3" s="1"/>
  <c r="Z686" i="3" l="1"/>
  <c r="X686" i="3" s="1"/>
  <c r="M687" i="3"/>
  <c r="X816" i="8"/>
  <c r="W674" i="3"/>
  <c r="D826" i="3"/>
  <c r="V844" i="8"/>
  <c r="AM275" i="14"/>
  <c r="AM115" i="15"/>
  <c r="AF275" i="14"/>
  <c r="P844" i="8"/>
  <c r="N275" i="14"/>
  <c r="N115" i="15"/>
  <c r="AF115" i="15"/>
  <c r="Y688" i="3"/>
  <c r="J689" i="3"/>
  <c r="X230" i="8"/>
  <c r="X234" i="8"/>
  <c r="W686" i="3" l="1"/>
  <c r="X844" i="8"/>
  <c r="Z687" i="3"/>
  <c r="X687" i="3" s="1"/>
  <c r="M688" i="3"/>
  <c r="Z688" i="3" s="1"/>
  <c r="X688" i="3" s="1"/>
  <c r="X848" i="8" s="1"/>
  <c r="Y689" i="3"/>
  <c r="AQ855" i="8"/>
  <c r="K691" i="3"/>
  <c r="AQ853" i="8"/>
  <c r="J690" i="3"/>
  <c r="K690" i="3"/>
  <c r="M689" i="3" s="1"/>
  <c r="W537" i="3"/>
  <c r="W536" i="3"/>
  <c r="W687" i="3" l="1"/>
  <c r="X846" i="8"/>
  <c r="Z689" i="3"/>
  <c r="X689" i="3" s="1"/>
  <c r="X851" i="8" s="1"/>
  <c r="M690" i="3"/>
  <c r="E827" i="3"/>
  <c r="G827" i="3" s="1"/>
  <c r="W688" i="3"/>
  <c r="Y690" i="3"/>
  <c r="J691" i="3"/>
  <c r="X239" i="8"/>
  <c r="Z690" i="3" l="1"/>
  <c r="X690" i="3" s="1"/>
  <c r="X853" i="8" s="1"/>
  <c r="M691" i="3"/>
  <c r="Z691" i="3" s="1"/>
  <c r="D827" i="3"/>
  <c r="P851" i="8" s="1"/>
  <c r="R851" i="8"/>
  <c r="W116" i="15"/>
  <c r="W276" i="14"/>
  <c r="W689" i="3"/>
  <c r="Y691" i="3"/>
  <c r="X691" i="3" s="1"/>
  <c r="AQ858" i="8"/>
  <c r="K692" i="3"/>
  <c r="W538" i="3"/>
  <c r="H827" i="3"/>
  <c r="X675" i="3" s="1"/>
  <c r="N276" i="14" l="1"/>
  <c r="N116" i="15"/>
  <c r="X818" i="8"/>
  <c r="W675" i="3"/>
  <c r="V851" i="8"/>
  <c r="AM116" i="15"/>
  <c r="AM276" i="14"/>
  <c r="AF276" i="14"/>
  <c r="AF116" i="15"/>
  <c r="X855" i="8"/>
  <c r="W690" i="3"/>
  <c r="J692" i="3"/>
  <c r="X243" i="8"/>
  <c r="X247" i="8"/>
  <c r="W691" i="3" l="1"/>
  <c r="Y692" i="3"/>
  <c r="K694" i="3"/>
  <c r="J694" i="3" s="1"/>
  <c r="AQ862" i="8"/>
  <c r="AQ860" i="8"/>
  <c r="K693" i="3"/>
  <c r="J693" i="3"/>
  <c r="W540" i="3"/>
  <c r="W539" i="3"/>
  <c r="X252" i="8"/>
  <c r="E828" i="3" l="1"/>
  <c r="G828" i="3" s="1"/>
  <c r="R858" i="8" s="1"/>
  <c r="M692" i="3"/>
  <c r="D828" i="3"/>
  <c r="Y694" i="3"/>
  <c r="Y693" i="3"/>
  <c r="K695" i="3"/>
  <c r="AQ865" i="8"/>
  <c r="W541" i="3"/>
  <c r="X260" i="8"/>
  <c r="W117" i="15" l="1"/>
  <c r="W277" i="14"/>
  <c r="M693" i="3"/>
  <c r="Z692" i="3"/>
  <c r="X692" i="3" s="1"/>
  <c r="AF117" i="15"/>
  <c r="P858" i="8"/>
  <c r="N117" i="15"/>
  <c r="N277" i="14"/>
  <c r="AF277" i="14"/>
  <c r="X872" i="8"/>
  <c r="J695" i="3"/>
  <c r="AQ869" i="8"/>
  <c r="K697" i="3"/>
  <c r="W543" i="3"/>
  <c r="H828" i="3"/>
  <c r="X676" i="3" s="1"/>
  <c r="X256" i="8"/>
  <c r="W692" i="3" l="1"/>
  <c r="X858" i="8"/>
  <c r="M694" i="3"/>
  <c r="Z694" i="3" s="1"/>
  <c r="X694" i="3" s="1"/>
  <c r="X862" i="8" s="1"/>
  <c r="Z693" i="3"/>
  <c r="X693" i="3" s="1"/>
  <c r="X820" i="8"/>
  <c r="W676" i="3"/>
  <c r="V858" i="8"/>
  <c r="AM117" i="15"/>
  <c r="AM277" i="14"/>
  <c r="Y695" i="3"/>
  <c r="W698" i="3"/>
  <c r="J697" i="3"/>
  <c r="AQ867" i="8"/>
  <c r="J696" i="3"/>
  <c r="K696" i="3"/>
  <c r="W542" i="3"/>
  <c r="X265" i="8" s="1"/>
  <c r="X269" i="8"/>
  <c r="W694" i="3" l="1"/>
  <c r="W693" i="3"/>
  <c r="X860" i="8"/>
  <c r="E829" i="3"/>
  <c r="G829" i="3" s="1"/>
  <c r="R865" i="8" s="1"/>
  <c r="M695" i="3"/>
  <c r="D829" i="3"/>
  <c r="Y696" i="3"/>
  <c r="Y697" i="3"/>
  <c r="W545" i="3"/>
  <c r="X278" i="8" s="1"/>
  <c r="W544" i="3"/>
  <c r="X273" i="8" s="1"/>
  <c r="X282" i="8"/>
  <c r="H831" i="3"/>
  <c r="X679" i="3" s="1"/>
  <c r="W118" i="15" l="1"/>
  <c r="W278" i="14"/>
  <c r="M696" i="3"/>
  <c r="Z695" i="3"/>
  <c r="X695" i="3" s="1"/>
  <c r="X827" i="8"/>
  <c r="W679" i="3"/>
  <c r="V879" i="8"/>
  <c r="AM280" i="14"/>
  <c r="AF278" i="14"/>
  <c r="P865" i="8"/>
  <c r="N278" i="14"/>
  <c r="N118" i="15"/>
  <c r="AF118" i="15"/>
  <c r="W546" i="3"/>
  <c r="W548" i="3"/>
  <c r="X291" i="8" s="1"/>
  <c r="W547" i="3"/>
  <c r="X286" i="8" s="1"/>
  <c r="H830" i="3"/>
  <c r="X678" i="3" s="1"/>
  <c r="H832" i="3"/>
  <c r="X680" i="3" s="1"/>
  <c r="X295" i="8"/>
  <c r="W695" i="3" l="1"/>
  <c r="X865" i="8"/>
  <c r="M697" i="3"/>
  <c r="Z697" i="3" s="1"/>
  <c r="X697" i="3" s="1"/>
  <c r="X869" i="8" s="1"/>
  <c r="Z696" i="3"/>
  <c r="X696" i="3" s="1"/>
  <c r="X825" i="8"/>
  <c r="W678" i="3"/>
  <c r="X830" i="8"/>
  <c r="W680" i="3"/>
  <c r="V886" i="8"/>
  <c r="AM281" i="14"/>
  <c r="V872" i="8"/>
  <c r="AM279" i="14"/>
  <c r="W551" i="3"/>
  <c r="X304" i="8" s="1"/>
  <c r="W549" i="3"/>
  <c r="W550" i="3"/>
  <c r="X299" i="8" s="1"/>
  <c r="X308" i="8"/>
  <c r="H829" i="3"/>
  <c r="X677" i="3" s="1"/>
  <c r="W697" i="3" l="1"/>
  <c r="W696" i="3"/>
  <c r="X867" i="8"/>
  <c r="X823" i="8"/>
  <c r="W677" i="3"/>
  <c r="V865" i="8"/>
  <c r="AM278" i="14"/>
  <c r="AM118" i="15"/>
  <c r="W554" i="3"/>
  <c r="X317" i="8" s="1"/>
  <c r="W552" i="3"/>
  <c r="W553" i="3"/>
  <c r="X312" i="8" s="1"/>
  <c r="X321" i="8"/>
  <c r="W557" i="3" l="1"/>
  <c r="X330" i="8" s="1"/>
  <c r="W555" i="3"/>
  <c r="W556" i="3"/>
  <c r="X325" i="8" s="1"/>
  <c r="X334" i="8"/>
  <c r="W558" i="3" l="1"/>
  <c r="W560" i="3"/>
  <c r="X343" i="8" s="1"/>
  <c r="W559" i="3"/>
  <c r="X338" i="8" s="1"/>
  <c r="X347" i="8"/>
  <c r="W563" i="3" l="1"/>
  <c r="X356" i="8" s="1"/>
  <c r="W561" i="3"/>
  <c r="W562" i="3"/>
  <c r="X351" i="8" s="1"/>
  <c r="X360" i="8"/>
  <c r="W566" i="3" l="1"/>
  <c r="X369" i="8" s="1"/>
  <c r="W564" i="3"/>
  <c r="W565" i="3"/>
  <c r="X364" i="8" s="1"/>
  <c r="X373" i="8"/>
  <c r="W569" i="3" l="1"/>
  <c r="X382" i="8" s="1"/>
  <c r="W567" i="3"/>
  <c r="W568" i="3"/>
  <c r="X377" i="8" s="1"/>
  <c r="X386" i="8"/>
  <c r="W572" i="3" l="1"/>
  <c r="X395" i="8" s="1"/>
  <c r="W570" i="3"/>
  <c r="W571" i="3"/>
  <c r="X390" i="8" s="1"/>
  <c r="X399" i="8"/>
  <c r="W575" i="3" l="1"/>
  <c r="X408" i="8" s="1"/>
  <c r="W573" i="3"/>
  <c r="W574" i="3"/>
  <c r="X403" i="8" s="1"/>
  <c r="X412" i="8"/>
  <c r="W576" i="3" l="1"/>
  <c r="W578" i="3"/>
  <c r="X421" i="8" s="1"/>
  <c r="W577" i="3"/>
  <c r="X416" i="8" s="1"/>
  <c r="X425" i="8"/>
  <c r="W581" i="3" l="1"/>
  <c r="X434" i="8" s="1"/>
  <c r="W580" i="3"/>
  <c r="X429" i="8" s="1"/>
  <c r="W579" i="3"/>
  <c r="X438" i="8"/>
  <c r="W584" i="3" l="1"/>
  <c r="X447" i="8" s="1"/>
  <c r="W582" i="3"/>
  <c r="W583" i="3"/>
  <c r="X442" i="8" s="1"/>
  <c r="X451" i="8"/>
  <c r="W587" i="3" l="1"/>
  <c r="X460" i="8" s="1"/>
  <c r="W585" i="3"/>
  <c r="W586" i="3"/>
  <c r="X455" i="8" s="1"/>
  <c r="X464" i="8"/>
  <c r="W590" i="3" l="1"/>
  <c r="X473" i="8" s="1"/>
  <c r="W588" i="3"/>
  <c r="W589" i="3"/>
  <c r="X468" i="8" s="1"/>
  <c r="X477" i="8"/>
  <c r="W591" i="3" l="1"/>
  <c r="W593" i="3"/>
  <c r="X486" i="8" s="1"/>
  <c r="W592" i="3"/>
  <c r="X481" i="8" s="1"/>
  <c r="X490" i="8"/>
  <c r="W596" i="3" l="1"/>
  <c r="X499" i="8" s="1"/>
  <c r="W594" i="3"/>
  <c r="W595" i="3"/>
  <c r="X494" i="8" s="1"/>
  <c r="X503" i="8"/>
  <c r="W599" i="3" l="1"/>
  <c r="X512" i="8" s="1"/>
  <c r="W597" i="3"/>
  <c r="W598" i="3"/>
  <c r="X507" i="8" s="1"/>
  <c r="X516" i="8"/>
  <c r="W600" i="3" l="1"/>
  <c r="W602" i="3"/>
  <c r="X525" i="8" s="1"/>
  <c r="W601" i="3"/>
  <c r="X520" i="8" s="1"/>
  <c r="X529" i="8"/>
  <c r="W605" i="3" l="1"/>
  <c r="X538" i="8" s="1"/>
  <c r="W603" i="3"/>
  <c r="W604" i="3"/>
  <c r="X533" i="8" s="1"/>
  <c r="X542" i="8"/>
  <c r="W608" i="3" l="1"/>
  <c r="X551" i="8" s="1"/>
  <c r="W606" i="3"/>
  <c r="W607" i="3"/>
  <c r="X546" i="8" s="1"/>
  <c r="X555" i="8"/>
  <c r="W611" i="3" l="1"/>
  <c r="X564" i="8" s="1"/>
  <c r="W609" i="3"/>
  <c r="W610" i="3"/>
  <c r="X559" i="8" s="1"/>
  <c r="X568" i="8"/>
  <c r="W614" i="3" l="1"/>
  <c r="X577" i="8" s="1"/>
  <c r="W612" i="3"/>
  <c r="W613" i="3"/>
  <c r="X572" i="8" s="1"/>
  <c r="X581" i="8"/>
  <c r="W617" i="3" l="1"/>
  <c r="X590" i="8" s="1"/>
  <c r="W615" i="3"/>
  <c r="W616" i="3"/>
  <c r="X585" i="8" s="1"/>
  <c r="X594" i="8"/>
  <c r="W618" i="3" l="1"/>
  <c r="W620" i="3"/>
  <c r="X603" i="8" s="1"/>
  <c r="W619" i="3"/>
  <c r="X598" i="8" s="1"/>
  <c r="X607" i="8"/>
  <c r="W622" i="3" l="1"/>
  <c r="X611" i="8" s="1"/>
  <c r="W623" i="3"/>
  <c r="X616" i="8" s="1"/>
  <c r="W621" i="3"/>
  <c r="X620" i="8"/>
  <c r="W626" i="3" l="1"/>
  <c r="X629" i="8" s="1"/>
  <c r="W625" i="3"/>
  <c r="X624" i="8" s="1"/>
  <c r="W624" i="3"/>
  <c r="X633" i="8"/>
  <c r="W629" i="3" l="1"/>
  <c r="X642" i="8" s="1"/>
  <c r="W627" i="3"/>
  <c r="W628" i="3"/>
  <c r="X637" i="8" s="1"/>
  <c r="X646" i="8"/>
  <c r="W632" i="3" l="1"/>
  <c r="X655" i="8" s="1"/>
  <c r="W630" i="3"/>
  <c r="W631" i="3"/>
  <c r="X650" i="8" s="1"/>
  <c r="X659" i="8"/>
  <c r="W635" i="3" l="1"/>
  <c r="X668" i="8" s="1"/>
  <c r="W633" i="3"/>
  <c r="W634" i="3"/>
  <c r="X663" i="8" s="1"/>
  <c r="X672" i="8"/>
  <c r="W638" i="3" l="1"/>
  <c r="X681" i="8" s="1"/>
  <c r="W636" i="3"/>
  <c r="W637" i="3"/>
  <c r="X676" i="8" s="1"/>
  <c r="X685" i="8"/>
  <c r="W641" i="3" l="1"/>
  <c r="X694" i="8" s="1"/>
  <c r="W639" i="3"/>
  <c r="W640" i="3"/>
  <c r="X689" i="8" s="1"/>
  <c r="X698" i="8"/>
  <c r="W644" i="3" l="1"/>
  <c r="X707" i="8" s="1"/>
  <c r="W642" i="3"/>
  <c r="W643" i="3"/>
  <c r="X702" i="8" s="1"/>
  <c r="X711" i="8"/>
  <c r="W647" i="3" l="1"/>
  <c r="X720" i="8" s="1"/>
  <c r="W645" i="3"/>
  <c r="W646" i="3"/>
  <c r="X715" i="8" s="1"/>
  <c r="X724" i="8"/>
  <c r="W650" i="3" l="1"/>
  <c r="X733" i="8" s="1"/>
  <c r="W648" i="3"/>
  <c r="W649" i="3"/>
  <c r="X728" i="8" s="1"/>
  <c r="X737" i="8"/>
  <c r="W653" i="3" l="1"/>
  <c r="X746" i="8" s="1"/>
  <c r="W651" i="3"/>
  <c r="W652" i="3"/>
  <c r="X741" i="8" s="1"/>
  <c r="X750" i="8"/>
  <c r="W656" i="3" l="1"/>
  <c r="X759" i="8" s="1"/>
  <c r="W654" i="3"/>
  <c r="W655" i="3"/>
  <c r="X754" i="8" s="1"/>
  <c r="X763" i="8"/>
  <c r="W659" i="3" l="1"/>
  <c r="X772" i="8" s="1"/>
  <c r="W657" i="3"/>
  <c r="W658" i="3"/>
  <c r="X767" i="8" s="1"/>
  <c r="X776" i="8"/>
  <c r="L668" i="3" l="1"/>
  <c r="M668" i="3" s="1"/>
  <c r="AS802" i="8"/>
  <c r="W660" i="3"/>
  <c r="W662" i="3"/>
  <c r="W661" i="3"/>
  <c r="X780" i="8" s="1"/>
  <c r="F820" i="3" l="1"/>
  <c r="G820" i="3" s="1"/>
  <c r="M669" i="3"/>
  <c r="W269" i="14"/>
  <c r="W109" i="15"/>
  <c r="W119" i="15" s="1"/>
  <c r="X30" i="15" s="1"/>
  <c r="W663" i="3"/>
  <c r="N802" i="8"/>
  <c r="J668" i="3"/>
  <c r="Z668" i="3" s="1"/>
  <c r="M670" i="3" l="1"/>
  <c r="Z670" i="3" s="1"/>
  <c r="Z669" i="3"/>
  <c r="X669" i="3" s="1"/>
  <c r="Y668" i="3"/>
  <c r="W319" i="14"/>
  <c r="X30" i="14" s="1"/>
  <c r="D820" i="3"/>
  <c r="R156" i="1"/>
  <c r="H820" i="3"/>
  <c r="R802" i="8"/>
  <c r="W72" i="4"/>
  <c r="W74" i="4" s="1"/>
  <c r="X30" i="4" s="1"/>
  <c r="J802" i="8"/>
  <c r="AA158" i="1" l="1"/>
  <c r="X804" i="8"/>
  <c r="W669" i="3"/>
  <c r="AM109" i="15"/>
  <c r="AM119" i="15" s="1"/>
  <c r="X668" i="3"/>
  <c r="N269" i="14"/>
  <c r="N319" i="14" s="1"/>
  <c r="X29" i="14" s="1"/>
  <c r="N109" i="15"/>
  <c r="N119" i="15" s="1"/>
  <c r="X29" i="15" s="1"/>
  <c r="V802" i="8"/>
  <c r="AM269" i="14"/>
  <c r="AM319" i="14" s="1"/>
  <c r="P156" i="1"/>
  <c r="Y820" i="3"/>
  <c r="N72" i="4"/>
  <c r="N74" i="4" s="1"/>
  <c r="X29" i="4" s="1"/>
  <c r="P802" i="8"/>
  <c r="Z820" i="3"/>
  <c r="V156" i="1"/>
  <c r="AM72" i="4"/>
  <c r="AM74" i="4" s="1"/>
  <c r="X820" i="3" l="1"/>
  <c r="X802" i="8"/>
  <c r="AA156" i="1"/>
  <c r="W668" i="3"/>
  <c r="AA147" i="1" l="1"/>
  <c r="W820" i="3"/>
  <c r="F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<sst xmlns="http://schemas.openxmlformats.org/spreadsheetml/2006/main" count="6415" uniqueCount="1060">
  <si>
    <t>入力シート</t>
  </si>
  <si>
    <t>非表示</t>
  </si>
  <si>
    <t>Ver.4.0</t>
    <phoneticPr fontId="4"/>
  </si>
  <si>
    <t>ラジオボタン・チェックボックス</t>
  </si>
  <si>
    <t>【注意】このExcelの申請様式は１０事業場、合計台数１０台までの申請に対応しています。</t>
  </si>
  <si>
    <t>　　　　 １１事業場以上、１１台以上申請する場合は、Wordの申請様式をご使用ください。</t>
  </si>
  <si>
    <t>法人での申請か、個人事業主での申請か、プルダウンから選択してください。</t>
  </si>
  <si>
    <t>※</t>
  </si>
  <si>
    <t>事業形態</t>
  </si>
  <si>
    <t>法人の例）　〇〇自動車株式会社・〇〇協同組合・学校法人〇〇学園</t>
  </si>
  <si>
    <t>個人事業主の例）　〇〇自動車</t>
  </si>
  <si>
    <t>下記の１～８の文章にしたがって、各項目に情報を入力してください。</t>
    <phoneticPr fontId="4"/>
  </si>
  <si>
    <t>※の箇所は必須項目です。入力漏れがないよう注意してください。</t>
  </si>
  <si>
    <t>←のような灰色のセルは入力不要です。</t>
    <phoneticPr fontId="4"/>
  </si>
  <si>
    <t>←のような緑色のセルは自動表示の為、入力不要です。</t>
  </si>
  <si>
    <t>１．文書番号を入力してください。（空欄可）</t>
  </si>
  <si>
    <t>第</t>
  </si>
  <si>
    <t>号</t>
  </si>
  <si>
    <t>文書番号は、申請者が必要に応じて使用してください。</t>
  </si>
  <si>
    <t>２．文書作成日を【西暦/月/日】半角英数で入力してください。</t>
    <rPh sb="2" eb="4">
      <t>ブンショ</t>
    </rPh>
    <phoneticPr fontId="4"/>
  </si>
  <si>
    <t>文書作成日</t>
  </si>
  <si>
    <t>公募公表（令和4年8月16日）よりも前の日付、および申請受付期間（令和4年9月9日）を過ぎた日付は入力できません。</t>
    <phoneticPr fontId="4"/>
  </si>
  <si>
    <t>【注意】補助金は、補助事業者の法人名義（個人事業主の場合は代表者名義）に</t>
    <rPh sb="29" eb="32">
      <t>ダイヒョウシャ</t>
    </rPh>
    <phoneticPr fontId="4"/>
  </si>
  <si>
    <t>　　　お支払いいたしますのでお気を付けください。</t>
    <phoneticPr fontId="4"/>
  </si>
  <si>
    <t>郵便番号</t>
  </si>
  <si>
    <t>-</t>
  </si>
  <si>
    <t>都道府県</t>
  </si>
  <si>
    <t>　プルダウンで選択してください。</t>
  </si>
  <si>
    <t>　例)東京都</t>
  </si>
  <si>
    <t>市区町村</t>
  </si>
  <si>
    <t>　例)千代田区</t>
  </si>
  <si>
    <t>町名地番</t>
  </si>
  <si>
    <t>　例)○○1-2</t>
    <phoneticPr fontId="4"/>
  </si>
  <si>
    <t>地番は略式表記</t>
  </si>
  <si>
    <t>建物名称</t>
  </si>
  <si>
    <t>　例)△△ビル3F</t>
    <phoneticPr fontId="4"/>
  </si>
  <si>
    <t>階数はF表記</t>
  </si>
  <si>
    <t>■代表者</t>
  </si>
  <si>
    <t>役職名</t>
  </si>
  <si>
    <t>　プルダウンで選択するか、手入力してください。</t>
  </si>
  <si>
    <t>姓</t>
  </si>
  <si>
    <t>名</t>
  </si>
  <si>
    <t>セイ（全角）</t>
  </si>
  <si>
    <t>メイ（全角）</t>
  </si>
  <si>
    <t>生年月日</t>
  </si>
  <si>
    <t>　　例）昭和32年7月29日の場合、【1957/7/29】と入力</t>
  </si>
  <si>
    <t>性別</t>
  </si>
  <si>
    <t>　　プルダウンで選択してください。</t>
  </si>
  <si>
    <t>４．申請する事業場数を選択してください。</t>
  </si>
  <si>
    <t>事業場数</t>
  </si>
  <si>
    <t>５-１．申請する事業場の情報を入力してください。</t>
  </si>
  <si>
    <t>■事業場１の事業場情報</t>
    <rPh sb="6" eb="9">
      <t>ジギョウバ</t>
    </rPh>
    <rPh sb="9" eb="11">
      <t>ジョウホウ</t>
    </rPh>
    <phoneticPr fontId="4"/>
  </si>
  <si>
    <t>認証書等・整備士証明等の例</t>
    <rPh sb="0" eb="4">
      <t>ニンショウショトウ</t>
    </rPh>
    <rPh sb="5" eb="10">
      <t>セイビシショウメイ</t>
    </rPh>
    <rPh sb="10" eb="11">
      <t>ナド</t>
    </rPh>
    <phoneticPr fontId="4"/>
  </si>
  <si>
    <t>書類の種類</t>
  </si>
  <si>
    <t>管轄運輸局</t>
  </si>
  <si>
    <t>　プルダウンで選択してください。（該当する名称がない場合は手入力してください。）</t>
    <phoneticPr fontId="4"/>
  </si>
  <si>
    <t>事業場名</t>
  </si>
  <si>
    <t>５-２．設置する補助対象機器の情報を入力してください。</t>
    <phoneticPr fontId="4"/>
  </si>
  <si>
    <t>※1台のみ申請する場合は、2台目、3台目の入力は不要です。</t>
    <rPh sb="24" eb="26">
      <t>フヨウ</t>
    </rPh>
    <phoneticPr fontId="4"/>
  </si>
  <si>
    <t>※灰色のセルに入力したものは、様式１別紙１【補助対象スキャンツールの型式等】に反映されません。</t>
    <phoneticPr fontId="4"/>
  </si>
  <si>
    <t>■</t>
  </si>
  <si>
    <t>事業場１</t>
    <rPh sb="0" eb="3">
      <t>ジギョウバ</t>
    </rPh>
    <phoneticPr fontId="4"/>
  </si>
  <si>
    <r>
      <t>・申請する機器を補助対象機器一覧の左側にある「</t>
    </r>
    <r>
      <rPr>
        <b/>
        <u/>
        <sz val="11"/>
        <color theme="1"/>
        <rFont val="ＭＳ Ｐゴシック"/>
        <family val="3"/>
        <charset val="128"/>
      </rPr>
      <t>交付申請時のコード番号</t>
    </r>
    <r>
      <rPr>
        <sz val="11"/>
        <color theme="1"/>
        <rFont val="ＭＳ Ｐゴシック"/>
        <family val="3"/>
        <charset val="128"/>
      </rPr>
      <t>」から選択してください。
　メーカー名、名称・型式、品番、ソフトのバージョンが自動表示されます。</t>
    </r>
    <rPh sb="1" eb="3">
      <t>シンセイ</t>
    </rPh>
    <rPh sb="5" eb="7">
      <t>キキ</t>
    </rPh>
    <rPh sb="8" eb="10">
      <t>ホジョ</t>
    </rPh>
    <rPh sb="10" eb="12">
      <t>タイショウ</t>
    </rPh>
    <rPh sb="12" eb="14">
      <t>キキ</t>
    </rPh>
    <rPh sb="14" eb="16">
      <t>イチラン</t>
    </rPh>
    <rPh sb="17" eb="19">
      <t>ヒダリガワ</t>
    </rPh>
    <rPh sb="23" eb="25">
      <t>コウフ</t>
    </rPh>
    <rPh sb="25" eb="28">
      <t>シンセイジ</t>
    </rPh>
    <rPh sb="32" eb="34">
      <t>バンゴウ</t>
    </rPh>
    <rPh sb="37" eb="39">
      <t>センタク</t>
    </rPh>
    <phoneticPr fontId="4"/>
  </si>
  <si>
    <r>
      <t>・「</t>
    </r>
    <r>
      <rPr>
        <b/>
        <u/>
        <sz val="11"/>
        <color theme="1"/>
        <rFont val="ＭＳ Ｐゴシック"/>
        <family val="3"/>
        <charset val="128"/>
      </rPr>
      <t>交付申請時のコード番号</t>
    </r>
    <r>
      <rPr>
        <sz val="11"/>
        <color theme="1"/>
        <rFont val="ＭＳ Ｐゴシック"/>
        <family val="3"/>
        <charset val="128"/>
      </rPr>
      <t>」が選べなかった場合は、隣の「コード番号の有無」で「</t>
    </r>
    <r>
      <rPr>
        <b/>
        <u/>
        <sz val="11"/>
        <color rgb="FFFF0000"/>
        <rFont val="ＭＳ Ｐゴシック"/>
        <family val="3"/>
        <charset val="128"/>
      </rPr>
      <t>なし</t>
    </r>
    <r>
      <rPr>
        <sz val="11"/>
        <color theme="1"/>
        <rFont val="ＭＳ Ｐゴシック"/>
        <family val="3"/>
        <charset val="128"/>
      </rPr>
      <t>」を選択してください。</t>
    </r>
    <rPh sb="15" eb="16">
      <t>エラ</t>
    </rPh>
    <rPh sb="21" eb="23">
      <t>バアイ</t>
    </rPh>
    <rPh sb="25" eb="26">
      <t>トナリ</t>
    </rPh>
    <rPh sb="31" eb="33">
      <t>バンゴウ</t>
    </rPh>
    <rPh sb="34" eb="36">
      <t>ウム</t>
    </rPh>
    <rPh sb="43" eb="45">
      <t>センタク</t>
    </rPh>
    <phoneticPr fontId="4"/>
  </si>
  <si>
    <r>
      <t>　下段の「入力してください」と書かれている行に、</t>
    </r>
    <r>
      <rPr>
        <b/>
        <sz val="11"/>
        <color theme="1"/>
        <rFont val="ＭＳ Ｐゴシック"/>
        <family val="3"/>
        <charset val="128"/>
      </rPr>
      <t>メーカー名～ソフトのバージョンを手入力してください。</t>
    </r>
    <rPh sb="1" eb="3">
      <t>ゲダン</t>
    </rPh>
    <rPh sb="5" eb="7">
      <t>ニュウリョク</t>
    </rPh>
    <rPh sb="15" eb="16">
      <t>カ</t>
    </rPh>
    <rPh sb="21" eb="22">
      <t>ギョウ</t>
    </rPh>
    <phoneticPr fontId="4"/>
  </si>
  <si>
    <t>交付申請時のコード番号</t>
    <rPh sb="0" eb="5">
      <t>コウフシンセイジ</t>
    </rPh>
    <phoneticPr fontId="4"/>
  </si>
  <si>
    <t>コード番号の有無</t>
    <rPh sb="3" eb="5">
      <t>バンゴウ</t>
    </rPh>
    <rPh sb="6" eb="8">
      <t>ウム</t>
    </rPh>
    <phoneticPr fontId="4"/>
  </si>
  <si>
    <t>メーカー名</t>
  </si>
  <si>
    <t>名称・型式</t>
  </si>
  <si>
    <t>品番</t>
  </si>
  <si>
    <t>ｿﾌﾄのﾊﾞｰｼﾞｮﾝ</t>
  </si>
  <si>
    <t>※</t>
    <phoneticPr fontId="4"/>
  </si>
  <si>
    <t>１台目</t>
    <phoneticPr fontId="4"/>
  </si>
  <si>
    <t>２台目</t>
    <phoneticPr fontId="4"/>
  </si>
  <si>
    <t>３台目</t>
    <phoneticPr fontId="4"/>
  </si>
  <si>
    <t>５-３．補助事業に要する経費を税抜で入力してください。</t>
    <rPh sb="15" eb="17">
      <t>ゼイヌキ</t>
    </rPh>
    <phoneticPr fontId="4"/>
  </si>
  <si>
    <t>・見積書に補助対象外の経費が含まれているか選択してください。</t>
    <rPh sb="11" eb="13">
      <t>ケイヒ</t>
    </rPh>
    <rPh sb="21" eb="23">
      <t>センタク</t>
    </rPh>
    <phoneticPr fontId="4"/>
  </si>
  <si>
    <r>
      <t>　※見積書にプリンタや送料等、</t>
    </r>
    <r>
      <rPr>
        <b/>
        <u/>
        <sz val="11"/>
        <color theme="1"/>
        <rFont val="ＭＳ Ｐゴシック"/>
        <family val="3"/>
        <charset val="128"/>
      </rPr>
      <t>補助対象外のものが含まれている場合は「含まれている」</t>
    </r>
    <r>
      <rPr>
        <sz val="11"/>
        <color theme="1"/>
        <rFont val="ＭＳ Ｐゴシック"/>
        <family val="3"/>
        <charset val="128"/>
      </rPr>
      <t>を、</t>
    </r>
    <phoneticPr fontId="4"/>
  </si>
  <si>
    <r>
      <t>　　</t>
    </r>
    <r>
      <rPr>
        <b/>
        <u/>
        <sz val="11"/>
        <color theme="1"/>
        <rFont val="ＭＳ Ｐゴシック"/>
        <family val="3"/>
        <charset val="128"/>
      </rPr>
      <t>スキャンツールのみの場合は「含まれていない」</t>
    </r>
    <r>
      <rPr>
        <sz val="11"/>
        <color theme="1"/>
        <rFont val="ＭＳ Ｐゴシック"/>
        <family val="3"/>
        <charset val="128"/>
      </rPr>
      <t>を選択してください。</t>
    </r>
    <phoneticPr fontId="4"/>
  </si>
  <si>
    <r>
      <t>・「含まれている」を選択した場合は、補助事業に要する経費、スキャンツールの価格を</t>
    </r>
    <r>
      <rPr>
        <b/>
        <u/>
        <sz val="11"/>
        <color rgb="FFFF0000"/>
        <rFont val="ＭＳ Ｐゴシック"/>
        <family val="3"/>
        <charset val="128"/>
      </rPr>
      <t>税抜</t>
    </r>
    <r>
      <rPr>
        <sz val="11"/>
        <color theme="1"/>
        <rFont val="ＭＳ Ｐゴシック"/>
        <family val="3"/>
        <charset val="128"/>
      </rPr>
      <t>で入力してください。</t>
    </r>
    <rPh sb="2" eb="3">
      <t>フク</t>
    </rPh>
    <rPh sb="10" eb="12">
      <t>センタク</t>
    </rPh>
    <rPh sb="14" eb="16">
      <t>バアイ</t>
    </rPh>
    <rPh sb="40" eb="42">
      <t>ゼイヌキ</t>
    </rPh>
    <phoneticPr fontId="4"/>
  </si>
  <si>
    <r>
      <t>・「含まれていない」を選択した場合は、スキャンツールの価格を</t>
    </r>
    <r>
      <rPr>
        <b/>
        <u/>
        <sz val="11"/>
        <color rgb="FFFF0000"/>
        <rFont val="ＭＳ Ｐゴシック"/>
        <family val="3"/>
        <charset val="128"/>
      </rPr>
      <t>税抜</t>
    </r>
    <r>
      <rPr>
        <sz val="11"/>
        <color theme="1"/>
        <rFont val="ＭＳ Ｐゴシック"/>
        <family val="3"/>
        <charset val="128"/>
      </rPr>
      <t>で入力してください。</t>
    </r>
    <rPh sb="2" eb="3">
      <t>フク</t>
    </rPh>
    <rPh sb="11" eb="13">
      <t>センタク</t>
    </rPh>
    <rPh sb="15" eb="17">
      <t>バアイ</t>
    </rPh>
    <rPh sb="30" eb="32">
      <t>ゼイヌキ</t>
    </rPh>
    <phoneticPr fontId="4"/>
  </si>
  <si>
    <t>　※「含まれていない」場合は、要する経費は入力不要です。（スキャンツールの価格+情報端末価格と同額になります。）</t>
    <rPh sb="3" eb="4">
      <t>フク</t>
    </rPh>
    <rPh sb="11" eb="13">
      <t>バアイ</t>
    </rPh>
    <rPh sb="15" eb="16">
      <t>ヨウ</t>
    </rPh>
    <rPh sb="18" eb="20">
      <t>ケイヒ</t>
    </rPh>
    <rPh sb="21" eb="25">
      <t>ニュウリョクフヨウ</t>
    </rPh>
    <rPh sb="37" eb="39">
      <t>カカク</t>
    </rPh>
    <rPh sb="40" eb="44">
      <t>ジョウホウタンマツ</t>
    </rPh>
    <rPh sb="44" eb="46">
      <t>カカク</t>
    </rPh>
    <rPh sb="47" eb="49">
      <t>ドウガク</t>
    </rPh>
    <phoneticPr fontId="4"/>
  </si>
  <si>
    <r>
      <t>　※情報端末価格（税抜）は、</t>
    </r>
    <r>
      <rPr>
        <b/>
        <sz val="11"/>
        <color theme="1"/>
        <rFont val="ＭＳ Ｐゴシック"/>
        <family val="3"/>
        <charset val="128"/>
      </rPr>
      <t>補助対象機器一覧の形態番号が③の機器のみ入力可能</t>
    </r>
    <r>
      <rPr>
        <sz val="11"/>
        <color theme="1"/>
        <rFont val="ＭＳ Ｐゴシック"/>
        <family val="3"/>
        <charset val="128"/>
      </rPr>
      <t>です。</t>
    </r>
    <rPh sb="2" eb="6">
      <t>ジョウホウタンマツ</t>
    </rPh>
    <rPh sb="6" eb="8">
      <t>カカク</t>
    </rPh>
    <rPh sb="14" eb="22">
      <t>ホジョタイショウキキイチラン</t>
    </rPh>
    <rPh sb="23" eb="27">
      <t>ケイタイバンゴウ</t>
    </rPh>
    <rPh sb="30" eb="32">
      <t>キキ</t>
    </rPh>
    <rPh sb="34" eb="38">
      <t>ニュウリョクカノウ</t>
    </rPh>
    <phoneticPr fontId="4"/>
  </si>
  <si>
    <t>　※内訳の各項目に金額（税抜）を入力すると、事業場1の申請金額が自動で計算されます。</t>
    <rPh sb="12" eb="14">
      <t>ゼイヌキ</t>
    </rPh>
    <phoneticPr fontId="4"/>
  </si>
  <si>
    <t>※灰色のセルに入力したものは、合計額に反映されません。</t>
    <phoneticPr fontId="4"/>
  </si>
  <si>
    <t>見積書に補助対象外の経費が
含まれているか</t>
    <phoneticPr fontId="4"/>
  </si>
  <si>
    <t>補助事業に
要する経費</t>
    <phoneticPr fontId="4"/>
  </si>
  <si>
    <t>スキャンツールの価格</t>
  </si>
  <si>
    <t>情報端末価格</t>
  </si>
  <si>
    <t>補助事業に要する経費</t>
  </si>
  <si>
    <t>補助対象
経費</t>
  </si>
  <si>
    <t>補助率</t>
  </si>
  <si>
    <t>補助金の額</t>
  </si>
  <si>
    <t>機器入力有</t>
    <rPh sb="0" eb="2">
      <t>キキ</t>
    </rPh>
    <rPh sb="2" eb="4">
      <t>ニュウリョク</t>
    </rPh>
    <rPh sb="4" eb="5">
      <t>アリ</t>
    </rPh>
    <phoneticPr fontId="4"/>
  </si>
  <si>
    <t>要する経費入力可</t>
    <rPh sb="0" eb="1">
      <t>ヨウ</t>
    </rPh>
    <rPh sb="3" eb="5">
      <t>ケイヒ</t>
    </rPh>
    <rPh sb="5" eb="8">
      <t>ニュウリョクカ</t>
    </rPh>
    <phoneticPr fontId="4"/>
  </si>
  <si>
    <t>1/3以内</t>
  </si>
  <si>
    <t>事業場２以降はこちらで入力してください。</t>
    <phoneticPr fontId="4"/>
  </si>
  <si>
    <t>６．事業の完了予定年月日を【西暦/月/日】半角英数で入力してください。</t>
  </si>
  <si>
    <t>完了予定日</t>
  </si>
  <si>
    <t>　例）令和4年12月23日の場合、【2022/12/23】と入力</t>
    <phoneticPr fontId="4"/>
  </si>
  <si>
    <t>実績完了期限（令和4年12月23日）よりも後の日付にならないよう注意してください。</t>
    <phoneticPr fontId="4"/>
  </si>
  <si>
    <t>７．補助事業の窓口となる担当者の部署、役職、氏名、連絡先を入力してください。</t>
  </si>
  <si>
    <t>担当者</t>
  </si>
  <si>
    <t>担当部署</t>
  </si>
  <si>
    <t>電話番号</t>
  </si>
  <si>
    <t>分けて入力してください。</t>
  </si>
  <si>
    <t>FAX番号</t>
  </si>
  <si>
    <t>01</t>
    <phoneticPr fontId="4"/>
  </si>
  <si>
    <t>2345</t>
    <phoneticPr fontId="4"/>
  </si>
  <si>
    <t>6789</t>
    <phoneticPr fontId="4"/>
  </si>
  <si>
    <t>E-mailアドレス</t>
  </si>
  <si>
    <t>@</t>
    <phoneticPr fontId="4"/>
  </si>
  <si>
    <t>アカウントの例）scan_hojokin</t>
  </si>
  <si>
    <t>ドメインの例）04.pacific-hojo.jp</t>
  </si>
  <si>
    <t>（確認）</t>
    <rPh sb="1" eb="3">
      <t>カクニン</t>
    </rPh>
    <phoneticPr fontId="4"/>
  </si>
  <si>
    <t>８．郵送時の郵便番号、住所、宛名を入力してください。（枠内の色が白い箇所のみ入力してください。）</t>
  </si>
  <si>
    <t>【注意】原則、事務局からの通知はメールにて行います。</t>
  </si>
  <si>
    <t>　　　　 不測の事態によりメールによる通知が行えない場合などに郵送で通知を行うことがあります。</t>
  </si>
  <si>
    <t>送付先住所</t>
  </si>
  <si>
    <t>それ以外（手入力）</t>
    <rPh sb="2" eb="4">
      <t>イガイ</t>
    </rPh>
    <rPh sb="5" eb="8">
      <t>テニュウリョク</t>
    </rPh>
    <phoneticPr fontId="4"/>
  </si>
  <si>
    <t>999</t>
  </si>
  <si>
    <t>８８８9</t>
  </si>
  <si>
    <t>神奈川県</t>
  </si>
  <si>
    <t>プルダウンで選択してください。</t>
  </si>
  <si>
    <t>ｄ００７ＵＵＵsouhu</t>
  </si>
  <si>
    <t>ｄ００８ＵＵＵsouhu</t>
  </si>
  <si>
    <t>　例)神田錦町3-18</t>
  </si>
  <si>
    <t>ｄ００９ＵＵＵsouhu</t>
  </si>
  <si>
    <t>　例)寿ビル9F</t>
  </si>
  <si>
    <t>法人名</t>
  </si>
  <si>
    <t>ｄ０１０ＵＵＵsouhu</t>
  </si>
  <si>
    <t>送付先宛名</t>
  </si>
  <si>
    <t>送付先部署</t>
    <rPh sb="3" eb="5">
      <t>ブショ</t>
    </rPh>
    <phoneticPr fontId="4"/>
  </si>
  <si>
    <t>送付先役職</t>
    <rPh sb="3" eb="5">
      <t>ヤクショク</t>
    </rPh>
    <phoneticPr fontId="4"/>
  </si>
  <si>
    <t>送付先姓</t>
    <rPh sb="0" eb="3">
      <t>ソウフサキ</t>
    </rPh>
    <rPh sb="3" eb="4">
      <t>セイ</t>
    </rPh>
    <phoneticPr fontId="4"/>
  </si>
  <si>
    <t>送付先名</t>
    <rPh sb="0" eb="3">
      <t>ソウフサキ</t>
    </rPh>
    <rPh sb="3" eb="4">
      <t>メイ</t>
    </rPh>
    <phoneticPr fontId="4"/>
  </si>
  <si>
    <t>８．役員の人数と代表者（３に入力した人物）以外の役員の役職、氏名、生年月日、性別を</t>
    <phoneticPr fontId="4"/>
  </si>
  <si>
    <t>　　　</t>
  </si>
  <si>
    <t>入力してください。（枠内の色が白い箇所のみ入力してください。）</t>
  </si>
  <si>
    <t>※個人事業主の場合は入力不要です。</t>
  </si>
  <si>
    <t>役員の人数</t>
  </si>
  <si>
    <t>（３に記載した代表者を含む）</t>
  </si>
  <si>
    <t>役職</t>
  </si>
  <si>
    <t>　３.の代表者より自動反映されます</t>
    <phoneticPr fontId="4"/>
  </si>
  <si>
    <t>入力は以上となります。ありがとうございました。
右側に赤い文字で入力エラーが表示されていないか確認してください。</t>
    <phoneticPr fontId="4"/>
  </si>
  <si>
    <r>
      <t xml:space="preserve">このExcelファイルはPDF等に変換せず、
</t>
    </r>
    <r>
      <rPr>
        <b/>
        <u/>
        <sz val="16"/>
        <color theme="1"/>
        <rFont val="ＭＳ ゴシック"/>
        <family val="3"/>
        <charset val="128"/>
      </rPr>
      <t>そのままWEB申請ページでアップロードしてください。</t>
    </r>
    <phoneticPr fontId="4"/>
  </si>
  <si>
    <t>入力シート（２事業場以降）</t>
    <rPh sb="0" eb="2">
      <t>ニュウリョク</t>
    </rPh>
    <rPh sb="7" eb="9">
      <t>ジギョウ</t>
    </rPh>
    <rPh sb="9" eb="10">
      <t>バ</t>
    </rPh>
    <rPh sb="10" eb="12">
      <t>イコウ</t>
    </rPh>
    <phoneticPr fontId="5"/>
  </si>
  <si>
    <t>非表示</t>
    <rPh sb="0" eb="3">
      <t>ヒヒョウジ</t>
    </rPh>
    <phoneticPr fontId="4"/>
  </si>
  <si>
    <t>【注意】２事業場以上申請する場合は、このシートに事業場と機器の情報を入力してください。</t>
    <rPh sb="1" eb="3">
      <t>チュウイ</t>
    </rPh>
    <rPh sb="5" eb="8">
      <t>ジギョウバ</t>
    </rPh>
    <rPh sb="8" eb="10">
      <t>イジョウ</t>
    </rPh>
    <rPh sb="10" eb="12">
      <t>シンセイ</t>
    </rPh>
    <rPh sb="14" eb="16">
      <t>バアイ</t>
    </rPh>
    <rPh sb="24" eb="27">
      <t>ジギョウバ</t>
    </rPh>
    <rPh sb="28" eb="30">
      <t>キキ</t>
    </rPh>
    <rPh sb="31" eb="33">
      <t>ジョウホウ</t>
    </rPh>
    <rPh sb="34" eb="36">
      <t>ニュウリョク</t>
    </rPh>
    <phoneticPr fontId="5"/>
  </si>
  <si>
    <t>５-１事業場の情報を入力する▼（ジャンプします）</t>
    <rPh sb="3" eb="5">
      <t>ジギョウ</t>
    </rPh>
    <rPh sb="5" eb="6">
      <t>バ</t>
    </rPh>
    <rPh sb="7" eb="9">
      <t>ジョウホウ</t>
    </rPh>
    <rPh sb="10" eb="12">
      <t>ニュウリョク</t>
    </rPh>
    <phoneticPr fontId="4"/>
  </si>
  <si>
    <t>５-２補助対象機器の情報を入力する▼（ジャンプします）</t>
    <rPh sb="3" eb="5">
      <t>ホジョ</t>
    </rPh>
    <rPh sb="5" eb="7">
      <t>タイショウ</t>
    </rPh>
    <rPh sb="7" eb="9">
      <t>キキ</t>
    </rPh>
    <rPh sb="10" eb="12">
      <t>ジョウホウ</t>
    </rPh>
    <rPh sb="13" eb="15">
      <t>ニュウリョク</t>
    </rPh>
    <phoneticPr fontId="4"/>
  </si>
  <si>
    <t>５-３機器の金額を入力する▼（ジャンプします）</t>
    <rPh sb="3" eb="5">
      <t>キキ</t>
    </rPh>
    <rPh sb="6" eb="8">
      <t>キンガク</t>
    </rPh>
    <rPh sb="9" eb="11">
      <t>ニュウリョク</t>
    </rPh>
    <phoneticPr fontId="4"/>
  </si>
  <si>
    <t>※セルが赤くなった場合は、そのセルに入力エラーがあります。右側のエラーメッセージをご確認ください。</t>
    <rPh sb="4" eb="5">
      <t>アカ</t>
    </rPh>
    <rPh sb="9" eb="11">
      <t>バアイ</t>
    </rPh>
    <rPh sb="18" eb="20">
      <t>ニュウリョク</t>
    </rPh>
    <rPh sb="29" eb="31">
      <t>ミギガワ</t>
    </rPh>
    <rPh sb="42" eb="44">
      <t>カクニン</t>
    </rPh>
    <phoneticPr fontId="4"/>
  </si>
  <si>
    <t>※赤いセルが複数ある場合は、一番左のセルのエラーメッセージが表示されます。そのセルのエラーを解消すると、次のエラーメッセージが表示されます。</t>
    <rPh sb="1" eb="2">
      <t>アカ</t>
    </rPh>
    <rPh sb="6" eb="8">
      <t>フクスウ</t>
    </rPh>
    <rPh sb="10" eb="12">
      <t>バアイ</t>
    </rPh>
    <rPh sb="14" eb="16">
      <t>イチバン</t>
    </rPh>
    <rPh sb="16" eb="17">
      <t>ヒダリ</t>
    </rPh>
    <rPh sb="30" eb="32">
      <t>ヒョウジ</t>
    </rPh>
    <rPh sb="46" eb="48">
      <t>カイショウ</t>
    </rPh>
    <rPh sb="52" eb="53">
      <t>ツギ</t>
    </rPh>
    <rPh sb="63" eb="65">
      <t>ヒョウジ</t>
    </rPh>
    <phoneticPr fontId="4"/>
  </si>
  <si>
    <t>認証・指定・認定番号
または、整備士合格証書番号</t>
    <phoneticPr fontId="5"/>
  </si>
  <si>
    <t>管轄運輸局</t>
    <phoneticPr fontId="5"/>
  </si>
  <si>
    <t>-</t>
    <phoneticPr fontId="4"/>
  </si>
  <si>
    <t>事業場２</t>
    <rPh sb="0" eb="3">
      <t>ジギョウバ</t>
    </rPh>
    <phoneticPr fontId="4"/>
  </si>
  <si>
    <t>事業場３</t>
    <rPh sb="0" eb="3">
      <t>ジギョウバ</t>
    </rPh>
    <phoneticPr fontId="4"/>
  </si>
  <si>
    <t>事業場４</t>
    <rPh sb="0" eb="3">
      <t>ジギョウバ</t>
    </rPh>
    <phoneticPr fontId="4"/>
  </si>
  <si>
    <t>事業場５</t>
    <rPh sb="0" eb="3">
      <t>ジギョウバ</t>
    </rPh>
    <phoneticPr fontId="4"/>
  </si>
  <si>
    <t>事業場６</t>
    <rPh sb="0" eb="3">
      <t>ジギョウバ</t>
    </rPh>
    <phoneticPr fontId="4"/>
  </si>
  <si>
    <t>事業場７</t>
    <rPh sb="0" eb="3">
      <t>ジギョウバ</t>
    </rPh>
    <phoneticPr fontId="4"/>
  </si>
  <si>
    <t>事業場８</t>
    <rPh sb="0" eb="3">
      <t>ジギョウバ</t>
    </rPh>
    <phoneticPr fontId="4"/>
  </si>
  <si>
    <t>事業場９</t>
    <rPh sb="0" eb="3">
      <t>ジギョウバ</t>
    </rPh>
    <phoneticPr fontId="4"/>
  </si>
  <si>
    <t>事業場１０</t>
    <rPh sb="0" eb="3">
      <t>ジギョウバ</t>
    </rPh>
    <phoneticPr fontId="4"/>
  </si>
  <si>
    <t>事業場１１</t>
    <rPh sb="0" eb="3">
      <t>ジギョウバ</t>
    </rPh>
    <phoneticPr fontId="4"/>
  </si>
  <si>
    <t>事業場１２</t>
    <rPh sb="0" eb="3">
      <t>ジギョウバ</t>
    </rPh>
    <phoneticPr fontId="4"/>
  </si>
  <si>
    <t>事業場１３</t>
    <rPh sb="0" eb="3">
      <t>ジギョウバ</t>
    </rPh>
    <phoneticPr fontId="4"/>
  </si>
  <si>
    <t>事業場１４</t>
    <rPh sb="0" eb="3">
      <t>ジギョウバ</t>
    </rPh>
    <phoneticPr fontId="4"/>
  </si>
  <si>
    <t>事業場１５</t>
    <rPh sb="0" eb="3">
      <t>ジギョウバ</t>
    </rPh>
    <phoneticPr fontId="4"/>
  </si>
  <si>
    <t>事業場１６</t>
    <rPh sb="0" eb="3">
      <t>ジギョウバ</t>
    </rPh>
    <phoneticPr fontId="4"/>
  </si>
  <si>
    <t>事業場１７</t>
    <rPh sb="0" eb="3">
      <t>ジギョウバ</t>
    </rPh>
    <phoneticPr fontId="4"/>
  </si>
  <si>
    <t>事業場１８</t>
    <rPh sb="0" eb="3">
      <t>ジギョウバ</t>
    </rPh>
    <phoneticPr fontId="4"/>
  </si>
  <si>
    <t>事業場１９</t>
    <rPh sb="0" eb="3">
      <t>ジギョウバ</t>
    </rPh>
    <phoneticPr fontId="4"/>
  </si>
  <si>
    <t>事業場２０</t>
    <rPh sb="0" eb="3">
      <t>ジギョウバ</t>
    </rPh>
    <phoneticPr fontId="4"/>
  </si>
  <si>
    <t>事業場２１</t>
    <rPh sb="0" eb="3">
      <t>ジギョウバ</t>
    </rPh>
    <phoneticPr fontId="4"/>
  </si>
  <si>
    <t>事業場２２</t>
    <rPh sb="0" eb="3">
      <t>ジギョウバ</t>
    </rPh>
    <phoneticPr fontId="4"/>
  </si>
  <si>
    <t>事業場２３</t>
    <rPh sb="0" eb="3">
      <t>ジギョウバ</t>
    </rPh>
    <phoneticPr fontId="4"/>
  </si>
  <si>
    <t>事業場２４</t>
    <rPh sb="0" eb="3">
      <t>ジギョウバ</t>
    </rPh>
    <phoneticPr fontId="4"/>
  </si>
  <si>
    <t>事業場２５</t>
    <rPh sb="0" eb="3">
      <t>ジギョウバ</t>
    </rPh>
    <phoneticPr fontId="4"/>
  </si>
  <si>
    <t>事業場２６</t>
    <rPh sb="0" eb="3">
      <t>ジギョウバ</t>
    </rPh>
    <phoneticPr fontId="4"/>
  </si>
  <si>
    <t>事業場２７</t>
    <rPh sb="0" eb="3">
      <t>ジギョウバ</t>
    </rPh>
    <phoneticPr fontId="4"/>
  </si>
  <si>
    <t>事業場２８</t>
    <rPh sb="0" eb="3">
      <t>ジギョウバ</t>
    </rPh>
    <phoneticPr fontId="4"/>
  </si>
  <si>
    <t>事業場２９</t>
    <rPh sb="0" eb="3">
      <t>ジギョウバ</t>
    </rPh>
    <phoneticPr fontId="4"/>
  </si>
  <si>
    <t>事業場３０</t>
    <rPh sb="0" eb="3">
      <t>ジギョウバ</t>
    </rPh>
    <phoneticPr fontId="4"/>
  </si>
  <si>
    <t>事業場３１</t>
    <rPh sb="0" eb="3">
      <t>ジギョウバ</t>
    </rPh>
    <phoneticPr fontId="4"/>
  </si>
  <si>
    <t>事業場３２</t>
    <rPh sb="0" eb="3">
      <t>ジギョウバ</t>
    </rPh>
    <phoneticPr fontId="4"/>
  </si>
  <si>
    <t>事業場３３</t>
    <rPh sb="0" eb="3">
      <t>ジギョウバ</t>
    </rPh>
    <phoneticPr fontId="4"/>
  </si>
  <si>
    <t>事業場３４</t>
    <rPh sb="0" eb="3">
      <t>ジギョウバ</t>
    </rPh>
    <phoneticPr fontId="4"/>
  </si>
  <si>
    <t>事業場３５</t>
    <rPh sb="0" eb="3">
      <t>ジギョウバ</t>
    </rPh>
    <phoneticPr fontId="4"/>
  </si>
  <si>
    <t>事業場３６</t>
    <rPh sb="0" eb="3">
      <t>ジギョウバ</t>
    </rPh>
    <phoneticPr fontId="4"/>
  </si>
  <si>
    <t>事業場３７</t>
    <rPh sb="0" eb="3">
      <t>ジギョウバ</t>
    </rPh>
    <phoneticPr fontId="4"/>
  </si>
  <si>
    <t>事業場３８</t>
    <rPh sb="0" eb="3">
      <t>ジギョウバ</t>
    </rPh>
    <phoneticPr fontId="4"/>
  </si>
  <si>
    <t>事業場３９</t>
    <rPh sb="0" eb="3">
      <t>ジギョウバ</t>
    </rPh>
    <phoneticPr fontId="4"/>
  </si>
  <si>
    <t>事業場４０</t>
    <rPh sb="0" eb="3">
      <t>ジギョウバ</t>
    </rPh>
    <phoneticPr fontId="4"/>
  </si>
  <si>
    <t>事業場４１</t>
    <rPh sb="0" eb="3">
      <t>ジギョウバ</t>
    </rPh>
    <phoneticPr fontId="4"/>
  </si>
  <si>
    <t>事業場４２</t>
    <rPh sb="0" eb="3">
      <t>ジギョウバ</t>
    </rPh>
    <phoneticPr fontId="4"/>
  </si>
  <si>
    <t>事業場４３</t>
    <rPh sb="0" eb="3">
      <t>ジギョウバ</t>
    </rPh>
    <phoneticPr fontId="4"/>
  </si>
  <si>
    <t>事業場４４</t>
    <rPh sb="0" eb="3">
      <t>ジギョウバ</t>
    </rPh>
    <phoneticPr fontId="4"/>
  </si>
  <si>
    <t>事業場４５</t>
    <rPh sb="0" eb="3">
      <t>ジギョウバ</t>
    </rPh>
    <phoneticPr fontId="4"/>
  </si>
  <si>
    <t>事業場４６</t>
    <rPh sb="0" eb="3">
      <t>ジギョウバ</t>
    </rPh>
    <phoneticPr fontId="4"/>
  </si>
  <si>
    <t>事業場４７</t>
    <rPh sb="0" eb="3">
      <t>ジギョウバ</t>
    </rPh>
    <phoneticPr fontId="4"/>
  </si>
  <si>
    <t>事業場４８</t>
    <rPh sb="0" eb="3">
      <t>ジギョウバ</t>
    </rPh>
    <phoneticPr fontId="4"/>
  </si>
  <si>
    <t>事業場４９</t>
    <rPh sb="0" eb="3">
      <t>ジギョウバ</t>
    </rPh>
    <phoneticPr fontId="4"/>
  </si>
  <si>
    <t>事業場５０</t>
    <rPh sb="0" eb="3">
      <t>ジギョウバ</t>
    </rPh>
    <phoneticPr fontId="4"/>
  </si>
  <si>
    <t>上へ戻る▲（ジャンプします）</t>
    <rPh sb="0" eb="1">
      <t>ウエ</t>
    </rPh>
    <rPh sb="2" eb="3">
      <t>モド</t>
    </rPh>
    <phoneticPr fontId="4"/>
  </si>
  <si>
    <t>※1台のみ申請する場合は、２台目、３台目の入力は不要です。</t>
    <rPh sb="24" eb="26">
      <t>フヨウ</t>
    </rPh>
    <phoneticPr fontId="4"/>
  </si>
  <si>
    <t>メーカー名</t>
    <rPh sb="4" eb="5">
      <t>メイ</t>
    </rPh>
    <phoneticPr fontId="4"/>
  </si>
  <si>
    <t>名称・型式</t>
    <rPh sb="0" eb="2">
      <t>メイショウ</t>
    </rPh>
    <rPh sb="3" eb="5">
      <t>カタシキ</t>
    </rPh>
    <phoneticPr fontId="4"/>
  </si>
  <si>
    <t>品番</t>
    <rPh sb="0" eb="2">
      <t>ヒンバン</t>
    </rPh>
    <phoneticPr fontId="4"/>
  </si>
  <si>
    <t>掲載有無</t>
    <rPh sb="0" eb="2">
      <t>ケイサイ</t>
    </rPh>
    <rPh sb="2" eb="4">
      <t>ウム</t>
    </rPh>
    <phoneticPr fontId="4"/>
  </si>
  <si>
    <t/>
  </si>
  <si>
    <r>
      <t>※見積書にプリンタや送料等、</t>
    </r>
    <r>
      <rPr>
        <b/>
        <u/>
        <sz val="11"/>
        <color theme="1"/>
        <rFont val="ＭＳ Ｐゴシック"/>
        <family val="3"/>
        <charset val="128"/>
      </rPr>
      <t>補助対象外のものが含まれている場合は「含まれている」</t>
    </r>
    <r>
      <rPr>
        <sz val="11"/>
        <color theme="1"/>
        <rFont val="ＭＳ Ｐゴシック"/>
        <family val="3"/>
        <charset val="128"/>
      </rPr>
      <t>を、</t>
    </r>
    <phoneticPr fontId="4"/>
  </si>
  <si>
    <r>
      <rPr>
        <b/>
        <sz val="11"/>
        <color theme="1"/>
        <rFont val="ＭＳ Ｐゴシック"/>
        <family val="3"/>
        <charset val="128"/>
      </rPr>
      <t>　</t>
    </r>
    <r>
      <rPr>
        <b/>
        <u/>
        <sz val="11"/>
        <color theme="1"/>
        <rFont val="ＭＳ Ｐゴシック"/>
        <family val="3"/>
        <charset val="128"/>
      </rPr>
      <t>スキャンツールのみの場合は「含まれていない」</t>
    </r>
    <r>
      <rPr>
        <sz val="11"/>
        <color theme="1"/>
        <rFont val="ＭＳ Ｐゴシック"/>
        <family val="3"/>
        <charset val="128"/>
      </rPr>
      <t>を選択してください。</t>
    </r>
    <phoneticPr fontId="4"/>
  </si>
  <si>
    <r>
      <t>・「含まれていない」を選択した場合は、スキャンツールの価格を</t>
    </r>
    <r>
      <rPr>
        <b/>
        <u/>
        <sz val="11"/>
        <color rgb="FFFF0000"/>
        <rFont val="ＭＳ Ｐゴシック"/>
        <family val="3"/>
        <charset val="128"/>
      </rPr>
      <t>税抜</t>
    </r>
    <r>
      <rPr>
        <sz val="11"/>
        <color theme="1"/>
        <rFont val="ＭＳ Ｐゴシック"/>
        <family val="3"/>
        <charset val="128"/>
      </rPr>
      <t xml:space="preserve">で入力してください。
</t>
    </r>
    <r>
      <rPr>
        <b/>
        <sz val="11"/>
        <color theme="1"/>
        <rFont val="ＭＳ Ｐゴシック"/>
        <family val="3"/>
        <charset val="128"/>
      </rPr>
      <t>　※「含まれていない」場合は、要する経費は入力不要です。（スキャンツールの価格+情報端末価格と同額になります。）</t>
    </r>
    <rPh sb="2" eb="3">
      <t>フク</t>
    </rPh>
    <rPh sb="11" eb="13">
      <t>センタク</t>
    </rPh>
    <rPh sb="15" eb="17">
      <t>バアイ</t>
    </rPh>
    <rPh sb="30" eb="32">
      <t>ゼイヌキ</t>
    </rPh>
    <phoneticPr fontId="4"/>
  </si>
  <si>
    <r>
      <t>※情報端末価格（税抜）は、</t>
    </r>
    <r>
      <rPr>
        <b/>
        <sz val="11"/>
        <color theme="1"/>
        <rFont val="ＭＳ Ｐゴシック"/>
        <family val="3"/>
        <charset val="128"/>
      </rPr>
      <t>補助対象機器一覧の形態番号が③の機器のみ入力可能</t>
    </r>
    <r>
      <rPr>
        <sz val="11"/>
        <color theme="1"/>
        <rFont val="ＭＳ Ｐゴシック"/>
        <family val="3"/>
        <charset val="128"/>
      </rPr>
      <t>です。</t>
    </r>
    <rPh sb="1" eb="5">
      <t>ジョウホウタンマツ</t>
    </rPh>
    <rPh sb="5" eb="7">
      <t>カカク</t>
    </rPh>
    <rPh sb="13" eb="21">
      <t>ホジョタイショウキキイチラン</t>
    </rPh>
    <rPh sb="22" eb="26">
      <t>ケイタイバンゴウ</t>
    </rPh>
    <rPh sb="29" eb="31">
      <t>キキ</t>
    </rPh>
    <rPh sb="33" eb="37">
      <t>ニュウリョクカノウ</t>
    </rPh>
    <phoneticPr fontId="4"/>
  </si>
  <si>
    <t>※内訳の各項目に金額（税抜）を入力すると、事業場毎の申請金額が自動で計算されます。</t>
    <phoneticPr fontId="4"/>
  </si>
  <si>
    <t>※灰色のセルに入力したものは、合計額に反映されません。</t>
  </si>
  <si>
    <t>形態番号</t>
    <rPh sb="0" eb="4">
      <t>ケイタイバンゴウ</t>
    </rPh>
    <phoneticPr fontId="4"/>
  </si>
  <si>
    <t>１台目</t>
  </si>
  <si>
    <t>２台目</t>
  </si>
  <si>
    <t>３台目</t>
  </si>
  <si>
    <t>（様式第１）</t>
  </si>
  <si>
    <t>第</t>
    <phoneticPr fontId="22"/>
  </si>
  <si>
    <t>号</t>
    <rPh sb="0" eb="1">
      <t>ゴウ</t>
    </rPh>
    <phoneticPr fontId="22"/>
  </si>
  <si>
    <t>令和</t>
    <phoneticPr fontId="22"/>
  </si>
  <si>
    <t>年</t>
    <phoneticPr fontId="22"/>
  </si>
  <si>
    <t>月</t>
    <rPh sb="0" eb="1">
      <t>ガツ</t>
    </rPh>
    <phoneticPr fontId="22"/>
  </si>
  <si>
    <t>日</t>
    <rPh sb="0" eb="1">
      <t>ニチ</t>
    </rPh>
    <phoneticPr fontId="22"/>
  </si>
  <si>
    <t>パシフィックコンサルタンツ株式会社</t>
  </si>
  <si>
    <t>首都圏本社　本社長　殿</t>
  </si>
  <si>
    <t>パシフィックリプロサービス株式会社</t>
  </si>
  <si>
    <t>代表取締役社長　殿</t>
    <phoneticPr fontId="4"/>
  </si>
  <si>
    <t xml:space="preserve"> 申請者 </t>
    <phoneticPr fontId="22"/>
  </si>
  <si>
    <t>住所</t>
    <phoneticPr fontId="22"/>
  </si>
  <si>
    <t>法人名（個人事業主の場合は商号・屋号等）</t>
    <phoneticPr fontId="22"/>
  </si>
  <si>
    <t>代表者名</t>
    <phoneticPr fontId="22"/>
  </si>
  <si>
    <t>令和</t>
    <phoneticPr fontId="4"/>
  </si>
  <si>
    <t>年度AI･IoT等を活用した更なる輸送効率化推進事業費補助金（ビッグデータを活</t>
  </si>
  <si>
    <t>用した効率的かつ適切な自動車整備による使用過程車の省エネ性能維持推進事業）補助金交</t>
    <rPh sb="37" eb="40">
      <t>ホジョキン</t>
    </rPh>
    <rPh sb="40" eb="41">
      <t>コウ</t>
    </rPh>
    <phoneticPr fontId="10"/>
  </si>
  <si>
    <t>付申請書</t>
  </si>
  <si>
    <t>　AI･IoT等を活用した更なる輸送効率化推進事業費補助金（ビッグデータを活用した効率的かつ適切な自動車整備による使用過程車の省エネ性能維持推進事業）交付規程第４条の規定に基づき、下記のとおり上記補助金の交付を申請します。</t>
    <phoneticPr fontId="4"/>
  </si>
  <si>
    <t>記</t>
    <rPh sb="0" eb="1">
      <t>キ</t>
    </rPh>
    <phoneticPr fontId="4"/>
  </si>
  <si>
    <t>１．補助事業の名称</t>
  </si>
  <si>
    <t>２．補助金交付申請額</t>
  </si>
  <si>
    <t>　（１）補助事業に要する経費の総額</t>
    <phoneticPr fontId="22"/>
  </si>
  <si>
    <t>円</t>
    <rPh sb="0" eb="1">
      <t>エン</t>
    </rPh>
    <phoneticPr fontId="4"/>
  </si>
  <si>
    <t>　（２）補助対象経費の総額</t>
    <phoneticPr fontId="22"/>
  </si>
  <si>
    <t>３．補助事業に要する経費、補助対象経費、補助金の額及び補助対象スキャンツールの型式等</t>
    <phoneticPr fontId="22"/>
  </si>
  <si>
    <t>（別紙１による）</t>
    <phoneticPr fontId="22"/>
  </si>
  <si>
    <t>４．補助事業の開始及び完了予定年月日</t>
    <phoneticPr fontId="22"/>
  </si>
  <si>
    <t>　（１）開 始 年 月 日</t>
    <phoneticPr fontId="22"/>
  </si>
  <si>
    <t>交付決定年月日</t>
    <rPh sb="0" eb="4">
      <t>コウフケッテイ</t>
    </rPh>
    <rPh sb="4" eb="7">
      <t>ネンガッピ</t>
    </rPh>
    <phoneticPr fontId="4"/>
  </si>
  <si>
    <t>　（２）完了予定年月日</t>
    <phoneticPr fontId="22"/>
  </si>
  <si>
    <t>（注）申請書には、次の事項を記載した書面を添付すること。</t>
  </si>
  <si>
    <t>（１）</t>
  </si>
  <si>
    <t>補助対象事業者であることを証する地方運輸局長等が交付した認証書（写）又は指定書（写）若しくは認定書（写）、また、自動車整備士を該当施設に配置されている場合は、地方運輸局長等が交付した整備士合格証明書（写）若しくは整備士手帳（写）であって、補助対象設備を設置する事業場のもの。</t>
    <phoneticPr fontId="4"/>
  </si>
  <si>
    <t>（２）</t>
  </si>
  <si>
    <t>補助事業に要する経費の見積書（対象機器のメーカー名・名称・型式・品番・ソフトのバージョンが明記されているもので、補助対象経費・対象外経費が明確に区分されているもの。消費税別表示であること。）</t>
    <phoneticPr fontId="4"/>
  </si>
  <si>
    <t>（３）</t>
  </si>
  <si>
    <t>法人にあっては役員名簿、個人事業者にあっては申請者情報（別紙２）</t>
    <phoneticPr fontId="4"/>
  </si>
  <si>
    <t>（４）</t>
  </si>
  <si>
    <t>その他ＰＣＫＫが指示する書面等</t>
  </si>
  <si>
    <t>（備考）用紙は、日本産業規格Ａ４とし、縦位置とする。</t>
  </si>
  <si>
    <t>（別紙１）</t>
  </si>
  <si>
    <t>【補助対象スキャンツールを設置する事業場】</t>
    <phoneticPr fontId="22"/>
  </si>
  <si>
    <t>事業場</t>
  </si>
  <si>
    <t>認証・指定
・認定番号
または、
整備士
合格証書番号</t>
    <rPh sb="7" eb="11">
      <t>ニンテイバンゴウ</t>
    </rPh>
    <rPh sb="17" eb="20">
      <t>セイビシ</t>
    </rPh>
    <rPh sb="21" eb="27">
      <t>ゴウカクショウショバンゴウ</t>
    </rPh>
    <phoneticPr fontId="10"/>
  </si>
  <si>
    <t>設備を設置する事業場名</t>
  </si>
  <si>
    <t>所在地（現住所）</t>
  </si>
  <si>
    <t>事業場1</t>
    <phoneticPr fontId="22"/>
  </si>
  <si>
    <t>〒</t>
    <phoneticPr fontId="4"/>
  </si>
  <si>
    <t>事業場2</t>
    <phoneticPr fontId="22"/>
  </si>
  <si>
    <t>【補助対象スキャンツールの型式等】</t>
    <phoneticPr fontId="22"/>
  </si>
  <si>
    <t>順位</t>
    <rPh sb="0" eb="2">
      <t>ジュンイ</t>
    </rPh>
    <phoneticPr fontId="4"/>
  </si>
  <si>
    <t>事業場No</t>
    <rPh sb="0" eb="3">
      <t>ジギョウバ</t>
    </rPh>
    <phoneticPr fontId="4"/>
  </si>
  <si>
    <t>掲載有無</t>
    <rPh sb="0" eb="4">
      <t>ケイサイウム</t>
    </rPh>
    <phoneticPr fontId="4"/>
  </si>
  <si>
    <t>コード</t>
    <phoneticPr fontId="4"/>
  </si>
  <si>
    <t>事業場</t>
    <phoneticPr fontId="4"/>
  </si>
  <si>
    <t>メーカー名/ｺｰﾄﾞ</t>
  </si>
  <si>
    <t>名称・型式/ｺｰﾄﾞ</t>
  </si>
  <si>
    <t>品　　番/ｺｰﾄﾞ</t>
  </si>
  <si>
    <t>ｿﾌﾄのﾊﾞｰｼﾞｮﾝ/ｺｰﾄﾞ</t>
  </si>
  <si>
    <t>（注）</t>
    <phoneticPr fontId="4"/>
  </si>
  <si>
    <t>【補助対象機器一覧】に記載の無い機器については、製造・販売事業者の会社概要及び当該スキャンツールの型式等が補助対象機器等であることが確認できるカタログ等を添付すること。</t>
    <phoneticPr fontId="4"/>
  </si>
  <si>
    <t>【補助事業に要する経費、補助対象経費、補助金の額】</t>
    <phoneticPr fontId="22"/>
  </si>
  <si>
    <t>（単位：円）</t>
    <phoneticPr fontId="22"/>
  </si>
  <si>
    <t>内訳</t>
  </si>
  <si>
    <t>補助対象経費</t>
  </si>
  <si>
    <t>１／３以内</t>
  </si>
  <si>
    <t>合　計</t>
    <rPh sb="0" eb="1">
      <t>ゴウ</t>
    </rPh>
    <rPh sb="2" eb="3">
      <t>ケイ</t>
    </rPh>
    <phoneticPr fontId="4"/>
  </si>
  <si>
    <t>（注）</t>
  </si>
  <si>
    <t>（１）</t>
    <phoneticPr fontId="4"/>
  </si>
  <si>
    <t>補助事業に要する経費、補助対象経費、補助金の額には消費税相当分の金額は含まないこと。</t>
  </si>
  <si>
    <t>補助対象経費を補助率で乗じた額が15万円を下回る場合の補助金の額欄に記載する金額は、</t>
  </si>
  <si>
    <t>1,000円未満を切り捨てた額とする。</t>
    <phoneticPr fontId="4"/>
  </si>
  <si>
    <t>補助対象経費を補助率で乗じた額が15万円を超える場合の補助金の額欄に記載する金額は、</t>
  </si>
  <si>
    <t>150,000円とする。</t>
    <phoneticPr fontId="4"/>
  </si>
  <si>
    <t>【本交付申請書に係る質問等連絡先及び担当者名】</t>
    <phoneticPr fontId="22"/>
  </si>
  <si>
    <t>担当部署及び役職</t>
  </si>
  <si>
    <t>担当者名</t>
  </si>
  <si>
    <t>電話、FAX及びE-mail</t>
  </si>
  <si>
    <t>（電話）</t>
  </si>
  <si>
    <t>（FAX）</t>
  </si>
  <si>
    <r>
      <t>（</t>
    </r>
    <r>
      <rPr>
        <sz val="10.5"/>
        <color theme="1"/>
        <rFont val="Century"/>
        <family val="1"/>
      </rPr>
      <t>E-mail</t>
    </r>
    <r>
      <rPr>
        <sz val="10.5"/>
        <color theme="1"/>
        <rFont val="ＭＳ 明朝"/>
        <family val="1"/>
        <charset val="128"/>
      </rPr>
      <t>）</t>
    </r>
    <phoneticPr fontId="4"/>
  </si>
  <si>
    <t>【通知書等送付先宛名】</t>
  </si>
  <si>
    <t>住所（申請者と異なる場合のみ記入）</t>
  </si>
  <si>
    <t>〒</t>
  </si>
  <si>
    <t xml:space="preserve">   </t>
  </si>
  <si>
    <t>（別紙２）</t>
  </si>
  <si>
    <r>
      <t>役員名簿（</t>
    </r>
    <r>
      <rPr>
        <sz val="10.5"/>
        <color rgb="FF000000"/>
        <rFont val="ＭＳ 明朝"/>
        <family val="1"/>
        <charset val="128"/>
      </rPr>
      <t>個人事業主の場合は申請者情報</t>
    </r>
    <r>
      <rPr>
        <sz val="10.5"/>
        <color theme="1"/>
        <rFont val="ＭＳ 明朝"/>
        <family val="1"/>
        <charset val="128"/>
      </rPr>
      <t>）</t>
    </r>
  </si>
  <si>
    <t>法人名（個人事業主の場合は商号・屋号等）</t>
  </si>
  <si>
    <t>氏名　漢　字</t>
  </si>
  <si>
    <t>氏名　カ　ナ</t>
  </si>
  <si>
    <t xml:space="preserve">
性別</t>
  </si>
  <si>
    <t>和
暦</t>
    <phoneticPr fontId="4"/>
  </si>
  <si>
    <t>年</t>
  </si>
  <si>
    <t>月</t>
  </si>
  <si>
    <t>日</t>
  </si>
  <si>
    <t>役員名簿については、氏名カナ（全角、姓と名の間も全角で１マス空け）、氏名漢字（全角、姓と名の間も全角で１マス空け）、生年月日（全角で大正はＴ、昭和はＳ、平成はＨ、数字は２桁全角）、性別（全角で男性はＭ、女性はＦ）、法人名（個人事業主の場合は商号・屋号等）及び役職名を記載する。
また、外国人については、氏名漢字欄にはアルファベットを、氏名カナ欄は当該アルファベットのカナ読みを記載すること。</t>
  </si>
  <si>
    <t>事業場3</t>
  </si>
  <si>
    <t>事業場4</t>
  </si>
  <si>
    <t>事業場5</t>
  </si>
  <si>
    <t>事業場6</t>
  </si>
  <si>
    <t>事業場7</t>
  </si>
  <si>
    <t>事業場8</t>
  </si>
  <si>
    <t>事業場9</t>
  </si>
  <si>
    <t>事業場10</t>
  </si>
  <si>
    <t>申請事業場</t>
    <rPh sb="0" eb="2">
      <t>シンセイ</t>
    </rPh>
    <rPh sb="2" eb="5">
      <t>ジギョウバ</t>
    </rPh>
    <phoneticPr fontId="4"/>
  </si>
  <si>
    <t>事業場11</t>
  </si>
  <si>
    <t>事業場12</t>
  </si>
  <si>
    <t>事業場13</t>
  </si>
  <si>
    <t>事業場14</t>
  </si>
  <si>
    <t>事業場15</t>
  </si>
  <si>
    <t>事業場16</t>
  </si>
  <si>
    <t>事業場17</t>
  </si>
  <si>
    <t>事業場18</t>
  </si>
  <si>
    <t>事業場19</t>
  </si>
  <si>
    <t>事業場20</t>
  </si>
  <si>
    <t>事業場21</t>
  </si>
  <si>
    <t>事業場22</t>
  </si>
  <si>
    <t>事業場23</t>
  </si>
  <si>
    <t>事業場24</t>
  </si>
  <si>
    <t>事業場25</t>
  </si>
  <si>
    <t>事業場26</t>
  </si>
  <si>
    <t>事業場27</t>
  </si>
  <si>
    <t>事業場28</t>
  </si>
  <si>
    <t>事業場29</t>
  </si>
  <si>
    <t>事業場30</t>
  </si>
  <si>
    <t>事業場31</t>
  </si>
  <si>
    <t>事業場32</t>
  </si>
  <si>
    <t>事業場33</t>
  </si>
  <si>
    <t>事業場34</t>
  </si>
  <si>
    <t>事業場35</t>
  </si>
  <si>
    <t>事業場36</t>
  </si>
  <si>
    <t>事業場37</t>
  </si>
  <si>
    <t>事業場38</t>
  </si>
  <si>
    <t>事業場39</t>
  </si>
  <si>
    <t>事業場40</t>
  </si>
  <si>
    <t>事業場41</t>
  </si>
  <si>
    <t>事業場42</t>
  </si>
  <si>
    <t>事業場43</t>
  </si>
  <si>
    <t>事業場44</t>
  </si>
  <si>
    <t>事業場45</t>
  </si>
  <si>
    <t>事業場46</t>
  </si>
  <si>
    <t>事業場47</t>
  </si>
  <si>
    <t>事業場48</t>
  </si>
  <si>
    <t>事業場49</t>
  </si>
  <si>
    <t>事業場50</t>
  </si>
  <si>
    <t>全体OK・NG</t>
    <rPh sb="0" eb="2">
      <t>ゼンタイ</t>
    </rPh>
    <phoneticPr fontId="5"/>
  </si>
  <si>
    <t>システムの方ここで確認お願いします→</t>
    <rPh sb="5" eb="6">
      <t>カタ</t>
    </rPh>
    <rPh sb="9" eb="11">
      <t>カクニン</t>
    </rPh>
    <rPh sb="12" eb="13">
      <t>ネガ</t>
    </rPh>
    <phoneticPr fontId="5"/>
  </si>
  <si>
    <t>エラーなし→</t>
    <phoneticPr fontId="5"/>
  </si>
  <si>
    <t>OK</t>
    <phoneticPr fontId="5"/>
  </si>
  <si>
    <t>全てOKかどれかNGか集計</t>
    <rPh sb="0" eb="1">
      <t>スベ</t>
    </rPh>
    <rPh sb="11" eb="13">
      <t>シュウケイ</t>
    </rPh>
    <phoneticPr fontId="5"/>
  </si>
  <si>
    <t>入力シート表示</t>
    <rPh sb="0" eb="2">
      <t>ニュウリョク</t>
    </rPh>
    <rPh sb="5" eb="7">
      <t>ヒョウジ</t>
    </rPh>
    <phoneticPr fontId="5"/>
  </si>
  <si>
    <t>空欄チェック</t>
    <rPh sb="0" eb="2">
      <t>クウラン</t>
    </rPh>
    <phoneticPr fontId="5"/>
  </si>
  <si>
    <t>エラーチェック</t>
    <phoneticPr fontId="5"/>
  </si>
  <si>
    <t>エラーメッセージ</t>
    <phoneticPr fontId="5"/>
  </si>
  <si>
    <t>該当項目</t>
    <rPh sb="0" eb="2">
      <t>ガイトウ</t>
    </rPh>
    <rPh sb="2" eb="4">
      <t>コウモク</t>
    </rPh>
    <phoneticPr fontId="5"/>
  </si>
  <si>
    <t>入力項目</t>
    <rPh sb="0" eb="2">
      <t>ニュウリョク</t>
    </rPh>
    <rPh sb="2" eb="4">
      <t>コウモク</t>
    </rPh>
    <phoneticPr fontId="5"/>
  </si>
  <si>
    <t>作業列1</t>
    <rPh sb="0" eb="3">
      <t>サギョウレツ</t>
    </rPh>
    <phoneticPr fontId="5"/>
  </si>
  <si>
    <t>作業列2</t>
    <rPh sb="0" eb="3">
      <t>サギョウレツ</t>
    </rPh>
    <phoneticPr fontId="5"/>
  </si>
  <si>
    <t>DBインポート情報（オレンジのセル）</t>
    <rPh sb="7" eb="9">
      <t>ジョウホウ</t>
    </rPh>
    <phoneticPr fontId="5"/>
  </si>
  <si>
    <t>メッセージ</t>
  </si>
  <si>
    <t>空欄なし=0</t>
    <rPh sb="0" eb="2">
      <t>クウラン</t>
    </rPh>
    <phoneticPr fontId="5"/>
  </si>
  <si>
    <t>エラーなし=0</t>
    <phoneticPr fontId="5"/>
  </si>
  <si>
    <t>空欄</t>
    <rPh sb="0" eb="2">
      <t>クウラン</t>
    </rPh>
    <phoneticPr fontId="5"/>
  </si>
  <si>
    <t>1:エラー</t>
    <phoneticPr fontId="5"/>
  </si>
  <si>
    <t>2:エラー</t>
  </si>
  <si>
    <t>3:エラー</t>
  </si>
  <si>
    <t>様式1</t>
    <rPh sb="0" eb="2">
      <t>ヨウシキ</t>
    </rPh>
    <phoneticPr fontId="5"/>
  </si>
  <si>
    <t>法人=1、個人フラグ=2</t>
    <rPh sb="0" eb="2">
      <t>ホウジン</t>
    </rPh>
    <rPh sb="5" eb="7">
      <t>コジン</t>
    </rPh>
    <phoneticPr fontId="5"/>
  </si>
  <si>
    <t>↓数字を半角</t>
    <rPh sb="1" eb="3">
      <t>スウジ</t>
    </rPh>
    <rPh sb="4" eb="6">
      <t>ハンカク</t>
    </rPh>
    <phoneticPr fontId="22"/>
  </si>
  <si>
    <t>↓アルファベットとハイフン＆．を半角</t>
    <rPh sb="16" eb="18">
      <t>ハンカク</t>
    </rPh>
    <phoneticPr fontId="22"/>
  </si>
  <si>
    <t>↓様式</t>
    <rPh sb="1" eb="3">
      <t>ヨウシキ</t>
    </rPh>
    <phoneticPr fontId="5"/>
  </si>
  <si>
    <t>どちらかを選択してください。</t>
    <rPh sb="5" eb="7">
      <t>センタク</t>
    </rPh>
    <phoneticPr fontId="5"/>
  </si>
  <si>
    <t>文書番号</t>
    <rPh sb="0" eb="4">
      <t>ブンショバンゴウ</t>
    </rPh>
    <phoneticPr fontId="5"/>
  </si>
  <si>
    <t>公表日</t>
    <rPh sb="0" eb="3">
      <t>コウヒョウビ</t>
    </rPh>
    <phoneticPr fontId="5"/>
  </si>
  <si>
    <t>申請者情報</t>
    <rPh sb="0" eb="3">
      <t>シンセイシャ</t>
    </rPh>
    <rPh sb="3" eb="5">
      <t>ジョウホウ</t>
    </rPh>
    <phoneticPr fontId="5"/>
  </si>
  <si>
    <t>申請開始日</t>
    <rPh sb="0" eb="4">
      <t>シンセイカイシ</t>
    </rPh>
    <rPh sb="4" eb="5">
      <t>ビ</t>
    </rPh>
    <phoneticPr fontId="5"/>
  </si>
  <si>
    <t>申請終了日</t>
    <rPh sb="0" eb="2">
      <t>シンセイ</t>
    </rPh>
    <rPh sb="2" eb="5">
      <t>シュウリョウビ</t>
    </rPh>
    <phoneticPr fontId="5"/>
  </si>
  <si>
    <t>↓会社名と略称の隙間削除</t>
    <rPh sb="1" eb="4">
      <t>カイシャメイ</t>
    </rPh>
    <rPh sb="5" eb="7">
      <t>リャクショウ</t>
    </rPh>
    <rPh sb="8" eb="10">
      <t>スキマ</t>
    </rPh>
    <rPh sb="10" eb="12">
      <t>サクジョ</t>
    </rPh>
    <phoneticPr fontId="5"/>
  </si>
  <si>
    <t>法人名・商号・屋号等</t>
    <rPh sb="0" eb="3">
      <t>ホウジンメイ</t>
    </rPh>
    <phoneticPr fontId="5"/>
  </si>
  <si>
    <t>事業完了期限</t>
    <rPh sb="0" eb="4">
      <t>ジギョウカンリョウ</t>
    </rPh>
    <rPh sb="4" eb="6">
      <t>キゲン</t>
    </rPh>
    <phoneticPr fontId="5"/>
  </si>
  <si>
    <t>生年月日許容範囲</t>
    <rPh sb="0" eb="4">
      <t>セイネンガッピ</t>
    </rPh>
    <rPh sb="4" eb="6">
      <t>キョヨウ</t>
    </rPh>
    <rPh sb="6" eb="8">
      <t>ハンイ</t>
    </rPh>
    <phoneticPr fontId="5"/>
  </si>
  <si>
    <t>100歳</t>
    <rPh sb="3" eb="4">
      <t>サイ</t>
    </rPh>
    <phoneticPr fontId="5"/>
  </si>
  <si>
    <t>16歳</t>
    <rPh sb="2" eb="3">
      <t>サイ</t>
    </rPh>
    <phoneticPr fontId="5"/>
  </si>
  <si>
    <t>年号に間違いないか確認してください。</t>
  </si>
  <si>
    <t>担当者情報</t>
    <rPh sb="0" eb="3">
      <t>タントウシャ</t>
    </rPh>
    <rPh sb="3" eb="5">
      <t>ジョウホウ</t>
    </rPh>
    <phoneticPr fontId="5"/>
  </si>
  <si>
    <t>代表者と同じ</t>
    <rPh sb="0" eb="3">
      <t>ダイヒョウシャ</t>
    </rPh>
    <rPh sb="4" eb="5">
      <t>オナ</t>
    </rPh>
    <phoneticPr fontId="5"/>
  </si>
  <si>
    <t>↓半角&amp;スペース除去&amp;カンマ句読点→ピリオド&amp;半角長音ハイフンに見えるもの→半角ハイフン</t>
    <rPh sb="1" eb="3">
      <t>ハンカク</t>
    </rPh>
    <rPh sb="8" eb="10">
      <t>ジョキョ</t>
    </rPh>
    <rPh sb="14" eb="17">
      <t>クトウテン</t>
    </rPh>
    <rPh sb="23" eb="25">
      <t>ハンカク</t>
    </rPh>
    <rPh sb="25" eb="27">
      <t>チョウオン</t>
    </rPh>
    <rPh sb="32" eb="33">
      <t>ミ</t>
    </rPh>
    <rPh sb="38" eb="40">
      <t>ハンカク</t>
    </rPh>
    <phoneticPr fontId="22"/>
  </si>
  <si>
    <t>↓正規表現チェック</t>
    <rPh sb="1" eb="5">
      <t>セイキヒョウゲン</t>
    </rPh>
    <phoneticPr fontId="5"/>
  </si>
  <si>
    <t>アカウントの先頭、または最後にピリオド「.」が入っています。</t>
    <rPh sb="6" eb="8">
      <t>セントウ</t>
    </rPh>
    <rPh sb="12" eb="14">
      <t>サイゴ</t>
    </rPh>
    <rPh sb="23" eb="24">
      <t>ハイ</t>
    </rPh>
    <phoneticPr fontId="5"/>
  </si>
  <si>
    <t>ドメインの先頭、または最後にピリオド「.」が入っています。</t>
    <rPh sb="5" eb="7">
      <t>セントウ</t>
    </rPh>
    <rPh sb="11" eb="13">
      <t>サイゴ</t>
    </rPh>
    <rPh sb="22" eb="23">
      <t>ハイ</t>
    </rPh>
    <phoneticPr fontId="5"/>
  </si>
  <si>
    <t>通知書送付先</t>
    <rPh sb="0" eb="3">
      <t>ツウチショ</t>
    </rPh>
    <rPh sb="3" eb="6">
      <t>ソウフサキ</t>
    </rPh>
    <phoneticPr fontId="5"/>
  </si>
  <si>
    <t>役員名簿</t>
    <rPh sb="0" eb="4">
      <t>ヤクインメイボ</t>
    </rPh>
    <phoneticPr fontId="5"/>
  </si>
  <si>
    <t>-</t>
    <phoneticPr fontId="5"/>
  </si>
  <si>
    <t>表示</t>
    <rPh sb="0" eb="2">
      <t>ヒョウジ</t>
    </rPh>
    <phoneticPr fontId="5"/>
  </si>
  <si>
    <t>3.代表者情報を入力すると自動で表示されます。</t>
    <rPh sb="2" eb="5">
      <t>ダイヒョウシャ</t>
    </rPh>
    <rPh sb="5" eb="7">
      <t>ジョウホウ</t>
    </rPh>
    <rPh sb="8" eb="10">
      <t>ニュウリョク</t>
    </rPh>
    <rPh sb="13" eb="15">
      <t>ジドウ</t>
    </rPh>
    <rPh sb="16" eb="18">
      <t>ヒョウジ</t>
    </rPh>
    <phoneticPr fontId="5"/>
  </si>
  <si>
    <t>役職～性別を入力してください。</t>
    <rPh sb="0" eb="2">
      <t>ヤクショク</t>
    </rPh>
    <rPh sb="3" eb="5">
      <t>セイベツ</t>
    </rPh>
    <rPh sb="6" eb="8">
      <t>ニュウリョク</t>
    </rPh>
    <phoneticPr fontId="5"/>
  </si>
  <si>
    <t>事業場情報</t>
    <rPh sb="0" eb="3">
      <t>ジギョウバ</t>
    </rPh>
    <rPh sb="3" eb="5">
      <t>ジョウホウ</t>
    </rPh>
    <phoneticPr fontId="5"/>
  </si>
  <si>
    <t>申請事業場</t>
    <rPh sb="0" eb="2">
      <t>シンセイ</t>
    </rPh>
    <rPh sb="2" eb="5">
      <t>ジギョウバ</t>
    </rPh>
    <phoneticPr fontId="5"/>
  </si>
  <si>
    <t>事業場</t>
    <rPh sb="0" eb="3">
      <t>ジギョウバ</t>
    </rPh>
    <phoneticPr fontId="5"/>
  </si>
  <si>
    <t>認証・指定・認定番号または、整備士合格証書番号</t>
    <phoneticPr fontId="5"/>
  </si>
  <si>
    <t>事業場数</t>
    <rPh sb="0" eb="4">
      <t>ジギョウバスウ</t>
    </rPh>
    <phoneticPr fontId="5"/>
  </si>
  <si>
    <t>台数</t>
    <rPh sb="0" eb="2">
      <t>ダイスウ</t>
    </rPh>
    <phoneticPr fontId="5"/>
  </si>
  <si>
    <t>シートNo</t>
    <phoneticPr fontId="5"/>
  </si>
  <si>
    <t>様式判定</t>
    <rPh sb="0" eb="2">
      <t>ヨウシキ</t>
    </rPh>
    <rPh sb="2" eb="4">
      <t>ハンテイ</t>
    </rPh>
    <phoneticPr fontId="5"/>
  </si>
  <si>
    <t>申請する機器</t>
    <rPh sb="0" eb="2">
      <t>シンセイ</t>
    </rPh>
    <rPh sb="4" eb="6">
      <t>キキ</t>
    </rPh>
    <phoneticPr fontId="5"/>
  </si>
  <si>
    <t>フラグ</t>
    <phoneticPr fontId="5"/>
  </si>
  <si>
    <t>掲載されている</t>
    <rPh sb="0" eb="2">
      <t>ケイサイ</t>
    </rPh>
    <phoneticPr fontId="5"/>
  </si>
  <si>
    <t>掲載されていない</t>
    <rPh sb="0" eb="2">
      <t>ケイサイ</t>
    </rPh>
    <phoneticPr fontId="5"/>
  </si>
  <si>
    <t>作業列</t>
    <rPh sb="0" eb="2">
      <t>サギョウ</t>
    </rPh>
    <rPh sb="2" eb="3">
      <t>レツ</t>
    </rPh>
    <phoneticPr fontId="5"/>
  </si>
  <si>
    <t>台目</t>
    <rPh sb="0" eb="2">
      <t>ダイメ</t>
    </rPh>
    <phoneticPr fontId="5"/>
  </si>
  <si>
    <t>掲載有無(掲載=1未掲載=2)</t>
    <rPh sb="0" eb="2">
      <t>ケイサイ</t>
    </rPh>
    <rPh sb="2" eb="4">
      <t>ウム</t>
    </rPh>
    <rPh sb="5" eb="7">
      <t>ケイサイ</t>
    </rPh>
    <rPh sb="9" eb="12">
      <t>ミケイサイ</t>
    </rPh>
    <phoneticPr fontId="5"/>
  </si>
  <si>
    <t>コード番号</t>
  </si>
  <si>
    <t>番号1</t>
    <rPh sb="0" eb="2">
      <t>バンゴウ</t>
    </rPh>
    <phoneticPr fontId="22"/>
  </si>
  <si>
    <t>番号2</t>
    <rPh sb="0" eb="2">
      <t>バンゴウ</t>
    </rPh>
    <phoneticPr fontId="22"/>
  </si>
  <si>
    <t>番号3</t>
    <rPh sb="0" eb="2">
      <t>バンゴウ</t>
    </rPh>
    <phoneticPr fontId="22"/>
  </si>
  <si>
    <t>番号4</t>
    <rPh sb="0" eb="2">
      <t>バンゴウ</t>
    </rPh>
    <phoneticPr fontId="22"/>
  </si>
  <si>
    <t>ソフトの
バージョン</t>
  </si>
  <si>
    <t>形態番号</t>
    <rPh sb="0" eb="4">
      <t>ケイタイバンゴウ</t>
    </rPh>
    <phoneticPr fontId="5"/>
  </si>
  <si>
    <t>1:空欄</t>
    <rPh sb="2" eb="4">
      <t>クウラン</t>
    </rPh>
    <phoneticPr fontId="5"/>
  </si>
  <si>
    <t>2:空欄</t>
    <rPh sb="2" eb="4">
      <t>クウラン</t>
    </rPh>
    <phoneticPr fontId="5"/>
  </si>
  <si>
    <t>3:空欄</t>
    <rPh sb="2" eb="4">
      <t>クウラン</t>
    </rPh>
    <phoneticPr fontId="5"/>
  </si>
  <si>
    <t>入力有</t>
    <rPh sb="0" eb="3">
      <t>ニュウリョクアリ</t>
    </rPh>
    <phoneticPr fontId="5"/>
  </si>
  <si>
    <t>順位</t>
    <rPh sb="0" eb="2">
      <t>ジュンイ</t>
    </rPh>
    <phoneticPr fontId="5"/>
  </si>
  <si>
    <t>掲載有無</t>
    <rPh sb="0" eb="4">
      <t>ケイサイウム</t>
    </rPh>
    <phoneticPr fontId="5"/>
  </si>
  <si>
    <t>機器(事業場)</t>
    <rPh sb="0" eb="2">
      <t>キキ</t>
    </rPh>
    <rPh sb="3" eb="6">
      <t>ジギョウバ</t>
    </rPh>
    <phoneticPr fontId="5"/>
  </si>
  <si>
    <t>メーカー名～ソフトのバージョンを入力してください。</t>
    <rPh sb="4" eb="5">
      <t>メイ</t>
    </rPh>
    <rPh sb="16" eb="18">
      <t>ニュウリョク</t>
    </rPh>
    <phoneticPr fontId="5"/>
  </si>
  <si>
    <t>補助対象機器一覧に掲載されていないコード番号が入力されています。</t>
    <rPh sb="0" eb="8">
      <t>ホジョタイショウキキイチラン</t>
    </rPh>
    <rPh sb="9" eb="11">
      <t>ケイサイ</t>
    </rPh>
    <rPh sb="20" eb="22">
      <t>バンゴウ</t>
    </rPh>
    <rPh sb="23" eb="25">
      <t>ニュウリョク</t>
    </rPh>
    <phoneticPr fontId="5"/>
  </si>
  <si>
    <t>補助対象機器金額</t>
    <rPh sb="0" eb="4">
      <t>ホジョタイショウ</t>
    </rPh>
    <rPh sb="4" eb="6">
      <t>キキ</t>
    </rPh>
    <rPh sb="6" eb="8">
      <t>キンガク</t>
    </rPh>
    <phoneticPr fontId="5"/>
  </si>
  <si>
    <t>手入力</t>
    <rPh sb="0" eb="3">
      <t>テニュウリョク</t>
    </rPh>
    <phoneticPr fontId="5"/>
  </si>
  <si>
    <t>実際に集計する値</t>
    <rPh sb="0" eb="2">
      <t>ジッサイ</t>
    </rPh>
    <rPh sb="3" eb="5">
      <t>シュウケイ</t>
    </rPh>
    <rPh sb="7" eb="8">
      <t>アタイ</t>
    </rPh>
    <phoneticPr fontId="5"/>
  </si>
  <si>
    <t>機器情報有</t>
    <rPh sb="0" eb="2">
      <t>キキ</t>
    </rPh>
    <rPh sb="2" eb="4">
      <t>ジョウホウ</t>
    </rPh>
    <rPh sb="4" eb="5">
      <t>アリ</t>
    </rPh>
    <phoneticPr fontId="5"/>
  </si>
  <si>
    <t>要する経費入力可</t>
    <rPh sb="0" eb="1">
      <t>ヨウ</t>
    </rPh>
    <rPh sb="3" eb="5">
      <t>ケイヒ</t>
    </rPh>
    <rPh sb="5" eb="7">
      <t>ニュウリョク</t>
    </rPh>
    <rPh sb="7" eb="8">
      <t>カ</t>
    </rPh>
    <phoneticPr fontId="5"/>
  </si>
  <si>
    <t>スキャンツールの価格</t>
    <phoneticPr fontId="5"/>
  </si>
  <si>
    <t>補助対象経費計（計算用）</t>
    <rPh sb="0" eb="6">
      <t>ホジョタイショウケイヒ</t>
    </rPh>
    <rPh sb="6" eb="7">
      <t>ケイ</t>
    </rPh>
    <rPh sb="8" eb="11">
      <t>ケイサンヨウ</t>
    </rPh>
    <phoneticPr fontId="5"/>
  </si>
  <si>
    <t>4:空欄</t>
    <rPh sb="2" eb="4">
      <t>クウラン</t>
    </rPh>
    <phoneticPr fontId="5"/>
  </si>
  <si>
    <t>5:空欄</t>
    <rPh sb="2" eb="4">
      <t>クウラン</t>
    </rPh>
    <phoneticPr fontId="5"/>
  </si>
  <si>
    <t>先に機器情報を入力してください。</t>
    <rPh sb="0" eb="1">
      <t>サキ</t>
    </rPh>
    <rPh sb="2" eb="6">
      <t>キキジョウホウ</t>
    </rPh>
    <rPh sb="7" eb="9">
      <t>ニュウリョク</t>
    </rPh>
    <phoneticPr fontId="5"/>
  </si>
  <si>
    <t>含まれている、または含まれていないを選択してください。</t>
    <rPh sb="0" eb="1">
      <t>フク</t>
    </rPh>
    <rPh sb="10" eb="11">
      <t>フク</t>
    </rPh>
    <rPh sb="18" eb="20">
      <t>センタク</t>
    </rPh>
    <phoneticPr fontId="5"/>
  </si>
  <si>
    <t>補助事業に要する経費、スキャンツールの価格を入力してください。</t>
  </si>
  <si>
    <t>補助事業に要する経費を入力してください。</t>
    <phoneticPr fontId="5"/>
  </si>
  <si>
    <t>スキャンツールの価格を入力してください。</t>
    <phoneticPr fontId="5"/>
  </si>
  <si>
    <t>補助対象経費が3,000円未満になっています。スキャンツールの価格を確認してください。</t>
    <rPh sb="0" eb="2">
      <t>ホジョ</t>
    </rPh>
    <rPh sb="2" eb="4">
      <t>タイショウ</t>
    </rPh>
    <rPh sb="4" eb="6">
      <t>ケイヒ</t>
    </rPh>
    <rPh sb="12" eb="13">
      <t>エン</t>
    </rPh>
    <rPh sb="13" eb="15">
      <t>ミマン</t>
    </rPh>
    <rPh sb="31" eb="33">
      <t>カカク</t>
    </rPh>
    <rPh sb="34" eb="36">
      <t>カクニン</t>
    </rPh>
    <phoneticPr fontId="5"/>
  </si>
  <si>
    <t>補助事業に要する経費が、補助対象経費（スキャンツールの価格+情報端末価格）より少なくなっています。</t>
  </si>
  <si>
    <t>合計金額</t>
    <rPh sb="0" eb="4">
      <t>ゴウケイキンガク</t>
    </rPh>
    <phoneticPr fontId="5"/>
  </si>
  <si>
    <t>補助事業に要する経費_事業場計</t>
    <rPh sb="11" eb="14">
      <t>ジギョウバ</t>
    </rPh>
    <rPh sb="14" eb="15">
      <t>ケイ</t>
    </rPh>
    <phoneticPr fontId="5"/>
  </si>
  <si>
    <t>スキャンツールの価格_事業場計</t>
    <phoneticPr fontId="5"/>
  </si>
  <si>
    <t>情報端末価格_事業場計</t>
    <phoneticPr fontId="5"/>
  </si>
  <si>
    <t>事業場1</t>
    <rPh sb="0" eb="3">
      <t>ジギョウバ</t>
    </rPh>
    <phoneticPr fontId="5"/>
  </si>
  <si>
    <t>事業場2</t>
    <rPh sb="0" eb="3">
      <t>ジギョウバ</t>
    </rPh>
    <phoneticPr fontId="5"/>
  </si>
  <si>
    <t>事業場3</t>
    <rPh sb="0" eb="3">
      <t>ジギョウバ</t>
    </rPh>
    <phoneticPr fontId="5"/>
  </si>
  <si>
    <t>事業場4</t>
    <rPh sb="0" eb="3">
      <t>ジギョウバ</t>
    </rPh>
    <phoneticPr fontId="5"/>
  </si>
  <si>
    <t>事業場5</t>
    <rPh sb="0" eb="3">
      <t>ジギョウバ</t>
    </rPh>
    <phoneticPr fontId="5"/>
  </si>
  <si>
    <t>事業場6</t>
    <rPh sb="0" eb="3">
      <t>ジギョウバ</t>
    </rPh>
    <phoneticPr fontId="5"/>
  </si>
  <si>
    <t>事業場7</t>
    <rPh sb="0" eb="3">
      <t>ジギョウバ</t>
    </rPh>
    <phoneticPr fontId="5"/>
  </si>
  <si>
    <t>事業場8</t>
    <rPh sb="0" eb="3">
      <t>ジギョウバ</t>
    </rPh>
    <phoneticPr fontId="5"/>
  </si>
  <si>
    <t>事業場9</t>
    <rPh sb="0" eb="3">
      <t>ジギョウバ</t>
    </rPh>
    <phoneticPr fontId="5"/>
  </si>
  <si>
    <t>事業場10</t>
    <rPh sb="0" eb="3">
      <t>ジギョウバ</t>
    </rPh>
    <phoneticPr fontId="5"/>
  </si>
  <si>
    <t>事業場11</t>
    <rPh sb="0" eb="3">
      <t>ジギョウバ</t>
    </rPh>
    <phoneticPr fontId="5"/>
  </si>
  <si>
    <t>事業場12</t>
    <rPh sb="0" eb="3">
      <t>ジギョウバ</t>
    </rPh>
    <phoneticPr fontId="5"/>
  </si>
  <si>
    <t>事業場13</t>
    <rPh sb="0" eb="3">
      <t>ジギョウバ</t>
    </rPh>
    <phoneticPr fontId="5"/>
  </si>
  <si>
    <t>事業場14</t>
    <rPh sb="0" eb="3">
      <t>ジギョウバ</t>
    </rPh>
    <phoneticPr fontId="5"/>
  </si>
  <si>
    <t>事業場15</t>
    <rPh sb="0" eb="3">
      <t>ジギョウバ</t>
    </rPh>
    <phoneticPr fontId="5"/>
  </si>
  <si>
    <t>事業場16</t>
    <rPh sb="0" eb="3">
      <t>ジギョウバ</t>
    </rPh>
    <phoneticPr fontId="5"/>
  </si>
  <si>
    <t>事業場17</t>
    <rPh sb="0" eb="3">
      <t>ジギョウバ</t>
    </rPh>
    <phoneticPr fontId="5"/>
  </si>
  <si>
    <t>事業場18</t>
    <rPh sb="0" eb="3">
      <t>ジギョウバ</t>
    </rPh>
    <phoneticPr fontId="5"/>
  </si>
  <si>
    <t>事業場19</t>
    <rPh sb="0" eb="3">
      <t>ジギョウバ</t>
    </rPh>
    <phoneticPr fontId="5"/>
  </si>
  <si>
    <t>事業場20</t>
    <rPh sb="0" eb="3">
      <t>ジギョウバ</t>
    </rPh>
    <phoneticPr fontId="5"/>
  </si>
  <si>
    <t>事業場21</t>
    <rPh sb="0" eb="3">
      <t>ジギョウバ</t>
    </rPh>
    <phoneticPr fontId="5"/>
  </si>
  <si>
    <t>事業場22</t>
    <rPh sb="0" eb="3">
      <t>ジギョウバ</t>
    </rPh>
    <phoneticPr fontId="5"/>
  </si>
  <si>
    <t>事業場23</t>
    <rPh sb="0" eb="3">
      <t>ジギョウバ</t>
    </rPh>
    <phoneticPr fontId="5"/>
  </si>
  <si>
    <t>事業場24</t>
    <rPh sb="0" eb="3">
      <t>ジギョウバ</t>
    </rPh>
    <phoneticPr fontId="5"/>
  </si>
  <si>
    <t>事業場25</t>
    <rPh sb="0" eb="3">
      <t>ジギョウバ</t>
    </rPh>
    <phoneticPr fontId="5"/>
  </si>
  <si>
    <t>事業場26</t>
    <rPh sb="0" eb="3">
      <t>ジギョウバ</t>
    </rPh>
    <phoneticPr fontId="5"/>
  </si>
  <si>
    <t>事業場27</t>
    <rPh sb="0" eb="3">
      <t>ジギョウバ</t>
    </rPh>
    <phoneticPr fontId="5"/>
  </si>
  <si>
    <t>事業場28</t>
    <rPh sb="0" eb="3">
      <t>ジギョウバ</t>
    </rPh>
    <phoneticPr fontId="5"/>
  </si>
  <si>
    <t>事業場29</t>
    <rPh sb="0" eb="3">
      <t>ジギョウバ</t>
    </rPh>
    <phoneticPr fontId="5"/>
  </si>
  <si>
    <t>事業場30</t>
    <rPh sb="0" eb="3">
      <t>ジギョウバ</t>
    </rPh>
    <phoneticPr fontId="5"/>
  </si>
  <si>
    <t>事業場31</t>
    <rPh sb="0" eb="3">
      <t>ジギョウバ</t>
    </rPh>
    <phoneticPr fontId="5"/>
  </si>
  <si>
    <t>事業場32</t>
    <rPh sb="0" eb="3">
      <t>ジギョウバ</t>
    </rPh>
    <phoneticPr fontId="5"/>
  </si>
  <si>
    <t>事業場33</t>
    <rPh sb="0" eb="3">
      <t>ジギョウバ</t>
    </rPh>
    <phoneticPr fontId="5"/>
  </si>
  <si>
    <t>事業場34</t>
    <rPh sb="0" eb="3">
      <t>ジギョウバ</t>
    </rPh>
    <phoneticPr fontId="5"/>
  </si>
  <si>
    <t>事業場35</t>
    <rPh sb="0" eb="3">
      <t>ジギョウバ</t>
    </rPh>
    <phoneticPr fontId="5"/>
  </si>
  <si>
    <t>事業場36</t>
    <rPh sb="0" eb="3">
      <t>ジギョウバ</t>
    </rPh>
    <phoneticPr fontId="5"/>
  </si>
  <si>
    <t>事業場37</t>
    <rPh sb="0" eb="3">
      <t>ジギョウバ</t>
    </rPh>
    <phoneticPr fontId="5"/>
  </si>
  <si>
    <t>事業場38</t>
    <rPh sb="0" eb="3">
      <t>ジギョウバ</t>
    </rPh>
    <phoneticPr fontId="5"/>
  </si>
  <si>
    <t>事業場39</t>
    <rPh sb="0" eb="3">
      <t>ジギョウバ</t>
    </rPh>
    <phoneticPr fontId="5"/>
  </si>
  <si>
    <t>事業場40</t>
    <rPh sb="0" eb="3">
      <t>ジギョウバ</t>
    </rPh>
    <phoneticPr fontId="5"/>
  </si>
  <si>
    <t>事業場41</t>
    <rPh sb="0" eb="3">
      <t>ジギョウバ</t>
    </rPh>
    <phoneticPr fontId="5"/>
  </si>
  <si>
    <t>事業場42</t>
    <rPh sb="0" eb="3">
      <t>ジギョウバ</t>
    </rPh>
    <phoneticPr fontId="5"/>
  </si>
  <si>
    <t>事業場43</t>
    <rPh sb="0" eb="3">
      <t>ジギョウバ</t>
    </rPh>
    <phoneticPr fontId="5"/>
  </si>
  <si>
    <t>事業場44</t>
    <rPh sb="0" eb="3">
      <t>ジギョウバ</t>
    </rPh>
    <phoneticPr fontId="5"/>
  </si>
  <si>
    <t>事業場45</t>
    <rPh sb="0" eb="3">
      <t>ジギョウバ</t>
    </rPh>
    <phoneticPr fontId="5"/>
  </si>
  <si>
    <t>事業場46</t>
    <rPh sb="0" eb="3">
      <t>ジギョウバ</t>
    </rPh>
    <phoneticPr fontId="5"/>
  </si>
  <si>
    <t>事業場47</t>
    <rPh sb="0" eb="3">
      <t>ジギョウバ</t>
    </rPh>
    <phoneticPr fontId="5"/>
  </si>
  <si>
    <t>事業場48</t>
    <rPh sb="0" eb="3">
      <t>ジギョウバ</t>
    </rPh>
    <phoneticPr fontId="5"/>
  </si>
  <si>
    <t>事業場49</t>
    <rPh sb="0" eb="3">
      <t>ジギョウバ</t>
    </rPh>
    <phoneticPr fontId="5"/>
  </si>
  <si>
    <t>事業場50</t>
    <rPh sb="0" eb="3">
      <t>ジギョウバ</t>
    </rPh>
    <phoneticPr fontId="5"/>
  </si>
  <si>
    <t>事業形態</t>
    <rPh sb="0" eb="4">
      <t>ジギョウケイタイ</t>
    </rPh>
    <phoneticPr fontId="4"/>
  </si>
  <si>
    <t>都道府県</t>
    <rPh sb="0" eb="4">
      <t>トドウフケン</t>
    </rPh>
    <phoneticPr fontId="4"/>
  </si>
  <si>
    <t>役職_法人</t>
    <rPh sb="0" eb="2">
      <t>ヤクショク</t>
    </rPh>
    <rPh sb="3" eb="5">
      <t>ホウジン</t>
    </rPh>
    <phoneticPr fontId="4"/>
  </si>
  <si>
    <t>役職_個人</t>
    <rPh sb="0" eb="2">
      <t>ヤクショク</t>
    </rPh>
    <rPh sb="3" eb="5">
      <t>コジン</t>
    </rPh>
    <phoneticPr fontId="4"/>
  </si>
  <si>
    <t>性別</t>
    <rPh sb="0" eb="2">
      <t>セイベツ</t>
    </rPh>
    <phoneticPr fontId="4"/>
  </si>
  <si>
    <t>書類の種類</t>
    <rPh sb="0" eb="2">
      <t>ショルイ</t>
    </rPh>
    <rPh sb="3" eb="5">
      <t>シュルイ</t>
    </rPh>
    <phoneticPr fontId="4"/>
  </si>
  <si>
    <t>管轄運輸局</t>
    <rPh sb="0" eb="4">
      <t>カンカツウンユ</t>
    </rPh>
    <rPh sb="4" eb="5">
      <t>キョク</t>
    </rPh>
    <phoneticPr fontId="4"/>
  </si>
  <si>
    <t>担当者</t>
    <rPh sb="0" eb="3">
      <t>タントウシャ</t>
    </rPh>
    <phoneticPr fontId="4"/>
  </si>
  <si>
    <t>送付先住所</t>
    <rPh sb="0" eb="3">
      <t>ソウフサキ</t>
    </rPh>
    <rPh sb="3" eb="5">
      <t>ジュウショ</t>
    </rPh>
    <phoneticPr fontId="4"/>
  </si>
  <si>
    <t>送付先宛名</t>
    <rPh sb="0" eb="3">
      <t>ソウフサキ</t>
    </rPh>
    <rPh sb="3" eb="5">
      <t>アテナ</t>
    </rPh>
    <phoneticPr fontId="4"/>
  </si>
  <si>
    <t>数字</t>
    <rPh sb="0" eb="2">
      <t>スウジ</t>
    </rPh>
    <phoneticPr fontId="4"/>
  </si>
  <si>
    <t>対象外経費</t>
    <rPh sb="0" eb="3">
      <t>タイショウガイ</t>
    </rPh>
    <rPh sb="3" eb="5">
      <t>ケイヒ</t>
    </rPh>
    <phoneticPr fontId="4"/>
  </si>
  <si>
    <t>法人</t>
    <rPh sb="0" eb="2">
      <t>ホウジン</t>
    </rPh>
    <phoneticPr fontId="4"/>
  </si>
  <si>
    <t>北海道</t>
  </si>
  <si>
    <t>代表取締役</t>
    <rPh sb="0" eb="5">
      <t>ダイヒョウトリシマリヤク</t>
    </rPh>
    <phoneticPr fontId="4"/>
  </si>
  <si>
    <t>代表</t>
    <rPh sb="0" eb="2">
      <t>ダイヒョウ</t>
    </rPh>
    <phoneticPr fontId="4"/>
  </si>
  <si>
    <t>男</t>
    <rPh sb="0" eb="1">
      <t>オトコ</t>
    </rPh>
    <phoneticPr fontId="4"/>
  </si>
  <si>
    <t>認証書</t>
    <rPh sb="0" eb="3">
      <t>ニンショウショ</t>
    </rPh>
    <phoneticPr fontId="4"/>
  </si>
  <si>
    <t>北海道運輸局</t>
  </si>
  <si>
    <t>代表者と同じ</t>
    <rPh sb="0" eb="3">
      <t>ダイヒョウシャ</t>
    </rPh>
    <rPh sb="4" eb="5">
      <t>オナ</t>
    </rPh>
    <phoneticPr fontId="4"/>
  </si>
  <si>
    <t>代表者住所と同じ</t>
    <rPh sb="0" eb="3">
      <t>ダイヒョウシャ</t>
    </rPh>
    <rPh sb="3" eb="5">
      <t>ジュウショ</t>
    </rPh>
    <rPh sb="6" eb="7">
      <t>オナ</t>
    </rPh>
    <phoneticPr fontId="4"/>
  </si>
  <si>
    <t>　</t>
    <phoneticPr fontId="4"/>
  </si>
  <si>
    <t>含まれている</t>
    <rPh sb="0" eb="1">
      <t>フク</t>
    </rPh>
    <phoneticPr fontId="4"/>
  </si>
  <si>
    <t>個人事業主</t>
    <rPh sb="0" eb="5">
      <t>コジンジギョウヌシ</t>
    </rPh>
    <phoneticPr fontId="4"/>
  </si>
  <si>
    <t>青森県</t>
  </si>
  <si>
    <t>代表取締役社長</t>
    <rPh sb="0" eb="5">
      <t>ダイヒョウトリシマリヤク</t>
    </rPh>
    <rPh sb="5" eb="7">
      <t>シャチョウ</t>
    </rPh>
    <phoneticPr fontId="4"/>
  </si>
  <si>
    <t>代表者</t>
    <rPh sb="0" eb="3">
      <t>ダイヒョウシャ</t>
    </rPh>
    <phoneticPr fontId="4"/>
  </si>
  <si>
    <t>女</t>
    <rPh sb="0" eb="1">
      <t>オンナ</t>
    </rPh>
    <phoneticPr fontId="4"/>
  </si>
  <si>
    <t>指定書</t>
    <rPh sb="0" eb="3">
      <t>シテイショ</t>
    </rPh>
    <phoneticPr fontId="4"/>
  </si>
  <si>
    <t>札幌運輸支局</t>
  </si>
  <si>
    <t>事業場1住所と同じ</t>
    <rPh sb="0" eb="3">
      <t>ジギョウバ</t>
    </rPh>
    <rPh sb="4" eb="6">
      <t>ジュウショ</t>
    </rPh>
    <rPh sb="7" eb="8">
      <t>オナ</t>
    </rPh>
    <phoneticPr fontId="4"/>
  </si>
  <si>
    <t>担当者と同じ</t>
    <rPh sb="0" eb="3">
      <t>タントウシャ</t>
    </rPh>
    <rPh sb="4" eb="5">
      <t>オナ</t>
    </rPh>
    <phoneticPr fontId="4"/>
  </si>
  <si>
    <t>なし</t>
    <phoneticPr fontId="4"/>
  </si>
  <si>
    <t>含まれていない</t>
    <rPh sb="0" eb="1">
      <t>フク</t>
    </rPh>
    <phoneticPr fontId="4"/>
  </si>
  <si>
    <t>岩手県</t>
  </si>
  <si>
    <t>取締役</t>
    <rPh sb="0" eb="3">
      <t>トリシマリヤク</t>
    </rPh>
    <phoneticPr fontId="4"/>
  </si>
  <si>
    <t>認定書</t>
    <rPh sb="0" eb="3">
      <t>ニンテイショ</t>
    </rPh>
    <phoneticPr fontId="4"/>
  </si>
  <si>
    <t>函館運輸支局</t>
  </si>
  <si>
    <t>宮城県</t>
  </si>
  <si>
    <t>代表理事</t>
    <rPh sb="0" eb="4">
      <t>ダイヒョウリジ</t>
    </rPh>
    <phoneticPr fontId="4"/>
  </si>
  <si>
    <t>自動車整備士である証明</t>
    <rPh sb="0" eb="3">
      <t>ジドウシャ</t>
    </rPh>
    <rPh sb="3" eb="6">
      <t>セイビシ</t>
    </rPh>
    <rPh sb="9" eb="11">
      <t>ショウメイ</t>
    </rPh>
    <phoneticPr fontId="4"/>
  </si>
  <si>
    <t>旭川運輸支局</t>
  </si>
  <si>
    <t>秋田県</t>
  </si>
  <si>
    <t>室蘭運輸支局</t>
  </si>
  <si>
    <t>山形県</t>
  </si>
  <si>
    <t>釧路運輸支局</t>
  </si>
  <si>
    <t>福島県</t>
  </si>
  <si>
    <t>帯広運輸支局</t>
  </si>
  <si>
    <t>茨城県</t>
  </si>
  <si>
    <t>北見運輸支局</t>
  </si>
  <si>
    <t>栃木県</t>
  </si>
  <si>
    <t>東北運輸局</t>
  </si>
  <si>
    <t>群馬県</t>
  </si>
  <si>
    <t>青森運輸支局</t>
  </si>
  <si>
    <t>埼玉県</t>
  </si>
  <si>
    <t>岩手運輸支局</t>
  </si>
  <si>
    <t>千葉県</t>
  </si>
  <si>
    <t>宮城運輸支局</t>
  </si>
  <si>
    <t>東京都</t>
  </si>
  <si>
    <t>秋田運輸支局</t>
  </si>
  <si>
    <t>山形運輸支局</t>
  </si>
  <si>
    <t>新潟県</t>
  </si>
  <si>
    <t>福島運輸支局</t>
  </si>
  <si>
    <t>富山県</t>
  </si>
  <si>
    <t>関東運輸局</t>
  </si>
  <si>
    <t>石川県</t>
  </si>
  <si>
    <t>東京運輸支局</t>
  </si>
  <si>
    <t>福井県</t>
  </si>
  <si>
    <t>茨城運輸支局</t>
  </si>
  <si>
    <t>山梨県</t>
  </si>
  <si>
    <t>栃木運輸支局</t>
  </si>
  <si>
    <t>長野県</t>
  </si>
  <si>
    <t>群馬運輸支局</t>
  </si>
  <si>
    <t>岐阜県</t>
  </si>
  <si>
    <t>埼玉運輸支局</t>
  </si>
  <si>
    <t>静岡県</t>
  </si>
  <si>
    <t>千葉運輸支局</t>
  </si>
  <si>
    <t>愛知県</t>
  </si>
  <si>
    <t>神奈川運輸支局</t>
  </si>
  <si>
    <t>三重県</t>
  </si>
  <si>
    <t>山梨運輸支局</t>
  </si>
  <si>
    <t>滋賀県</t>
  </si>
  <si>
    <t>北陸信越運輸局</t>
  </si>
  <si>
    <t>京都府</t>
  </si>
  <si>
    <t>新潟運輸支局</t>
  </si>
  <si>
    <t>大阪府</t>
  </si>
  <si>
    <t>富山運輸支局</t>
  </si>
  <si>
    <t>兵庫県</t>
  </si>
  <si>
    <t>石川運輸支局</t>
  </si>
  <si>
    <t>奈良県</t>
  </si>
  <si>
    <t>長野運輸支局</t>
  </si>
  <si>
    <t>和歌山県</t>
  </si>
  <si>
    <t>中部運輸局</t>
  </si>
  <si>
    <t>鳥取県</t>
  </si>
  <si>
    <t>福井運輸支局</t>
  </si>
  <si>
    <t>島根県</t>
  </si>
  <si>
    <t>岐阜運輸支局</t>
  </si>
  <si>
    <t>岡山県</t>
  </si>
  <si>
    <t>静岡運輸支局</t>
  </si>
  <si>
    <t>広島県</t>
  </si>
  <si>
    <t>愛知運輸支局</t>
  </si>
  <si>
    <t>山口県</t>
  </si>
  <si>
    <t>三重運輸支局</t>
  </si>
  <si>
    <t>徳島県</t>
  </si>
  <si>
    <t>近畿運輸局</t>
  </si>
  <si>
    <t>香川県</t>
  </si>
  <si>
    <t>滋賀運輸支局</t>
  </si>
  <si>
    <t>愛媛県</t>
  </si>
  <si>
    <t>京都運輸支局</t>
  </si>
  <si>
    <t>高知県</t>
  </si>
  <si>
    <t>大阪運輸支局</t>
  </si>
  <si>
    <t>福岡県</t>
  </si>
  <si>
    <t>神戸運輸監理部</t>
  </si>
  <si>
    <t>佐賀県</t>
  </si>
  <si>
    <t>奈良運輸支局</t>
  </si>
  <si>
    <t>長崎県</t>
  </si>
  <si>
    <t>和歌山運輸支局</t>
  </si>
  <si>
    <t>熊本県</t>
  </si>
  <si>
    <t>中国運輸局</t>
  </si>
  <si>
    <t>大分県</t>
  </si>
  <si>
    <t>鳥取運輸支局</t>
  </si>
  <si>
    <t>宮崎県</t>
  </si>
  <si>
    <t>島根運輸支局</t>
  </si>
  <si>
    <t>鹿児島県</t>
  </si>
  <si>
    <t>岡山運輸支局</t>
  </si>
  <si>
    <t>沖縄県</t>
  </si>
  <si>
    <t>広島運輸支局</t>
  </si>
  <si>
    <t>山口運輸支局</t>
  </si>
  <si>
    <t>四国運輸局</t>
  </si>
  <si>
    <t>徳島運輸支局</t>
  </si>
  <si>
    <t>香川運輸支局</t>
  </si>
  <si>
    <t>愛媛運輸支局</t>
  </si>
  <si>
    <t>高知運輸支局</t>
  </si>
  <si>
    <t>九州運輸局</t>
  </si>
  <si>
    <t>福岡運輸支局</t>
  </si>
  <si>
    <t>佐賀運輸支局</t>
  </si>
  <si>
    <t>長崎運輸支局</t>
  </si>
  <si>
    <t>熊本運輸支局</t>
  </si>
  <si>
    <t>大分運輸支局</t>
  </si>
  <si>
    <t>宮崎運輸支局</t>
  </si>
  <si>
    <t>鹿児島運輸支局</t>
  </si>
  <si>
    <t>沖縄総合事務局</t>
  </si>
  <si>
    <t>年度</t>
    <rPh sb="0" eb="2">
      <t>ネンド</t>
    </rPh>
    <phoneticPr fontId="22"/>
  </si>
  <si>
    <t>R4</t>
    <phoneticPr fontId="22"/>
  </si>
  <si>
    <t>事業</t>
    <rPh sb="0" eb="2">
      <t>ジギョウ</t>
    </rPh>
    <phoneticPr fontId="22"/>
  </si>
  <si>
    <t>ST</t>
    <phoneticPr fontId="22"/>
  </si>
  <si>
    <t>項目</t>
    <rPh sb="0" eb="2">
      <t>コウモク</t>
    </rPh>
    <phoneticPr fontId="22"/>
  </si>
  <si>
    <t>様式第1</t>
    <rPh sb="0" eb="3">
      <t>ヨウシキダイ</t>
    </rPh>
    <phoneticPr fontId="22"/>
  </si>
  <si>
    <t>バージョン</t>
    <phoneticPr fontId="22"/>
  </si>
  <si>
    <t>様式第1_文書番号</t>
  </si>
  <si>
    <t>様式第1_文書作成日</t>
  </si>
  <si>
    <t>様式第1_郵便番号</t>
  </si>
  <si>
    <t>様式第1_都道府県</t>
  </si>
  <si>
    <t>様式第1_市区町村</t>
  </si>
  <si>
    <t>様式第1_町名地番</t>
    <rPh sb="5" eb="9">
      <t>チョウメイチバン</t>
    </rPh>
    <phoneticPr fontId="4"/>
  </si>
  <si>
    <t>様式第1_建物名称</t>
  </si>
  <si>
    <t>様式第1_法人個人</t>
    <rPh sb="5" eb="9">
      <t>ホウジンコジン</t>
    </rPh>
    <phoneticPr fontId="4"/>
  </si>
  <si>
    <t>様式第1_法人名屋号名称</t>
    <rPh sb="5" eb="7">
      <t>ホウジン</t>
    </rPh>
    <rPh sb="7" eb="8">
      <t>メイ</t>
    </rPh>
    <rPh sb="8" eb="10">
      <t>ヤゴウ</t>
    </rPh>
    <rPh sb="10" eb="12">
      <t>メイショウ</t>
    </rPh>
    <phoneticPr fontId="4"/>
  </si>
  <si>
    <t>様式第1_役職名</t>
    <rPh sb="7" eb="8">
      <t>メイ</t>
    </rPh>
    <phoneticPr fontId="4"/>
  </si>
  <si>
    <t>様式第1_代表者名_姓</t>
  </si>
  <si>
    <t>様式第1_代表者名_名</t>
  </si>
  <si>
    <t>様式第1_代表者名_姓_カナ</t>
  </si>
  <si>
    <t>様式第1_代表者名_名_カナ</t>
  </si>
  <si>
    <t>様式第1_生年月日</t>
    <rPh sb="5" eb="9">
      <t>セイネンガッピ</t>
    </rPh>
    <phoneticPr fontId="4"/>
  </si>
  <si>
    <t>様式第1_性別</t>
    <rPh sb="5" eb="7">
      <t>セイベツ</t>
    </rPh>
    <phoneticPr fontId="4"/>
  </si>
  <si>
    <t>完了予定年月日</t>
    <rPh sb="0" eb="4">
      <t>カンリョウヨテイ</t>
    </rPh>
    <rPh sb="4" eb="7">
      <t>ネンガッピ</t>
    </rPh>
    <phoneticPr fontId="4"/>
  </si>
  <si>
    <t>様式第1_連絡先_担当部署</t>
  </si>
  <si>
    <t>様式第1_連絡先_役職</t>
  </si>
  <si>
    <t>様式第1_連絡先_担当者名_姓</t>
  </si>
  <si>
    <t>様式第1_連絡先_担当者名_名</t>
    <phoneticPr fontId="4"/>
  </si>
  <si>
    <t>様式第1_連絡先_電話番号</t>
    <rPh sb="11" eb="13">
      <t>バンゴウ</t>
    </rPh>
    <phoneticPr fontId="4"/>
  </si>
  <si>
    <t>様式第1_連絡先_Emailアドレス</t>
    <phoneticPr fontId="22"/>
  </si>
  <si>
    <t>4桁コード</t>
    <rPh sb="1" eb="2">
      <t>ケタ</t>
    </rPh>
    <phoneticPr fontId="22"/>
  </si>
  <si>
    <t>品　　番</t>
  </si>
  <si>
    <t>ソフトのバージョン</t>
  </si>
  <si>
    <t>形態</t>
    <rPh sb="0" eb="2">
      <t>ケイタイ</t>
    </rPh>
    <phoneticPr fontId="22"/>
  </si>
  <si>
    <t>出力形式</t>
    <rPh sb="0" eb="4">
      <t>シュツリョクケイシキ</t>
    </rPh>
    <phoneticPr fontId="22"/>
  </si>
  <si>
    <t>K1A-</t>
  </si>
  <si>
    <t>株式会社アルティア</t>
  </si>
  <si>
    <t>K</t>
  </si>
  <si>
    <t>A</t>
  </si>
  <si>
    <t>SSS-T2+</t>
  </si>
  <si>
    <t>EG3005-5000</t>
  </si>
  <si>
    <t>②</t>
  </si>
  <si>
    <t>PDF</t>
  </si>
  <si>
    <t>K2B-</t>
  </si>
  <si>
    <t>B</t>
  </si>
  <si>
    <t>SSS-T2</t>
  </si>
  <si>
    <t>EG3005-0000</t>
  </si>
  <si>
    <t>K3C-</t>
  </si>
  <si>
    <t>C</t>
  </si>
  <si>
    <t>SSS-αⅡ</t>
  </si>
  <si>
    <t>EG3004-0000</t>
  </si>
  <si>
    <t>①</t>
  </si>
  <si>
    <t>K4D-</t>
  </si>
  <si>
    <t>D</t>
  </si>
  <si>
    <t>TPM-5</t>
  </si>
  <si>
    <t>YZEG32-0000</t>
  </si>
  <si>
    <t>K5E-</t>
  </si>
  <si>
    <t>E</t>
  </si>
  <si>
    <t>TPM-7</t>
  </si>
  <si>
    <t>YZEG34-0000</t>
  </si>
  <si>
    <t>K6F-</t>
  </si>
  <si>
    <t>F</t>
  </si>
  <si>
    <t>MaxiSys 906BT</t>
  </si>
  <si>
    <t>EG3050-0000</t>
  </si>
  <si>
    <t>K7G-</t>
  </si>
  <si>
    <t>G</t>
  </si>
  <si>
    <t>MaxiSys 908sPro</t>
  </si>
  <si>
    <t>EG3050-0100</t>
  </si>
  <si>
    <t>K8H-</t>
  </si>
  <si>
    <t>H</t>
  </si>
  <si>
    <t>MaxiSys Elite</t>
  </si>
  <si>
    <t>EG3050-0200</t>
  </si>
  <si>
    <t>K9I-</t>
  </si>
  <si>
    <t>I</t>
  </si>
  <si>
    <t>MaxiSys 906Pro</t>
  </si>
  <si>
    <t>EG3050-0300</t>
  </si>
  <si>
    <t>K10J-</t>
  </si>
  <si>
    <t>J</t>
  </si>
  <si>
    <t>MaxiSys 909</t>
  </si>
  <si>
    <t>EG3050-0400</t>
  </si>
  <si>
    <t>K11K-</t>
  </si>
  <si>
    <t>MaxiSys 919</t>
  </si>
  <si>
    <t>EG3050-0500</t>
  </si>
  <si>
    <t>K12L-</t>
  </si>
  <si>
    <t>L</t>
  </si>
  <si>
    <t>MaxiSys Ultra</t>
  </si>
  <si>
    <t>EG3050-0600</t>
  </si>
  <si>
    <t>K13M-</t>
  </si>
  <si>
    <t>M</t>
  </si>
  <si>
    <t>MaxiSys 908CV</t>
  </si>
  <si>
    <t>EG3050-0700</t>
  </si>
  <si>
    <t>CA1-</t>
  </si>
  <si>
    <t>株式会社インターサポート</t>
  </si>
  <si>
    <t>G-scanZ　エントリー</t>
  </si>
  <si>
    <t>GZEJ01</t>
  </si>
  <si>
    <t>CSV</t>
  </si>
  <si>
    <t>CA2-</t>
  </si>
  <si>
    <t>G-scanZ　スタンダード</t>
  </si>
  <si>
    <t>GZSJ01</t>
  </si>
  <si>
    <t>CA3-</t>
  </si>
  <si>
    <t>G-scanZ　エントリー（育成機関）</t>
    <rPh sb="14" eb="18">
      <t>イクセイキカン</t>
    </rPh>
    <phoneticPr fontId="5"/>
  </si>
  <si>
    <t>GZEJ01T</t>
  </si>
  <si>
    <t>CA4-</t>
  </si>
  <si>
    <t>G-scanZ　スタンダード（育成機関）</t>
  </si>
  <si>
    <t>GZSJ01T</t>
  </si>
  <si>
    <t>CA5-</t>
  </si>
  <si>
    <t>G-scanZ　エントリー（災害支援）</t>
    <rPh sb="14" eb="18">
      <t>サイガイシエン</t>
    </rPh>
    <phoneticPr fontId="5"/>
  </si>
  <si>
    <t>GZEJ01DS</t>
  </si>
  <si>
    <t>CA6-</t>
  </si>
  <si>
    <t>G-scanZ　スタンダード（災害支援）</t>
  </si>
  <si>
    <t>GZSJ01DS</t>
  </si>
  <si>
    <t>CB1-</t>
  </si>
  <si>
    <t>G-scanZ Tab　エントリー</t>
  </si>
  <si>
    <t>ZT-J02E</t>
  </si>
  <si>
    <t>CB2-</t>
  </si>
  <si>
    <t>G-scanZ Tab　スタンダード</t>
  </si>
  <si>
    <t>ZT-J02S</t>
  </si>
  <si>
    <t>CB3-</t>
  </si>
  <si>
    <t>G-scanZ Tab　エントリー（育成機関）</t>
  </si>
  <si>
    <t>ZT-J02ET</t>
  </si>
  <si>
    <t>CB4-</t>
  </si>
  <si>
    <t>G-scanZ Tab　スタンダード（育成機関）</t>
  </si>
  <si>
    <t>ZT-J02ST</t>
  </si>
  <si>
    <t>CB5-</t>
  </si>
  <si>
    <t>G-scanZ Tab　エントリー（災害支援）</t>
  </si>
  <si>
    <t>ZT-J02EDS</t>
  </si>
  <si>
    <t>CB6-</t>
  </si>
  <si>
    <t>G-scanZ Tab　スタンダード（災害支援）</t>
  </si>
  <si>
    <t>ZT-J02SDS</t>
  </si>
  <si>
    <t>CA7-</t>
  </si>
  <si>
    <t>G-SCAN Z EX-1 Entry</t>
  </si>
  <si>
    <t>GZEJ01-AD1</t>
  </si>
  <si>
    <t>CA8-</t>
  </si>
  <si>
    <t>G-SCAN Z EX-2 Entry</t>
  </si>
  <si>
    <t>GZEJ01-AD2</t>
  </si>
  <si>
    <t>CA9-</t>
  </si>
  <si>
    <t>G-SCAN Z EX-5 Entry</t>
  </si>
  <si>
    <t>GZEJ01-AD5</t>
  </si>
  <si>
    <t>CA10-</t>
  </si>
  <si>
    <t>G-SCAN Z EX-1 Standard</t>
  </si>
  <si>
    <t>GZSJ01-AD1</t>
  </si>
  <si>
    <t>CA11-</t>
  </si>
  <si>
    <t>G-SCAN Z EX-2 Standard</t>
  </si>
  <si>
    <t>GZSJ01-AD2</t>
  </si>
  <si>
    <t>CA12-</t>
  </si>
  <si>
    <t>G-SCAN Z EX-5 Standard</t>
  </si>
  <si>
    <t>GZSJ01-AD5</t>
  </si>
  <si>
    <t>CB7-</t>
  </si>
  <si>
    <t>G-SCAN Z Tab EX-1 Entry</t>
  </si>
  <si>
    <t>ZT-J02E-AD1</t>
  </si>
  <si>
    <t>CB8-</t>
  </si>
  <si>
    <t>G-SCAN Z Tab EX-2 Entry</t>
  </si>
  <si>
    <t>ZT-J02E-AD2</t>
  </si>
  <si>
    <t>CB9-</t>
  </si>
  <si>
    <t>G-SCAN Z Tab EX-5 Entry</t>
  </si>
  <si>
    <t>ZT-J02E-AD5</t>
  </si>
  <si>
    <t>CB10-</t>
  </si>
  <si>
    <t>G-SCAN Z Tab EX-1 Standard</t>
  </si>
  <si>
    <t>ZT-J02S-AD1</t>
  </si>
  <si>
    <t>CB11-</t>
  </si>
  <si>
    <t>G-SCAN Z Tab EX-2 Standard</t>
  </si>
  <si>
    <t>ZT-J02S-AD2</t>
  </si>
  <si>
    <t>CB12-</t>
  </si>
  <si>
    <t>G-SCAN Z Tab EX-5 Standard</t>
  </si>
  <si>
    <t>ZT-J02S-AD5</t>
  </si>
  <si>
    <t>CB13-</t>
  </si>
  <si>
    <t>G-SCAN Z Tab LTE Entry</t>
  </si>
  <si>
    <t>ZT-J02E-LTE</t>
  </si>
  <si>
    <t>CB14-</t>
  </si>
  <si>
    <t>G-SCAN Z Tab LTE Standard</t>
  </si>
  <si>
    <t>ZT-J02S-LTE</t>
  </si>
  <si>
    <t>GM1-</t>
  </si>
  <si>
    <t>オーテル　有限会社G-STYLE</t>
  </si>
  <si>
    <t>MaxiSys MS906BT</t>
  </si>
  <si>
    <t>MS906BT</t>
  </si>
  <si>
    <t>PDF/JPEG</t>
  </si>
  <si>
    <t>GM2-</t>
  </si>
  <si>
    <t>MaxiSys MS906 Pro</t>
  </si>
  <si>
    <t>MS906PRO</t>
  </si>
  <si>
    <t>GM3-</t>
  </si>
  <si>
    <t>Maxisys 908S</t>
  </si>
  <si>
    <t>MS908</t>
  </si>
  <si>
    <t>GM4-</t>
  </si>
  <si>
    <t>Maxisys 908S Pro</t>
  </si>
  <si>
    <t>MS908P</t>
  </si>
  <si>
    <t>GM5-</t>
  </si>
  <si>
    <t>MaxiSys ELITE</t>
  </si>
  <si>
    <t>MS908E</t>
  </si>
  <si>
    <t>GM6-</t>
  </si>
  <si>
    <t>MaxiSys ADAS</t>
  </si>
  <si>
    <t>MS908A</t>
  </si>
  <si>
    <t>GM7-</t>
  </si>
  <si>
    <t>MS909</t>
  </si>
  <si>
    <t>GM8-</t>
  </si>
  <si>
    <t>Maxisys 919</t>
  </si>
  <si>
    <t>MS919</t>
  </si>
  <si>
    <t>GM9-</t>
  </si>
  <si>
    <t>MaxiSys ULTRA</t>
    <phoneticPr fontId="4"/>
  </si>
  <si>
    <t>MSULTRA</t>
    <phoneticPr fontId="4"/>
  </si>
  <si>
    <t>GM10-</t>
  </si>
  <si>
    <t>MaxiSys MS906BT ADAS</t>
  </si>
  <si>
    <t>MS906BTA</t>
  </si>
  <si>
    <t>GM11-</t>
  </si>
  <si>
    <t>MaxiSys MS906 Pro ADAS</t>
  </si>
  <si>
    <t>MS906PROA</t>
  </si>
  <si>
    <t>GM12-</t>
  </si>
  <si>
    <t>Maxisys 908S ADAS</t>
  </si>
  <si>
    <t>MS908SA</t>
  </si>
  <si>
    <t>GM13-</t>
  </si>
  <si>
    <t>Maxisys 908S Pro ADAS</t>
  </si>
  <si>
    <t>MS908PA</t>
  </si>
  <si>
    <t>GM14-</t>
  </si>
  <si>
    <t>MaxiSys ELITE ADAS</t>
  </si>
  <si>
    <t>MS908EA</t>
  </si>
  <si>
    <t>GM15-</t>
  </si>
  <si>
    <t>MaxiSys 909 ADAS</t>
  </si>
  <si>
    <t>MS909A</t>
  </si>
  <si>
    <t>GM16-</t>
  </si>
  <si>
    <t>Maxisys 919 ADAS</t>
  </si>
  <si>
    <t>MS919A</t>
  </si>
  <si>
    <t>GM17-</t>
  </si>
  <si>
    <t>MaxiSys ULTRA ADAS</t>
    <phoneticPr fontId="4"/>
  </si>
  <si>
    <t>MSULTRAA</t>
    <phoneticPr fontId="4"/>
  </si>
  <si>
    <t>GM18-</t>
  </si>
  <si>
    <t>MS908CV</t>
  </si>
  <si>
    <t>NA1a</t>
  </si>
  <si>
    <t>オーテル・インテリジェント・テクノロジー株式会社</t>
  </si>
  <si>
    <t>N</t>
  </si>
  <si>
    <t>a</t>
  </si>
  <si>
    <t>Ver.1.18 以上</t>
    <rPh sb="0" eb="2">
      <t>イジョ</t>
    </rPh>
    <phoneticPr fontId="21"/>
  </si>
  <si>
    <t>NB2b</t>
  </si>
  <si>
    <t>b</t>
  </si>
  <si>
    <t>MaxiSys MS919</t>
  </si>
  <si>
    <t>NC3c</t>
  </si>
  <si>
    <t>c</t>
  </si>
  <si>
    <t>MaxiSys MS909</t>
  </si>
  <si>
    <t>ND4d</t>
  </si>
  <si>
    <t>d</t>
  </si>
  <si>
    <t>MaxiSys MS908SPro</t>
  </si>
  <si>
    <t>Ver.3.71 以上</t>
  </si>
  <si>
    <t>NE5e</t>
  </si>
  <si>
    <t>e</t>
  </si>
  <si>
    <t>MaxiSys MS906Pro</t>
  </si>
  <si>
    <t>Ver.2.42 以上</t>
  </si>
  <si>
    <t>NF6f</t>
  </si>
  <si>
    <t>f</t>
  </si>
  <si>
    <t>MaxiSys MS906ProADAS</t>
  </si>
  <si>
    <t>NG7g</t>
  </si>
  <si>
    <t>g</t>
  </si>
  <si>
    <t>MaxiSys MS906Pro2</t>
  </si>
  <si>
    <t>NH8h</t>
  </si>
  <si>
    <t>h</t>
  </si>
  <si>
    <t>MaxiSys MS908CV</t>
  </si>
  <si>
    <t>BA1-</t>
  </si>
  <si>
    <t>スナップオン・ツールズ株式会社</t>
  </si>
  <si>
    <t>MTG-DUAL-TAB</t>
  </si>
  <si>
    <t>BB2-</t>
  </si>
  <si>
    <t>MTG5000</t>
  </si>
  <si>
    <t>BC3-</t>
  </si>
  <si>
    <t>MTG5000ANV</t>
  </si>
  <si>
    <t>BD4-</t>
  </si>
  <si>
    <t>MTG5000-S</t>
  </si>
  <si>
    <t>BE5-</t>
  </si>
  <si>
    <t>MTG5000　フルセット</t>
  </si>
  <si>
    <t>MTG5000SET</t>
  </si>
  <si>
    <t>BF6-</t>
  </si>
  <si>
    <t>MTG5000ANV　フルセット</t>
  </si>
  <si>
    <t>BG7-</t>
  </si>
  <si>
    <t>MTG5000-S　フルセット</t>
  </si>
  <si>
    <t>MTG5000-SSET</t>
  </si>
  <si>
    <t>FA1-</t>
  </si>
  <si>
    <t>株式会社ツールプラネット</t>
  </si>
  <si>
    <t>FB2-</t>
  </si>
  <si>
    <t>FC3-</t>
  </si>
  <si>
    <t>TPM-TAB</t>
  </si>
  <si>
    <t>MD1c</t>
  </si>
  <si>
    <t>株式会社日本ベンチャー</t>
  </si>
  <si>
    <t>オシロ付DT-3300　乗用車セット</t>
    <rPh sb="3" eb="4">
      <t>ツキ</t>
    </rPh>
    <rPh sb="12" eb="15">
      <t>ジョウヨウシャ</t>
    </rPh>
    <phoneticPr fontId="16"/>
  </si>
  <si>
    <t>3300-OSI-CAR</t>
  </si>
  <si>
    <t>テキスト</t>
  </si>
  <si>
    <t>MD2t</t>
  </si>
  <si>
    <t>t</t>
  </si>
  <si>
    <t>オシロ付DT-3300　24V車セット</t>
    <rPh sb="3" eb="4">
      <t>ツキ</t>
    </rPh>
    <rPh sb="15" eb="16">
      <t>シャ</t>
    </rPh>
    <phoneticPr fontId="16"/>
  </si>
  <si>
    <t>3300-OSI-TB</t>
  </si>
  <si>
    <t>MD3w</t>
  </si>
  <si>
    <t>w</t>
  </si>
  <si>
    <t>オシロ付DT-3300　フルセット</t>
    <rPh sb="3" eb="4">
      <t>ツキ</t>
    </rPh>
    <phoneticPr fontId="16"/>
  </si>
  <si>
    <t>3300-OSI-ALL</t>
  </si>
  <si>
    <t>MT1c</t>
  </si>
  <si>
    <t>T</t>
  </si>
  <si>
    <t>オシロ無DT-3300　乗用車セット</t>
    <rPh sb="3" eb="4">
      <t>ナシ</t>
    </rPh>
    <rPh sb="12" eb="15">
      <t>ジョウヨウシャ</t>
    </rPh>
    <phoneticPr fontId="16"/>
  </si>
  <si>
    <t>3300-STN-CAR</t>
  </si>
  <si>
    <t>MT2t</t>
  </si>
  <si>
    <t>オシロ無DT-3300　24V車セット</t>
    <rPh sb="3" eb="4">
      <t>ナシ</t>
    </rPh>
    <rPh sb="15" eb="16">
      <t>シャ</t>
    </rPh>
    <phoneticPr fontId="16"/>
  </si>
  <si>
    <t>3300-STN-TB</t>
  </si>
  <si>
    <t>MT3w</t>
  </si>
  <si>
    <t>オシロ無DT-3300　フルセット</t>
    <rPh sb="3" eb="4">
      <t>ナシ</t>
    </rPh>
    <phoneticPr fontId="16"/>
  </si>
  <si>
    <t>3300-STN-ALL</t>
  </si>
  <si>
    <t>EA1-</t>
  </si>
  <si>
    <t>日立Astemoアフターマーケットジャパン株式会社</t>
  </si>
  <si>
    <t>日立ダイアグノスティックツールHDM-9000</t>
    <rPh sb="0" eb="2">
      <t>ヒタチ</t>
    </rPh>
    <phoneticPr fontId="19"/>
  </si>
  <si>
    <t>HDM-9000</t>
  </si>
  <si>
    <t>1.1.0.0</t>
  </si>
  <si>
    <t>DA1-</t>
  </si>
  <si>
    <t>株式会社バンザイ</t>
    <rPh sb="0" eb="4">
      <t>カブシキガイシャ</t>
    </rPh>
    <phoneticPr fontId="0"/>
  </si>
  <si>
    <t>MST-nano　マルチサポートツール</t>
  </si>
  <si>
    <t>MST-NANO</t>
  </si>
  <si>
    <t>DB2-</t>
  </si>
  <si>
    <t>マルチサポートツールMST-7R</t>
  </si>
  <si>
    <t>MST-7R</t>
  </si>
  <si>
    <t>AA1a</t>
  </si>
  <si>
    <t>ボッシュ株式会社</t>
  </si>
  <si>
    <t>PC連動型スキャンツール KTS560</t>
  </si>
  <si>
    <t>0684400560</t>
  </si>
  <si>
    <t>Diagnostic</t>
  </si>
  <si>
    <t>③</t>
  </si>
  <si>
    <t>AA2b</t>
  </si>
  <si>
    <t>Advanced</t>
  </si>
  <si>
    <t>AA3c</t>
  </si>
  <si>
    <t>Master</t>
  </si>
  <si>
    <t>AA4d</t>
  </si>
  <si>
    <t>Diagnostic 3 years</t>
  </si>
  <si>
    <t>AA5e</t>
  </si>
  <si>
    <t>Advanced  3 years</t>
  </si>
  <si>
    <t>AA6f</t>
  </si>
  <si>
    <t xml:space="preserve">Master 3 years </t>
  </si>
  <si>
    <t>AB7a</t>
  </si>
  <si>
    <t>a</t>
    <phoneticPr fontId="4"/>
  </si>
  <si>
    <t>PC連動型スキャンツール KTS590</t>
  </si>
  <si>
    <t>0684400590</t>
  </si>
  <si>
    <t>AB8b</t>
  </si>
  <si>
    <t>AB9c</t>
  </si>
  <si>
    <t>AB10d</t>
  </si>
  <si>
    <t>AB11e</t>
  </si>
  <si>
    <t>AB12f</t>
  </si>
  <si>
    <t>LP1-</t>
  </si>
  <si>
    <t>株式会社ヤナセオートシステムズ</t>
  </si>
  <si>
    <t>P</t>
  </si>
  <si>
    <t>LAUNCH PAD V</t>
  </si>
  <si>
    <t>LAUNCH-PADV1</t>
  </si>
  <si>
    <t>YS1-</t>
  </si>
  <si>
    <t>ヤマト自動車株式会社</t>
    <rPh sb="3" eb="6">
      <t>ジドウシャ</t>
    </rPh>
    <rPh sb="6" eb="10">
      <t>カブシキガイシャ</t>
    </rPh>
    <phoneticPr fontId="0"/>
  </si>
  <si>
    <t>Y</t>
  </si>
  <si>
    <t>S</t>
  </si>
  <si>
    <t>S-DMT-MS</t>
  </si>
  <si>
    <t>YS2-</t>
  </si>
  <si>
    <t>S-DMT-MS-T1</t>
  </si>
  <si>
    <t>YS3-</t>
  </si>
  <si>
    <t>S-DMT-MS-T3</t>
  </si>
  <si>
    <t>JG1-</t>
  </si>
  <si>
    <t>株式会社ローンチオートマーケティング</t>
  </si>
  <si>
    <t>X-431PAD JV</t>
  </si>
  <si>
    <t>JG2-</t>
  </si>
  <si>
    <t>X-431PRO3J  V4.0</t>
  </si>
  <si>
    <t>JG3-</t>
  </si>
  <si>
    <t>THINKTOOL Max</t>
  </si>
  <si>
    <t>JG4-</t>
  </si>
  <si>
    <t>THINKTOOL Master X</t>
  </si>
  <si>
    <t>JG5-</t>
  </si>
  <si>
    <t>THINKTOOL Master</t>
  </si>
  <si>
    <t>JG6-</t>
  </si>
  <si>
    <t>THINKTOOL lite</t>
  </si>
  <si>
    <t>RA1-</t>
  </si>
  <si>
    <t>ロシェル株式会社</t>
  </si>
  <si>
    <t>R</t>
  </si>
  <si>
    <t>X-431 PADⅦ</t>
  </si>
  <si>
    <t>RB2-</t>
  </si>
  <si>
    <t>X-431 PADⅤ</t>
  </si>
  <si>
    <t>RC3-</t>
  </si>
  <si>
    <t>X-431 PRO3 ver5.0</t>
  </si>
  <si>
    <t>RD4-</t>
  </si>
  <si>
    <t>X-431 PRO ver5.0</t>
  </si>
  <si>
    <t>RE5-</t>
  </si>
  <si>
    <t>X-431 IMMO PAD</t>
  </si>
  <si>
    <t>TA1-</t>
  </si>
  <si>
    <t>合同会社ASTO</t>
  </si>
  <si>
    <t>X-431PAD Ⅶ</t>
  </si>
  <si>
    <t>TB2-</t>
  </si>
  <si>
    <t>X431 PAD V V2.0</t>
  </si>
  <si>
    <t>TC3-</t>
  </si>
  <si>
    <t>X431 IMMO PAD</t>
  </si>
  <si>
    <t>TD4-</t>
  </si>
  <si>
    <t>V431 PRO5 V2.0 SmartLink</t>
    <phoneticPr fontId="4"/>
  </si>
  <si>
    <t>OA1-</t>
    <phoneticPr fontId="4"/>
  </si>
  <si>
    <t>オートミルテック合同会社</t>
    <phoneticPr fontId="4"/>
  </si>
  <si>
    <t>O</t>
  </si>
  <si>
    <t>H6ProJ</t>
    <phoneticPr fontId="4"/>
  </si>
  <si>
    <t>SA1-</t>
  </si>
  <si>
    <t>株式会社阿部商会</t>
  </si>
  <si>
    <t>TXT MULTI HUB PC連動スキャンツール</t>
    <rPh sb="16" eb="18">
      <t>レンドウ</t>
    </rPh>
    <phoneticPr fontId="15"/>
  </si>
  <si>
    <t>TXTS-HUB-COMP</t>
  </si>
  <si>
    <t>SB2-</t>
  </si>
  <si>
    <t>NAVIGATOR NANOs PC連動スキャンツール</t>
    <rPh sb="18" eb="20">
      <t>レンドウ</t>
    </rPh>
    <phoneticPr fontId="15"/>
  </si>
  <si>
    <t>NANOS-COMP</t>
  </si>
  <si>
    <t>入力シートに戻る</t>
    <rPh sb="0" eb="2">
      <t>ニュウリョク</t>
    </rPh>
    <rPh sb="6" eb="7">
      <t>モド</t>
    </rPh>
    <phoneticPr fontId="4"/>
  </si>
  <si>
    <t>20220901</t>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</si>
</sst>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yyyy/m/d;@"/>
    <numFmt numFmtId="177" formatCode="m"/>
    <numFmt numFmtId="178" formatCode="d"/>
    <numFmt numFmtId="179" formatCode="e"/>
    <numFmt numFmtId="180" formatCode="g"/>
  </numFmts>
  <fonts count="53" x14ac:knownFonts="1">
    <font>
      <sz val="11"/>
      <color theme="1"/>
      <name val="ＭＳ 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ゴシック"/>
      <family val="2"/>
      <charset val="128"/>
    </font>
    <font>
      <sz val="6"/>
      <name val="ＭＳ Ｐゴシック"/>
      <family val="3"/>
      <charset val="128"/>
      <scheme val="minor"/>
    </font>
    <font>
      <sz val="20"/>
      <color theme="0"/>
      <name val="ＭＳ Ｐゴシック"/>
      <family val="3"/>
      <charset val="128"/>
    </font>
    <font>
      <sz val="11"/>
      <color theme="1"/>
      <name val="ＭＳ Ｐゴシック"/>
      <family val="3"/>
      <charset val="128"/>
    </font>
    <font>
      <sz val="11"/>
      <color rgb="FFFF0000"/>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b/>
      <sz val="11"/>
      <color theme="1"/>
      <name val="ＭＳ Ｐゴシック"/>
      <family val="3"/>
      <charset val="128"/>
    </font>
    <font>
      <sz val="11"/>
      <color theme="1"/>
      <name val="ＭＳ Ｐゴシック"/>
      <family val="2"/>
      <charset val="128"/>
      <scheme val="minor"/>
    </font>
    <font>
      <u/>
      <sz val="11"/>
      <color rgb="FFFF0000"/>
      <name val="ＭＳ Ｐゴシック"/>
      <family val="2"/>
      <scheme val="minor"/>
    </font>
    <font>
      <sz val="11"/>
      <color theme="1"/>
      <name val="ＭＳ ゴシック"/>
      <family val="2"/>
      <charset val="128"/>
    </font>
    <font>
      <b/>
      <sz val="11"/>
      <color theme="1"/>
      <name val="ＭＳ ゴシック"/>
      <family val="2"/>
      <charset val="128"/>
    </font>
    <font>
      <b/>
      <sz val="11"/>
      <color rgb="FFFF0000"/>
      <name val="ＭＳ Ｐゴシック"/>
      <family val="3"/>
      <charset val="128"/>
    </font>
    <font>
      <sz val="9"/>
      <color theme="1"/>
      <name val="ＭＳ Ｐゴシック"/>
      <family val="3"/>
      <charset val="128"/>
    </font>
    <font>
      <sz val="9"/>
      <color theme="1"/>
      <name val="ＭＳ ゴシック"/>
      <family val="2"/>
      <charset val="128"/>
    </font>
    <font>
      <sz val="11"/>
      <name val="ＭＳ Ｐゴシック"/>
      <family val="3"/>
      <charset val="128"/>
    </font>
    <font>
      <sz val="11"/>
      <color theme="1"/>
      <name val="ＭＳ ゴシック"/>
      <family val="3"/>
      <charset val="128"/>
    </font>
    <font>
      <b/>
      <sz val="11"/>
      <color theme="1"/>
      <name val="ＭＳ ゴシック"/>
      <family val="3"/>
      <charset val="128"/>
    </font>
    <font>
      <sz val="6"/>
      <name val="ＭＳ Ｐゴシック"/>
      <family val="2"/>
      <charset val="128"/>
      <scheme val="minor"/>
    </font>
    <font>
      <b/>
      <u/>
      <sz val="11"/>
      <color rgb="FFFF0000"/>
      <name val="ＭＳ Ｐゴシック"/>
      <family val="2"/>
      <scheme val="minor"/>
    </font>
    <font>
      <sz val="18"/>
      <name val="ＭＳ ゴシック"/>
      <family val="3"/>
      <charset val="128"/>
    </font>
    <font>
      <b/>
      <u/>
      <sz val="11"/>
      <color rgb="FFFF0000"/>
      <name val="ＭＳ Ｐゴシック"/>
      <family val="3"/>
      <charset val="128"/>
    </font>
    <font>
      <u/>
      <sz val="11"/>
      <color theme="10"/>
      <name val="ＭＳ ゴシック"/>
      <family val="2"/>
      <charset val="128"/>
    </font>
    <font>
      <sz val="10"/>
      <color theme="1"/>
      <name val="ＭＳ Ｐゴシック"/>
      <family val="3"/>
      <charset val="128"/>
    </font>
    <font>
      <sz val="20"/>
      <color theme="0"/>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b/>
      <sz val="11"/>
      <name val="ＭＳ Ｐゴシック"/>
      <family val="3"/>
      <charset val="128"/>
    </font>
    <font>
      <sz val="11"/>
      <color theme="0"/>
      <name val="ＭＳ ゴシック"/>
      <family val="2"/>
      <charset val="128"/>
    </font>
    <font>
      <b/>
      <u/>
      <sz val="11"/>
      <color theme="1"/>
      <name val="ＭＳ Ｐゴシック"/>
      <family val="3"/>
      <charset val="128"/>
    </font>
    <font>
      <b/>
      <u/>
      <sz val="11"/>
      <color theme="0"/>
      <name val="ＭＳ Ｐゴシック"/>
      <family val="3"/>
      <charset val="128"/>
    </font>
    <font>
      <b/>
      <u/>
      <sz val="11"/>
      <color theme="0"/>
      <name val="ＭＳ ゴシック"/>
      <family val="3"/>
      <charset val="128"/>
    </font>
    <font>
      <sz val="10.5"/>
      <color theme="1"/>
      <name val="ＭＳ 明朝"/>
      <family val="1"/>
      <charset val="128"/>
    </font>
    <font>
      <sz val="11"/>
      <color theme="1"/>
      <name val="ＭＳ 明朝"/>
      <family val="1"/>
      <charset val="128"/>
    </font>
    <font>
      <sz val="9"/>
      <color theme="1"/>
      <name val="ＭＳ 明朝"/>
      <family val="1"/>
      <charset val="128"/>
    </font>
    <font>
      <sz val="10.5"/>
      <color rgb="FF000000"/>
      <name val="ＭＳ 明朝"/>
      <family val="1"/>
      <charset val="128"/>
    </font>
    <font>
      <b/>
      <sz val="12"/>
      <color theme="1"/>
      <name val="游ゴシック"/>
      <family val="3"/>
      <charset val="128"/>
    </font>
    <font>
      <sz val="8"/>
      <color theme="1"/>
      <name val="游ゴシック"/>
      <family val="3"/>
      <charset val="128"/>
    </font>
    <font>
      <sz val="6"/>
      <color theme="1"/>
      <name val="ＭＳ 明朝"/>
      <family val="1"/>
      <charset val="128"/>
    </font>
    <font>
      <sz val="10.5"/>
      <color theme="0"/>
      <name val="ＭＳ 明朝"/>
      <family val="1"/>
      <charset val="128"/>
    </font>
    <font>
      <sz val="11"/>
      <color indexed="8"/>
      <name val="ＭＳ Ｐゴシック"/>
      <family val="3"/>
      <charset val="128"/>
    </font>
    <font>
      <b/>
      <sz val="36"/>
      <color rgb="FFFF0000"/>
      <name val="ＭＳ ゴシック"/>
      <family val="3"/>
      <charset val="128"/>
    </font>
    <font>
      <b/>
      <sz val="11"/>
      <color rgb="FFFF0000"/>
      <name val="ＭＳ ゴシック"/>
      <family val="2"/>
      <charset val="128"/>
    </font>
    <font>
      <sz val="10.5"/>
      <color theme="1"/>
      <name val="Century"/>
      <family val="1"/>
    </font>
    <font>
      <b/>
      <sz val="11"/>
      <color rgb="FFFF0000"/>
      <name val="ＭＳ ゴシック"/>
      <family val="3"/>
      <charset val="128"/>
    </font>
    <font>
      <sz val="16"/>
      <color theme="1"/>
      <name val="ＭＳ ゴシック"/>
      <family val="3"/>
      <charset val="128"/>
    </font>
    <font>
      <b/>
      <u/>
      <sz val="16"/>
      <color theme="1"/>
      <name val="ＭＳ ゴシック"/>
      <family val="3"/>
      <charset val="128"/>
    </font>
    <font>
      <b/>
      <sz val="9"/>
      <color theme="1"/>
      <name val="游ゴシック"/>
      <family val="3"/>
      <charset val="128"/>
    </font>
    <font>
      <b/>
      <u/>
      <sz val="11"/>
      <color rgb="FFFF0000"/>
      <name val="ＭＳ ゴシック"/>
      <family val="3"/>
      <charset val="128"/>
    </font>
  </fonts>
  <fills count="1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8" tint="-0.499984740745262"/>
        <bgColor indexed="64"/>
      </patternFill>
    </fill>
    <fill>
      <patternFill patternType="solid">
        <fgColor theme="7" tint="0.59999389629810485"/>
        <bgColor indexed="64"/>
      </patternFill>
    </fill>
    <fill>
      <patternFill patternType="solid">
        <fgColor rgb="FFFF0000"/>
        <bgColor indexed="64"/>
      </patternFill>
    </fill>
  </fills>
  <borders count="3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top/>
      <bottom/>
      <diagonal/>
    </border>
    <border>
      <left/>
      <right/>
      <top style="medium">
        <color rgb="FFFF0000"/>
      </top>
      <bottom style="medium">
        <color indexed="64"/>
      </bottom>
      <diagonal/>
    </border>
  </borders>
  <cellStyleXfs count="8">
    <xf numFmtId="0" fontId="0" fillId="0" borderId="0">
      <alignment vertical="center"/>
    </xf>
    <xf numFmtId="0" fontId="15" fillId="0" borderId="0" applyNumberFormat="0" applyFill="0" applyBorder="0" applyAlignment="0" applyProtection="0">
      <alignment vertical="center"/>
    </xf>
    <xf numFmtId="6" fontId="14" fillId="0" borderId="0" applyFont="0" applyFill="0" applyBorder="0" applyAlignment="0" applyProtection="0">
      <alignment vertical="center"/>
    </xf>
    <xf numFmtId="0" fontId="26" fillId="0" borderId="0" applyNumberFormat="0" applyFill="0" applyBorder="0" applyAlignment="0" applyProtection="0">
      <alignment vertical="center"/>
    </xf>
    <xf numFmtId="38" fontId="14" fillId="0" borderId="0" applyFont="0" applyFill="0" applyBorder="0" applyAlignment="0" applyProtection="0">
      <alignment vertical="center"/>
    </xf>
    <xf numFmtId="0" fontId="12" fillId="0" borderId="0">
      <alignment vertical="center"/>
    </xf>
    <xf numFmtId="6" fontId="14" fillId="0" borderId="0" applyFont="0" applyFill="0" applyBorder="0" applyAlignment="0" applyProtection="0">
      <alignment vertical="center"/>
    </xf>
    <xf numFmtId="0" fontId="3" fillId="0" borderId="0">
      <alignment vertical="center"/>
    </xf>
  </cellStyleXfs>
  <cellXfs count="472">
    <xf numFmtId="0" fontId="0" fillId="0" borderId="0" xfId="0">
      <alignment vertical="center"/>
    </xf>
    <xf numFmtId="0" fontId="6" fillId="14" borderId="0" xfId="0" applyFont="1" applyFill="1" applyAlignment="1" applyProtection="1">
      <alignment horizontal="center" vertical="center"/>
      <protection hidden="1"/>
    </xf>
    <xf numFmtId="0" fontId="21" fillId="0" borderId="0" xfId="0" applyFont="1">
      <alignment vertical="center"/>
    </xf>
    <xf numFmtId="0" fontId="0" fillId="0" borderId="0" xfId="0" applyAlignment="1">
      <alignment vertical="center" wrapText="1"/>
    </xf>
    <xf numFmtId="0" fontId="0" fillId="0" borderId="5" xfId="0" applyBorder="1">
      <alignment vertical="center"/>
    </xf>
    <xf numFmtId="0" fontId="0" fillId="6" borderId="5" xfId="0" applyFill="1" applyBorder="1">
      <alignment vertical="center"/>
    </xf>
    <xf numFmtId="0" fontId="0" fillId="6" borderId="9" xfId="0" applyFill="1" applyBorder="1">
      <alignment vertical="center"/>
    </xf>
    <xf numFmtId="0" fontId="0" fillId="6" borderId="10" xfId="0" applyFill="1" applyBorder="1">
      <alignment vertical="center"/>
    </xf>
    <xf numFmtId="0" fontId="0" fillId="6" borderId="11" xfId="0" applyFill="1" applyBorder="1">
      <alignment vertical="center"/>
    </xf>
    <xf numFmtId="0" fontId="0" fillId="6" borderId="5" xfId="0" applyFill="1" applyBorder="1" applyAlignment="1">
      <alignment vertical="center" wrapText="1"/>
    </xf>
    <xf numFmtId="0" fontId="0" fillId="5" borderId="5" xfId="0" applyFill="1" applyBorder="1">
      <alignment vertical="center"/>
    </xf>
    <xf numFmtId="0" fontId="0" fillId="10" borderId="0" xfId="0" applyFill="1" applyAlignment="1">
      <alignment vertical="center" wrapText="1"/>
    </xf>
    <xf numFmtId="0" fontId="0" fillId="0" borderId="8" xfId="0" applyBorder="1">
      <alignment vertical="center"/>
    </xf>
    <xf numFmtId="0" fontId="0" fillId="11" borderId="0" xfId="0" applyFill="1">
      <alignment vertical="center"/>
    </xf>
    <xf numFmtId="0" fontId="15" fillId="12" borderId="0" xfId="0" applyFont="1" applyFill="1" applyAlignment="1">
      <alignment horizontal="left" vertical="center"/>
    </xf>
    <xf numFmtId="0" fontId="0" fillId="3" borderId="5" xfId="0" applyFill="1" applyBorder="1">
      <alignment vertical="center"/>
    </xf>
    <xf numFmtId="0" fontId="0" fillId="3" borderId="5" xfId="0" quotePrefix="1" applyFill="1" applyBorder="1">
      <alignment vertical="center"/>
    </xf>
    <xf numFmtId="0" fontId="0" fillId="3" borderId="7" xfId="0" applyFill="1" applyBorder="1">
      <alignment vertical="center"/>
    </xf>
    <xf numFmtId="14" fontId="0" fillId="0" borderId="24" xfId="0" applyNumberFormat="1" applyBorder="1">
      <alignment vertical="center"/>
    </xf>
    <xf numFmtId="14" fontId="0" fillId="3" borderId="5" xfId="0" applyNumberFormat="1" applyFill="1" applyBorder="1">
      <alignment vertical="center"/>
    </xf>
    <xf numFmtId="6" fontId="7" fillId="5" borderId="1" xfId="2" applyFont="1" applyFill="1" applyBorder="1" applyAlignment="1" applyProtection="1">
      <alignment horizontal="right" vertical="center"/>
      <protection locked="0"/>
    </xf>
    <xf numFmtId="0" fontId="0" fillId="6" borderId="0" xfId="0" applyFill="1" applyAlignment="1" applyProtection="1">
      <alignment horizontal="left" vertical="center"/>
      <protection locked="0"/>
    </xf>
    <xf numFmtId="0" fontId="0" fillId="12" borderId="0" xfId="0" applyFill="1" applyAlignment="1">
      <alignment horizontal="left" vertical="center"/>
    </xf>
    <xf numFmtId="0" fontId="7" fillId="11" borderId="0" xfId="0" applyFont="1" applyFill="1" applyAlignment="1">
      <alignment horizontal="left" vertical="center"/>
    </xf>
    <xf numFmtId="14" fontId="0" fillId="0" borderId="7" xfId="0" applyNumberFormat="1" applyBorder="1">
      <alignment vertical="center"/>
    </xf>
    <xf numFmtId="0" fontId="0" fillId="12" borderId="8" xfId="0" applyFill="1" applyBorder="1">
      <alignment vertical="center"/>
    </xf>
    <xf numFmtId="0" fontId="0" fillId="12" borderId="23" xfId="0" applyFill="1" applyBorder="1">
      <alignment vertical="center"/>
    </xf>
    <xf numFmtId="0" fontId="11" fillId="12" borderId="0" xfId="0" applyFont="1" applyFill="1" applyAlignment="1">
      <alignment horizontal="center" vertical="center"/>
    </xf>
    <xf numFmtId="0" fontId="11" fillId="12" borderId="0" xfId="0" applyFont="1" applyFill="1" applyAlignment="1">
      <alignment horizontal="left" vertical="center"/>
    </xf>
    <xf numFmtId="0" fontId="19" fillId="12" borderId="0" xfId="0" applyFont="1" applyFill="1" applyAlignment="1">
      <alignment horizontal="center" vertical="center" wrapText="1"/>
    </xf>
    <xf numFmtId="6" fontId="7" fillId="12" borderId="0" xfId="2" applyFont="1" applyFill="1" applyAlignment="1">
      <alignment horizontal="right" vertical="center"/>
    </xf>
    <xf numFmtId="6" fontId="0" fillId="12" borderId="0" xfId="2" applyFont="1" applyFill="1" applyAlignment="1">
      <alignment horizontal="right" vertical="center"/>
    </xf>
    <xf numFmtId="6" fontId="0" fillId="3" borderId="5" xfId="2" applyFont="1" applyFill="1" applyBorder="1">
      <alignment vertical="center"/>
    </xf>
    <xf numFmtId="0" fontId="0" fillId="15" borderId="0" xfId="0" applyFill="1">
      <alignment vertical="center"/>
    </xf>
    <xf numFmtId="6" fontId="0" fillId="5" borderId="5" xfId="2" applyFont="1" applyFill="1" applyBorder="1">
      <alignment vertical="center"/>
    </xf>
    <xf numFmtId="6" fontId="0" fillId="0" borderId="5" xfId="2" applyFont="1" applyFill="1" applyBorder="1">
      <alignment vertical="center"/>
    </xf>
    <xf numFmtId="0" fontId="0" fillId="6" borderId="0" xfId="0" applyFill="1">
      <alignment vertical="center"/>
    </xf>
    <xf numFmtId="14" fontId="0" fillId="5" borderId="5" xfId="0" applyNumberFormat="1" applyFill="1" applyBorder="1">
      <alignment vertical="center"/>
    </xf>
    <xf numFmtId="0" fontId="0" fillId="6" borderId="5" xfId="0" applyFill="1" applyBorder="1" applyAlignment="1">
      <alignment horizontal="left" vertical="center"/>
    </xf>
    <xf numFmtId="0" fontId="29" fillId="0" borderId="0" xfId="0" applyFont="1" applyAlignment="1">
      <alignment horizontal="left" vertical="center"/>
    </xf>
    <xf numFmtId="0" fontId="29" fillId="6" borderId="0" xfId="0" applyFont="1" applyFill="1" applyAlignment="1" applyProtection="1">
      <alignment horizontal="centerContinuous" vertical="center"/>
      <protection locked="0"/>
    </xf>
    <xf numFmtId="0" fontId="29" fillId="0" borderId="0" xfId="0" applyFont="1" applyAlignment="1">
      <alignment horizontal="left" vertical="center" wrapText="1"/>
    </xf>
    <xf numFmtId="0" fontId="29" fillId="0" borderId="0" xfId="0" applyFont="1">
      <alignment vertical="center"/>
    </xf>
    <xf numFmtId="0" fontId="9" fillId="0" borderId="0" xfId="0" applyFont="1" applyAlignment="1">
      <alignment horizontal="left" vertical="center"/>
    </xf>
    <xf numFmtId="0" fontId="29" fillId="0" borderId="0" xfId="0" applyFont="1" applyAlignment="1">
      <alignment vertical="center" shrinkToFit="1"/>
    </xf>
    <xf numFmtId="0" fontId="15" fillId="0" borderId="0" xfId="1">
      <alignment vertical="center"/>
    </xf>
    <xf numFmtId="0" fontId="29" fillId="11" borderId="0" xfId="0" applyFont="1" applyFill="1">
      <alignment vertical="center"/>
    </xf>
    <xf numFmtId="0" fontId="29" fillId="11" borderId="0" xfId="0" applyFont="1" applyFill="1" applyAlignment="1">
      <alignment vertical="center" shrinkToFit="1"/>
    </xf>
    <xf numFmtId="0" fontId="30" fillId="11" borderId="0" xfId="0" applyFont="1" applyFill="1" applyAlignment="1">
      <alignment vertical="center" shrinkToFit="1"/>
    </xf>
    <xf numFmtId="0" fontId="29" fillId="12" borderId="0" xfId="0" applyFont="1" applyFill="1">
      <alignment vertical="center"/>
    </xf>
    <xf numFmtId="0" fontId="29" fillId="12" borderId="0" xfId="0" applyFont="1" applyFill="1" applyAlignment="1">
      <alignment vertical="center" shrinkToFit="1"/>
    </xf>
    <xf numFmtId="0" fontId="29" fillId="12" borderId="0" xfId="0" applyFont="1" applyFill="1" applyAlignment="1">
      <alignment horizontal="left" vertical="center" wrapText="1"/>
    </xf>
    <xf numFmtId="0" fontId="30" fillId="12" borderId="0" xfId="0" applyFont="1" applyFill="1">
      <alignment vertical="center"/>
    </xf>
    <xf numFmtId="0" fontId="15" fillId="12" borderId="0" xfId="1" applyFill="1">
      <alignment vertical="center"/>
    </xf>
    <xf numFmtId="56" fontId="29" fillId="12" borderId="0" xfId="0" applyNumberFormat="1" applyFont="1" applyFill="1">
      <alignment vertical="center"/>
    </xf>
    <xf numFmtId="0" fontId="29" fillId="12" borderId="0" xfId="0" applyFont="1" applyFill="1" applyAlignment="1">
      <alignment horizontal="left" vertical="center" shrinkToFit="1"/>
    </xf>
    <xf numFmtId="0" fontId="15" fillId="12" borderId="0" xfId="1" applyFill="1" applyAlignment="1">
      <alignment vertical="center" shrinkToFit="1"/>
    </xf>
    <xf numFmtId="0" fontId="7" fillId="11" borderId="0" xfId="0" applyFont="1" applyFill="1">
      <alignment vertical="center"/>
    </xf>
    <xf numFmtId="0" fontId="36" fillId="0" borderId="0" xfId="0" applyFont="1" applyProtection="1">
      <alignment vertical="center"/>
      <protection hidden="1"/>
    </xf>
    <xf numFmtId="0" fontId="36" fillId="0" borderId="0" xfId="0" applyFont="1" applyAlignment="1" applyProtection="1">
      <alignment horizontal="center" vertical="center"/>
      <protection hidden="1"/>
    </xf>
    <xf numFmtId="0" fontId="36" fillId="0" borderId="0" xfId="0" applyFont="1" applyAlignment="1" applyProtection="1">
      <alignment horizontal="right" vertical="center"/>
      <protection hidden="1"/>
    </xf>
    <xf numFmtId="0" fontId="37" fillId="0" borderId="0" xfId="0" applyFont="1" applyProtection="1">
      <alignment vertical="center"/>
      <protection hidden="1"/>
    </xf>
    <xf numFmtId="0" fontId="38" fillId="0" borderId="0" xfId="0" applyFont="1" applyAlignment="1" applyProtection="1">
      <alignment vertical="top"/>
      <protection hidden="1"/>
    </xf>
    <xf numFmtId="49" fontId="38" fillId="0" borderId="0" xfId="0" applyNumberFormat="1" applyFont="1" applyAlignment="1" applyProtection="1">
      <alignment vertical="top"/>
      <protection hidden="1"/>
    </xf>
    <xf numFmtId="49" fontId="37" fillId="0" borderId="0" xfId="0" applyNumberFormat="1" applyFont="1" applyProtection="1">
      <alignment vertical="center"/>
      <protection hidden="1"/>
    </xf>
    <xf numFmtId="0" fontId="36" fillId="0" borderId="0" xfId="0" applyFont="1" applyAlignment="1" applyProtection="1">
      <alignment horizontal="left" vertical="center"/>
      <protection hidden="1"/>
    </xf>
    <xf numFmtId="0" fontId="12" fillId="0" borderId="0" xfId="5">
      <alignment vertical="center"/>
    </xf>
    <xf numFmtId="0" fontId="12" fillId="0" borderId="0" xfId="5" applyAlignment="1">
      <alignment horizontal="right" vertical="center"/>
    </xf>
    <xf numFmtId="0" fontId="12" fillId="0" borderId="0" xfId="5" applyAlignment="1"/>
    <xf numFmtId="0" fontId="12" fillId="0" borderId="0" xfId="5" applyAlignment="1">
      <alignment horizontal="left" vertical="center"/>
    </xf>
    <xf numFmtId="0" fontId="44" fillId="0" borderId="0" xfId="5" applyFont="1">
      <alignment vertical="center"/>
    </xf>
    <xf numFmtId="49" fontId="12" fillId="0" borderId="0" xfId="5" applyNumberFormat="1" applyAlignment="1">
      <alignment horizontal="left" vertical="center"/>
    </xf>
    <xf numFmtId="0" fontId="0" fillId="7" borderId="5" xfId="0" applyFill="1" applyBorder="1" applyAlignment="1">
      <alignment horizontal="centerContinuous" vertical="center" wrapText="1"/>
    </xf>
    <xf numFmtId="0" fontId="0" fillId="7" borderId="0" xfId="0" applyFill="1" applyAlignment="1">
      <alignment vertical="center" wrapText="1"/>
    </xf>
    <xf numFmtId="0" fontId="7" fillId="0" borderId="0" xfId="0" applyFont="1" applyAlignment="1">
      <alignment horizontal="left" vertical="center"/>
    </xf>
    <xf numFmtId="0" fontId="7" fillId="9" borderId="0" xfId="0" applyFont="1" applyFill="1" applyAlignment="1">
      <alignment horizontal="left" vertical="center"/>
    </xf>
    <xf numFmtId="0" fontId="0" fillId="11" borderId="0" xfId="0" applyFill="1" applyAlignment="1">
      <alignment horizontal="left" vertical="center"/>
    </xf>
    <xf numFmtId="0" fontId="7" fillId="11" borderId="0" xfId="0" applyFont="1" applyFill="1" applyAlignment="1">
      <alignment horizontal="left" vertical="center" wrapText="1"/>
    </xf>
    <xf numFmtId="0" fontId="7" fillId="12" borderId="0" xfId="0" applyFont="1" applyFill="1" applyAlignment="1">
      <alignment horizontal="left" vertical="center"/>
    </xf>
    <xf numFmtId="0" fontId="25" fillId="11" borderId="0" xfId="0" applyFont="1" applyFill="1" applyAlignment="1">
      <alignment horizontal="left" vertical="center"/>
    </xf>
    <xf numFmtId="0" fontId="7" fillId="5" borderId="1" xfId="0" applyFont="1" applyFill="1" applyBorder="1" applyAlignment="1" applyProtection="1">
      <alignment horizontal="left" vertical="center"/>
      <protection locked="0"/>
    </xf>
    <xf numFmtId="0" fontId="7" fillId="6" borderId="0" xfId="0" applyFont="1" applyFill="1" applyAlignment="1" applyProtection="1">
      <alignment horizontal="left" vertical="center"/>
      <protection locked="0"/>
    </xf>
    <xf numFmtId="0" fontId="30" fillId="11" borderId="0" xfId="0" applyFont="1" applyFill="1">
      <alignment vertical="center"/>
    </xf>
    <xf numFmtId="0" fontId="30" fillId="12" borderId="0" xfId="0" applyFont="1" applyFill="1" applyAlignment="1">
      <alignment vertical="center" shrinkToFit="1"/>
    </xf>
    <xf numFmtId="0" fontId="0" fillId="12" borderId="0" xfId="0" applyFill="1" applyAlignment="1">
      <alignment horizontal="center" vertical="center"/>
    </xf>
    <xf numFmtId="0" fontId="29" fillId="12" borderId="0" xfId="0" applyFont="1" applyFill="1" applyAlignment="1">
      <alignment vertical="center" wrapText="1"/>
    </xf>
    <xf numFmtId="0" fontId="29" fillId="6" borderId="0" xfId="0" applyFont="1" applyFill="1">
      <alignment vertical="center"/>
    </xf>
    <xf numFmtId="0" fontId="29" fillId="12" borderId="0" xfId="0" applyFont="1" applyFill="1" applyAlignment="1">
      <alignment horizontal="center" vertical="center" wrapText="1"/>
    </xf>
    <xf numFmtId="0" fontId="29" fillId="7" borderId="6" xfId="0" applyFont="1" applyFill="1" applyBorder="1">
      <alignment vertical="center"/>
    </xf>
    <xf numFmtId="0" fontId="29" fillId="9" borderId="0" xfId="0" applyFont="1" applyFill="1">
      <alignment vertical="center"/>
    </xf>
    <xf numFmtId="0" fontId="29" fillId="9" borderId="0" xfId="0" applyFont="1" applyFill="1" applyAlignment="1">
      <alignment vertical="center" shrinkToFit="1"/>
    </xf>
    <xf numFmtId="0" fontId="30" fillId="9" borderId="0" xfId="0" applyFont="1" applyFill="1">
      <alignment vertical="center"/>
    </xf>
    <xf numFmtId="0" fontId="30" fillId="9" borderId="0" xfId="0" applyFont="1" applyFill="1" applyAlignment="1">
      <alignment vertical="center" shrinkToFit="1"/>
    </xf>
    <xf numFmtId="0" fontId="29" fillId="6" borderId="0" xfId="0" applyFont="1" applyFill="1" applyAlignment="1">
      <alignment vertical="center" shrinkToFit="1"/>
    </xf>
    <xf numFmtId="0" fontId="30" fillId="6" borderId="0" xfId="0" applyFont="1" applyFill="1">
      <alignment vertical="center"/>
    </xf>
    <xf numFmtId="0" fontId="30" fillId="6" borderId="0" xfId="0" applyFont="1" applyFill="1" applyAlignment="1">
      <alignment vertical="center" shrinkToFit="1"/>
    </xf>
    <xf numFmtId="0" fontId="31" fillId="12" borderId="0" xfId="0" applyFont="1" applyFill="1" applyAlignment="1">
      <alignment horizontal="center" vertical="center" wrapText="1"/>
    </xf>
    <xf numFmtId="0" fontId="11" fillId="12" borderId="0" xfId="0" quotePrefix="1" applyFont="1" applyFill="1" applyAlignment="1">
      <alignment horizontal="center" vertical="center"/>
    </xf>
    <xf numFmtId="6" fontId="7" fillId="9" borderId="0" xfId="2" applyFont="1" applyFill="1" applyAlignment="1">
      <alignment horizontal="right" vertical="center"/>
    </xf>
    <xf numFmtId="0" fontId="11" fillId="9" borderId="0" xfId="0" quotePrefix="1" applyFont="1" applyFill="1" applyAlignment="1">
      <alignment horizontal="center" vertical="center"/>
    </xf>
    <xf numFmtId="0" fontId="0" fillId="9" borderId="0" xfId="0" applyFill="1" applyAlignment="1">
      <alignment horizontal="left" vertical="center"/>
    </xf>
    <xf numFmtId="6" fontId="0" fillId="9" borderId="0" xfId="2" applyFont="1" applyFill="1" applyAlignment="1">
      <alignment horizontal="right" vertical="center"/>
    </xf>
    <xf numFmtId="0" fontId="9" fillId="12" borderId="0" xfId="0" applyFont="1" applyFill="1">
      <alignment vertical="center"/>
    </xf>
    <xf numFmtId="6" fontId="7" fillId="12" borderId="0" xfId="2" applyFont="1" applyFill="1" applyAlignment="1" applyProtection="1">
      <alignment horizontal="right" vertical="center"/>
    </xf>
    <xf numFmtId="6" fontId="0" fillId="12" borderId="0" xfId="2" applyFont="1" applyFill="1" applyAlignment="1" applyProtection="1">
      <alignment horizontal="right" vertical="center"/>
    </xf>
    <xf numFmtId="0" fontId="0" fillId="4" borderId="5" xfId="0" applyFill="1" applyBorder="1">
      <alignment vertical="center"/>
    </xf>
    <xf numFmtId="0" fontId="26" fillId="6" borderId="0" xfId="3" applyFill="1" applyAlignment="1">
      <alignment horizontal="right" vertical="center" shrinkToFit="1"/>
    </xf>
    <xf numFmtId="0" fontId="26" fillId="9" borderId="0" xfId="3" applyFill="1" applyAlignment="1">
      <alignment horizontal="right" vertical="center" shrinkToFit="1"/>
    </xf>
    <xf numFmtId="0" fontId="7" fillId="6" borderId="0" xfId="0" applyFont="1" applyFill="1" applyAlignment="1">
      <alignment horizontal="left" vertical="center"/>
    </xf>
    <xf numFmtId="0" fontId="7" fillId="0" borderId="1" xfId="0" applyFont="1" applyBorder="1" applyAlignment="1" applyProtection="1">
      <alignment horizontal="left" vertical="center"/>
      <protection locked="0"/>
    </xf>
    <xf numFmtId="0" fontId="0" fillId="0" borderId="5" xfId="0" quotePrefix="1" applyBorder="1">
      <alignment vertical="center"/>
    </xf>
    <xf numFmtId="0" fontId="0" fillId="3" borderId="11" xfId="0" quotePrefix="1" applyFill="1" applyBorder="1">
      <alignment vertical="center"/>
    </xf>
    <xf numFmtId="0" fontId="0" fillId="7" borderId="27" xfId="0" applyFill="1" applyBorder="1" applyAlignment="1">
      <alignment horizontal="centerContinuous" vertical="center" wrapText="1"/>
    </xf>
    <xf numFmtId="0" fontId="0" fillId="7" borderId="0" xfId="0" applyFill="1" applyAlignment="1">
      <alignment horizontal="centerContinuous" vertical="center" wrapText="1"/>
    </xf>
    <xf numFmtId="0" fontId="0" fillId="7" borderId="28" xfId="0" applyFill="1" applyBorder="1" applyAlignment="1">
      <alignment horizontal="centerContinuous" vertical="center" wrapText="1"/>
    </xf>
    <xf numFmtId="0" fontId="0" fillId="5" borderId="0" xfId="0" applyFill="1">
      <alignment vertical="center"/>
    </xf>
    <xf numFmtId="14" fontId="0" fillId="5" borderId="0" xfId="0" applyNumberFormat="1" applyFill="1">
      <alignment vertical="center"/>
    </xf>
    <xf numFmtId="0" fontId="0" fillId="7" borderId="0" xfId="0" applyFill="1">
      <alignment vertical="center"/>
    </xf>
    <xf numFmtId="0" fontId="29" fillId="0" borderId="0" xfId="1" applyFont="1">
      <alignment vertical="center"/>
    </xf>
    <xf numFmtId="49" fontId="29" fillId="12" borderId="0" xfId="0" applyNumberFormat="1" applyFont="1" applyFill="1" applyAlignment="1">
      <alignment vertical="center" shrinkToFit="1"/>
    </xf>
    <xf numFmtId="49" fontId="29" fillId="12" borderId="0" xfId="0" applyNumberFormat="1" applyFont="1" applyFill="1" applyAlignment="1">
      <alignment horizontal="left" vertical="center" wrapText="1"/>
    </xf>
    <xf numFmtId="49" fontId="0" fillId="12" borderId="0" xfId="0" applyNumberFormat="1" applyFill="1" applyAlignment="1">
      <alignment horizontal="center" vertical="center"/>
    </xf>
    <xf numFmtId="49" fontId="30" fillId="12" borderId="0" xfId="0" applyNumberFormat="1" applyFont="1" applyFill="1" applyAlignment="1">
      <alignment vertical="center" shrinkToFit="1"/>
    </xf>
    <xf numFmtId="49" fontId="29" fillId="0" borderId="1" xfId="0" applyNumberFormat="1" applyFont="1" applyBorder="1" applyAlignment="1" applyProtection="1">
      <alignment horizontal="left" vertical="center" shrinkToFit="1"/>
      <protection locked="0"/>
    </xf>
    <xf numFmtId="49" fontId="29" fillId="0" borderId="1" xfId="0" applyNumberFormat="1" applyFont="1" applyBorder="1" applyAlignment="1" applyProtection="1">
      <alignment vertical="center" shrinkToFit="1"/>
      <protection locked="0"/>
    </xf>
    <xf numFmtId="49" fontId="30" fillId="12" borderId="0" xfId="0" applyNumberFormat="1" applyFont="1" applyFill="1" applyAlignment="1">
      <alignment horizontal="left" vertical="center" shrinkToFit="1"/>
    </xf>
    <xf numFmtId="6" fontId="0" fillId="0" borderId="5" xfId="2" applyFont="1" applyBorder="1">
      <alignment vertical="center"/>
    </xf>
    <xf numFmtId="0" fontId="0" fillId="11" borderId="0" xfId="0" applyFill="1" applyAlignment="1">
      <alignment horizontal="left" vertical="center" wrapText="1"/>
    </xf>
    <xf numFmtId="0" fontId="0" fillId="8" borderId="5" xfId="0" applyFill="1" applyBorder="1">
      <alignment vertical="center"/>
    </xf>
    <xf numFmtId="0" fontId="45" fillId="3" borderId="5" xfId="0" applyFont="1" applyFill="1" applyBorder="1">
      <alignment vertical="center"/>
    </xf>
    <xf numFmtId="0" fontId="0" fillId="2" borderId="5" xfId="0" applyFill="1" applyBorder="1">
      <alignment vertical="center"/>
    </xf>
    <xf numFmtId="0" fontId="0" fillId="6" borderId="11" xfId="0" applyFill="1" applyBorder="1" applyAlignment="1">
      <alignment vertical="center" wrapText="1"/>
    </xf>
    <xf numFmtId="0" fontId="0" fillId="15" borderId="25" xfId="0" applyFill="1" applyBorder="1">
      <alignment vertical="center"/>
    </xf>
    <xf numFmtId="0" fontId="0" fillId="15" borderId="26" xfId="0" applyFill="1" applyBorder="1">
      <alignment vertical="center"/>
    </xf>
    <xf numFmtId="0" fontId="0" fillId="15" borderId="12" xfId="0" applyFill="1" applyBorder="1">
      <alignment vertical="center"/>
    </xf>
    <xf numFmtId="0" fontId="0" fillId="0" borderId="30" xfId="0" applyBorder="1">
      <alignment vertical="center"/>
    </xf>
    <xf numFmtId="0" fontId="0" fillId="0" borderId="13" xfId="0" applyBorder="1">
      <alignment vertical="center"/>
    </xf>
    <xf numFmtId="0" fontId="48" fillId="15" borderId="29" xfId="0" applyFont="1" applyFill="1" applyBorder="1">
      <alignment vertical="center"/>
    </xf>
    <xf numFmtId="0" fontId="39" fillId="0" borderId="0" xfId="0" applyFont="1" applyProtection="1">
      <alignment vertical="center"/>
      <protection hidden="1"/>
    </xf>
    <xf numFmtId="38" fontId="40" fillId="0" borderId="0" xfId="4" applyFont="1" applyAlignment="1" applyProtection="1">
      <alignment vertical="center"/>
      <protection hidden="1"/>
    </xf>
    <xf numFmtId="0" fontId="38" fillId="0" borderId="0" xfId="0" applyFont="1" applyProtection="1">
      <alignment vertical="center"/>
      <protection hidden="1"/>
    </xf>
    <xf numFmtId="0" fontId="42" fillId="0" borderId="9" xfId="0" applyFont="1" applyBorder="1" applyAlignment="1" applyProtection="1">
      <alignment horizontal="left" vertical="center"/>
      <protection hidden="1"/>
    </xf>
    <xf numFmtId="0" fontId="40" fillId="0" borderId="0" xfId="0" applyFont="1" applyAlignment="1" applyProtection="1">
      <alignment horizontal="center" vertical="center" shrinkToFit="1"/>
      <protection hidden="1"/>
    </xf>
    <xf numFmtId="0" fontId="38" fillId="0" borderId="0" xfId="0" quotePrefix="1" applyFont="1" applyProtection="1">
      <alignment vertical="center"/>
      <protection hidden="1"/>
    </xf>
    <xf numFmtId="0" fontId="36" fillId="0" borderId="27" xfId="0" applyFont="1" applyBorder="1" applyProtection="1">
      <alignment vertical="center"/>
      <protection hidden="1"/>
    </xf>
    <xf numFmtId="0" fontId="36" fillId="0" borderId="29" xfId="0" applyFont="1" applyBorder="1" applyProtection="1">
      <alignment vertical="center"/>
      <protection hidden="1"/>
    </xf>
    <xf numFmtId="0" fontId="36" fillId="0" borderId="30" xfId="0" applyFont="1" applyBorder="1" applyProtection="1">
      <alignment vertical="center"/>
      <protection hidden="1"/>
    </xf>
    <xf numFmtId="0" fontId="43" fillId="0" borderId="0" xfId="0" applyFont="1" applyProtection="1">
      <alignment vertical="center"/>
      <protection hidden="1"/>
    </xf>
    <xf numFmtId="0" fontId="0" fillId="0" borderId="0" xfId="0" applyAlignment="1" applyProtection="1">
      <alignment horizontal="left" vertical="center"/>
      <protection hidden="1"/>
    </xf>
    <xf numFmtId="0" fontId="27" fillId="0" borderId="0" xfId="0" applyFont="1" applyAlignment="1" applyProtection="1">
      <alignment vertical="center" wrapText="1"/>
      <protection hidden="1"/>
    </xf>
    <xf numFmtId="0" fontId="27" fillId="16" borderId="0" xfId="0" applyFont="1" applyFill="1" applyAlignment="1" applyProtection="1">
      <alignment horizontal="left" vertical="center" wrapText="1"/>
      <protection hidden="1"/>
    </xf>
    <xf numFmtId="0" fontId="7" fillId="0" borderId="0" xfId="0" applyFont="1" applyAlignment="1" applyProtection="1">
      <alignment horizontal="left" vertical="center"/>
      <protection hidden="1"/>
    </xf>
    <xf numFmtId="0" fontId="7" fillId="6" borderId="0" xfId="0" applyFont="1" applyFill="1" applyAlignment="1" applyProtection="1">
      <alignment horizontal="left" vertical="center"/>
      <protection locked="0" hidden="1"/>
    </xf>
    <xf numFmtId="0" fontId="7" fillId="6" borderId="0" xfId="0" applyFont="1" applyFill="1" applyAlignment="1" applyProtection="1">
      <alignment horizontal="centerContinuous" vertical="center"/>
      <protection locked="0" hidden="1"/>
    </xf>
    <xf numFmtId="0" fontId="34" fillId="0" borderId="0" xfId="0" applyFont="1" applyAlignment="1" applyProtection="1">
      <alignment horizontal="left" vertical="center"/>
      <protection hidden="1"/>
    </xf>
    <xf numFmtId="0" fontId="32" fillId="0" borderId="0" xfId="0" applyFont="1" applyAlignment="1" applyProtection="1">
      <alignment horizontal="left" vertical="center"/>
      <protection hidden="1"/>
    </xf>
    <xf numFmtId="0" fontId="7" fillId="9" borderId="0" xfId="0" applyFont="1" applyFill="1" applyAlignment="1" applyProtection="1">
      <alignment horizontal="left" vertical="center"/>
      <protection hidden="1"/>
    </xf>
    <xf numFmtId="0" fontId="16" fillId="9" borderId="0" xfId="0" applyFont="1" applyFill="1" applyAlignment="1" applyProtection="1">
      <alignment horizontal="left" vertical="center"/>
      <protection hidden="1"/>
    </xf>
    <xf numFmtId="0" fontId="0" fillId="0" borderId="0" xfId="0" applyProtection="1">
      <alignment vertical="center"/>
      <protection hidden="1"/>
    </xf>
    <xf numFmtId="0" fontId="0" fillId="11" borderId="0" xfId="0" applyFill="1" applyAlignment="1" applyProtection="1">
      <alignment horizontal="left" vertical="center"/>
      <protection hidden="1"/>
    </xf>
    <xf numFmtId="0" fontId="0" fillId="6" borderId="0" xfId="0" applyFill="1" applyAlignment="1" applyProtection="1">
      <alignment horizontal="left" vertical="center"/>
      <protection locked="0" hidden="1"/>
    </xf>
    <xf numFmtId="0" fontId="7" fillId="11" borderId="0" xfId="0" applyFont="1" applyFill="1" applyAlignment="1" applyProtection="1">
      <alignment horizontal="left" vertical="center"/>
      <protection hidden="1"/>
    </xf>
    <xf numFmtId="0" fontId="7" fillId="0" borderId="0" xfId="0" applyFont="1" applyAlignment="1" applyProtection="1">
      <alignment horizontal="right" vertical="center"/>
      <protection hidden="1"/>
    </xf>
    <xf numFmtId="0" fontId="8" fillId="11" borderId="0" xfId="0" applyFont="1" applyFill="1" applyAlignment="1" applyProtection="1">
      <alignment horizontal="right" vertical="center"/>
      <protection hidden="1"/>
    </xf>
    <xf numFmtId="0" fontId="7" fillId="11" borderId="0" xfId="0" applyFont="1" applyFill="1" applyAlignment="1" applyProtection="1">
      <alignment horizontal="right" vertical="center"/>
      <protection hidden="1"/>
    </xf>
    <xf numFmtId="0" fontId="0" fillId="12" borderId="0" xfId="0" applyFill="1" applyAlignment="1" applyProtection="1">
      <alignment horizontal="left" vertical="center"/>
      <protection hidden="1"/>
    </xf>
    <xf numFmtId="0" fontId="7" fillId="12" borderId="0" xfId="0" applyFont="1" applyFill="1" applyAlignment="1" applyProtection="1">
      <alignment horizontal="left" vertical="center"/>
      <protection hidden="1"/>
    </xf>
    <xf numFmtId="0" fontId="13" fillId="12" borderId="0" xfId="0" applyFont="1" applyFill="1" applyAlignment="1" applyProtection="1">
      <alignment horizontal="left" vertical="center"/>
      <protection hidden="1"/>
    </xf>
    <xf numFmtId="0" fontId="16" fillId="12" borderId="0" xfId="0" applyFont="1" applyFill="1" applyAlignment="1" applyProtection="1">
      <alignment horizontal="right" vertical="center"/>
      <protection hidden="1"/>
    </xf>
    <xf numFmtId="0" fontId="25" fillId="11" borderId="0" xfId="0" applyFont="1" applyFill="1" applyAlignment="1" applyProtection="1">
      <alignment horizontal="left" vertical="center"/>
      <protection hidden="1"/>
    </xf>
    <xf numFmtId="0" fontId="16" fillId="11" borderId="0" xfId="0" applyFont="1" applyFill="1" applyAlignment="1" applyProtection="1">
      <alignment horizontal="right" vertical="center"/>
      <protection hidden="1"/>
    </xf>
    <xf numFmtId="49" fontId="7" fillId="5" borderId="1" xfId="0" applyNumberFormat="1" applyFont="1" applyFill="1" applyBorder="1" applyAlignment="1" applyProtection="1">
      <alignment horizontal="left" vertical="center"/>
      <protection locked="0" hidden="1"/>
    </xf>
    <xf numFmtId="0" fontId="7" fillId="11" borderId="0" xfId="0" applyFont="1" applyFill="1" applyAlignment="1" applyProtection="1">
      <alignment horizontal="center" vertical="center"/>
      <protection hidden="1"/>
    </xf>
    <xf numFmtId="0" fontId="0" fillId="0" borderId="0" xfId="0" applyAlignment="1" applyProtection="1">
      <alignment horizontal="right" vertical="center"/>
      <protection hidden="1"/>
    </xf>
    <xf numFmtId="0" fontId="15" fillId="11" borderId="0" xfId="0" applyFont="1" applyFill="1" applyAlignment="1" applyProtection="1">
      <alignment horizontal="right" vertical="center"/>
      <protection hidden="1"/>
    </xf>
    <xf numFmtId="0" fontId="7" fillId="5" borderId="1" xfId="0" applyFont="1" applyFill="1" applyBorder="1" applyAlignment="1" applyProtection="1">
      <alignment horizontal="left" vertical="center"/>
      <protection locked="0" hidden="1"/>
    </xf>
    <xf numFmtId="0" fontId="11" fillId="11" borderId="0" xfId="0" applyFont="1" applyFill="1" applyAlignment="1" applyProtection="1">
      <alignment horizontal="right" vertical="center"/>
      <protection hidden="1"/>
    </xf>
    <xf numFmtId="0" fontId="0" fillId="11" borderId="0" xfId="0" applyFill="1" applyAlignment="1" applyProtection="1">
      <alignment horizontal="right" vertical="center"/>
      <protection hidden="1"/>
    </xf>
    <xf numFmtId="0" fontId="7" fillId="11" borderId="0" xfId="0" applyFont="1" applyFill="1" applyAlignment="1" applyProtection="1">
      <alignment horizontal="left" vertical="center" shrinkToFit="1"/>
      <protection hidden="1"/>
    </xf>
    <xf numFmtId="0" fontId="15" fillId="11" borderId="0" xfId="0" applyFont="1" applyFill="1" applyAlignment="1" applyProtection="1">
      <alignment horizontal="left" vertical="center"/>
      <protection hidden="1"/>
    </xf>
    <xf numFmtId="0" fontId="11" fillId="11" borderId="0" xfId="0" applyFont="1" applyFill="1" applyAlignment="1" applyProtection="1">
      <alignment horizontal="left" vertical="center"/>
      <protection hidden="1"/>
    </xf>
    <xf numFmtId="0" fontId="7" fillId="11" borderId="0" xfId="0" applyFont="1" applyFill="1" applyAlignment="1" applyProtection="1">
      <alignment horizontal="left" vertical="center" wrapText="1"/>
      <protection hidden="1"/>
    </xf>
    <xf numFmtId="0" fontId="7" fillId="11" borderId="0" xfId="0" applyFont="1" applyFill="1" applyAlignment="1" applyProtection="1">
      <alignment vertical="center" wrapText="1"/>
      <protection hidden="1"/>
    </xf>
    <xf numFmtId="0" fontId="7" fillId="11" borderId="0" xfId="0" applyFont="1" applyFill="1" applyProtection="1">
      <alignment vertical="center"/>
      <protection hidden="1"/>
    </xf>
    <xf numFmtId="0" fontId="16" fillId="11" borderId="0" xfId="0" applyFont="1" applyFill="1" applyAlignment="1" applyProtection="1">
      <alignment horizontal="right" vertical="center" textRotation="255"/>
      <protection hidden="1"/>
    </xf>
    <xf numFmtId="0" fontId="29" fillId="7" borderId="6" xfId="0" applyFont="1" applyFill="1" applyBorder="1" applyAlignment="1" applyProtection="1">
      <alignment horizontal="left" vertical="center" shrinkToFit="1"/>
      <protection hidden="1"/>
    </xf>
    <xf numFmtId="0" fontId="29" fillId="6" borderId="5" xfId="0" applyFont="1" applyFill="1" applyBorder="1" applyProtection="1">
      <alignment vertical="center"/>
      <protection hidden="1"/>
    </xf>
    <xf numFmtId="0" fontId="0" fillId="11" borderId="0" xfId="0" applyFill="1" applyProtection="1">
      <alignment vertical="center"/>
      <protection hidden="1"/>
    </xf>
    <xf numFmtId="0" fontId="31" fillId="11" borderId="0" xfId="0" applyFont="1" applyFill="1" applyAlignment="1" applyProtection="1">
      <alignment horizontal="right" vertical="center"/>
      <protection hidden="1"/>
    </xf>
    <xf numFmtId="0" fontId="11" fillId="11" borderId="0" xfId="0" applyFont="1" applyFill="1" applyAlignment="1" applyProtection="1">
      <alignment vertical="center" shrinkToFit="1"/>
      <protection hidden="1"/>
    </xf>
    <xf numFmtId="0" fontId="11" fillId="11" borderId="0" xfId="0" applyFont="1" applyFill="1" applyProtection="1">
      <alignment vertical="center"/>
      <protection hidden="1"/>
    </xf>
    <xf numFmtId="0" fontId="11" fillId="11" borderId="0" xfId="0" applyFont="1" applyFill="1" applyAlignment="1" applyProtection="1">
      <alignment vertical="top" textRotation="255"/>
      <protection hidden="1"/>
    </xf>
    <xf numFmtId="0" fontId="11" fillId="11" borderId="0" xfId="0" applyFont="1" applyFill="1" applyAlignment="1" applyProtection="1">
      <alignment horizontal="right" vertical="top" textRotation="255"/>
      <protection hidden="1"/>
    </xf>
    <xf numFmtId="0" fontId="19" fillId="11" borderId="0" xfId="0" applyFont="1" applyFill="1" applyAlignment="1" applyProtection="1">
      <alignment vertical="center" wrapText="1"/>
      <protection hidden="1"/>
    </xf>
    <xf numFmtId="0" fontId="19" fillId="11" borderId="0" xfId="0" applyFont="1" applyFill="1" applyAlignment="1" applyProtection="1">
      <alignment horizontal="left" vertical="center"/>
      <protection hidden="1"/>
    </xf>
    <xf numFmtId="0" fontId="33" fillId="11" borderId="0" xfId="0" applyFont="1" applyFill="1" applyProtection="1">
      <alignment vertical="center"/>
      <protection hidden="1"/>
    </xf>
    <xf numFmtId="0" fontId="11" fillId="11" borderId="0" xfId="0" applyFont="1" applyFill="1" applyAlignment="1" applyProtection="1">
      <alignment horizontal="left" vertical="center" wrapText="1"/>
      <protection hidden="1"/>
    </xf>
    <xf numFmtId="0" fontId="7" fillId="11" borderId="0" xfId="0" applyFont="1" applyFill="1" applyAlignment="1" applyProtection="1">
      <alignment horizontal="center" vertical="center" wrapText="1"/>
      <protection hidden="1"/>
    </xf>
    <xf numFmtId="0" fontId="19" fillId="11" borderId="0" xfId="0" applyFont="1" applyFill="1" applyAlignment="1" applyProtection="1">
      <alignment horizontal="center" vertical="center" wrapText="1"/>
      <protection hidden="1"/>
    </xf>
    <xf numFmtId="0" fontId="31" fillId="11" borderId="0" xfId="0" applyFont="1" applyFill="1" applyAlignment="1" applyProtection="1">
      <alignment horizontal="center" vertical="center" wrapText="1"/>
      <protection hidden="1"/>
    </xf>
    <xf numFmtId="0" fontId="11" fillId="11" borderId="0" xfId="0" applyFont="1" applyFill="1" applyAlignment="1" applyProtection="1">
      <alignment horizontal="center" vertical="center"/>
      <protection hidden="1"/>
    </xf>
    <xf numFmtId="0" fontId="7" fillId="0" borderId="0" xfId="0" applyFont="1" applyAlignment="1" applyProtection="1">
      <alignment horizontal="left" vertical="center" wrapText="1"/>
      <protection hidden="1"/>
    </xf>
    <xf numFmtId="0" fontId="7" fillId="6" borderId="0" xfId="0" applyFont="1" applyFill="1" applyAlignment="1" applyProtection="1">
      <alignment horizontal="left" vertical="center" wrapText="1"/>
      <protection locked="0" hidden="1"/>
    </xf>
    <xf numFmtId="6" fontId="7" fillId="11" borderId="0" xfId="2" applyFont="1" applyFill="1" applyAlignment="1" applyProtection="1">
      <alignment horizontal="right" vertical="center"/>
      <protection hidden="1"/>
    </xf>
    <xf numFmtId="6" fontId="11" fillId="7" borderId="6" xfId="2" applyFont="1" applyFill="1" applyBorder="1" applyAlignment="1" applyProtection="1">
      <alignment horizontal="right" vertical="center"/>
      <protection hidden="1"/>
    </xf>
    <xf numFmtId="0" fontId="11" fillId="11" borderId="0" xfId="0" quotePrefix="1" applyFont="1" applyFill="1" applyAlignment="1" applyProtection="1">
      <alignment horizontal="center" vertical="center"/>
      <protection hidden="1"/>
    </xf>
    <xf numFmtId="6" fontId="0" fillId="11" borderId="0" xfId="2" applyFont="1" applyFill="1" applyAlignment="1" applyProtection="1">
      <alignment horizontal="right" vertical="center"/>
      <protection hidden="1"/>
    </xf>
    <xf numFmtId="49" fontId="7" fillId="11" borderId="0" xfId="0" applyNumberFormat="1" applyFont="1" applyFill="1" applyAlignment="1" applyProtection="1">
      <alignment horizontal="center" vertical="center"/>
      <protection hidden="1"/>
    </xf>
    <xf numFmtId="49" fontId="0" fillId="11" borderId="0" xfId="0" applyNumberFormat="1" applyFill="1" applyAlignment="1" applyProtection="1">
      <alignment horizontal="left" vertical="center"/>
      <protection hidden="1"/>
    </xf>
    <xf numFmtId="0" fontId="7" fillId="16" borderId="0" xfId="0" applyFont="1" applyFill="1" applyAlignment="1" applyProtection="1">
      <alignment horizontal="left" vertical="center"/>
      <protection hidden="1"/>
    </xf>
    <xf numFmtId="0" fontId="7" fillId="11" borderId="31" xfId="0" applyFont="1" applyFill="1" applyBorder="1" applyAlignment="1" applyProtection="1">
      <alignment horizontal="center" vertical="center" shrinkToFit="1"/>
      <protection hidden="1"/>
    </xf>
    <xf numFmtId="0" fontId="0" fillId="16" borderId="0" xfId="0" applyFill="1" applyAlignment="1" applyProtection="1">
      <alignment horizontal="left" vertical="center"/>
      <protection hidden="1"/>
    </xf>
    <xf numFmtId="0" fontId="7" fillId="16" borderId="0" xfId="0" applyFont="1" applyFill="1" applyAlignment="1" applyProtection="1">
      <alignment horizontal="left" vertical="center"/>
      <protection locked="0" hidden="1"/>
    </xf>
    <xf numFmtId="0" fontId="23" fillId="12" borderId="0" xfId="0" applyFont="1" applyFill="1" applyAlignment="1" applyProtection="1">
      <alignment horizontal="left" vertical="center"/>
      <protection hidden="1"/>
    </xf>
    <xf numFmtId="0" fontId="15" fillId="12" borderId="0" xfId="0" applyFont="1" applyFill="1" applyAlignment="1" applyProtection="1">
      <alignment horizontal="left" vertical="center"/>
      <protection hidden="1"/>
    </xf>
    <xf numFmtId="0" fontId="7" fillId="12" borderId="0" xfId="0" applyFont="1" applyFill="1" applyAlignment="1" applyProtection="1">
      <alignment horizontal="center" vertical="center"/>
      <protection hidden="1"/>
    </xf>
    <xf numFmtId="0" fontId="15" fillId="12" borderId="0" xfId="0" applyFont="1" applyFill="1" applyAlignment="1" applyProtection="1">
      <alignment horizontal="right" vertical="center"/>
      <protection hidden="1"/>
    </xf>
    <xf numFmtId="0" fontId="8" fillId="12" borderId="0" xfId="0" applyFont="1" applyFill="1" applyAlignment="1" applyProtection="1">
      <alignment horizontal="left" vertical="center"/>
      <protection hidden="1"/>
    </xf>
    <xf numFmtId="0" fontId="7" fillId="12" borderId="0" xfId="0" applyFont="1" applyFill="1" applyAlignment="1" applyProtection="1">
      <alignment horizontal="left" vertical="center"/>
      <protection locked="0" hidden="1"/>
    </xf>
    <xf numFmtId="0" fontId="17" fillId="0" borderId="0" xfId="0" applyFont="1" applyAlignment="1" applyProtection="1">
      <alignment horizontal="left" vertical="center"/>
      <protection hidden="1"/>
    </xf>
    <xf numFmtId="0" fontId="18" fillId="0" borderId="0" xfId="0" applyFont="1" applyAlignment="1" applyProtection="1">
      <alignment horizontal="left" vertical="center"/>
      <protection hidden="1"/>
    </xf>
    <xf numFmtId="0" fontId="31" fillId="0" borderId="0" xfId="0" applyFont="1" applyAlignment="1" applyProtection="1">
      <alignment horizontal="left" vertical="center"/>
      <protection hidden="1"/>
    </xf>
    <xf numFmtId="0" fontId="16" fillId="0" borderId="0" xfId="0" applyFont="1" applyAlignment="1" applyProtection="1">
      <alignment horizontal="left" vertical="center"/>
      <protection hidden="1"/>
    </xf>
    <xf numFmtId="0" fontId="46" fillId="0" borderId="0" xfId="0" applyFont="1" applyAlignment="1" applyProtection="1">
      <alignment horizontal="left" vertical="center"/>
      <protection hidden="1"/>
    </xf>
    <xf numFmtId="0" fontId="7" fillId="5" borderId="1" xfId="0" applyFont="1" applyFill="1" applyBorder="1" applyAlignment="1" applyProtection="1">
      <alignment horizontal="right" vertical="center"/>
      <protection locked="0"/>
    </xf>
    <xf numFmtId="49" fontId="7" fillId="5" borderId="1" xfId="0" applyNumberFormat="1" applyFont="1" applyFill="1" applyBorder="1" applyAlignment="1" applyProtection="1">
      <alignment horizontal="left" vertical="center"/>
      <protection locked="0"/>
    </xf>
    <xf numFmtId="0" fontId="7" fillId="0" borderId="1" xfId="0" applyFont="1" applyBorder="1" applyProtection="1">
      <alignment vertical="center"/>
      <protection locked="0"/>
    </xf>
    <xf numFmtId="0" fontId="7" fillId="5" borderId="1" xfId="0" applyFont="1" applyFill="1" applyBorder="1" applyProtection="1">
      <alignment vertical="center"/>
      <protection locked="0"/>
    </xf>
    <xf numFmtId="0" fontId="29" fillId="0" borderId="0" xfId="0" applyFont="1" applyAlignment="1" applyProtection="1">
      <alignment horizontal="left" vertical="center"/>
      <protection hidden="1"/>
    </xf>
    <xf numFmtId="0" fontId="29" fillId="0" borderId="0" xfId="0" applyFont="1" applyProtection="1">
      <alignment vertical="center"/>
      <protection hidden="1"/>
    </xf>
    <xf numFmtId="0" fontId="16" fillId="12" borderId="0" xfId="0" applyFont="1" applyFill="1" applyAlignment="1" applyProtection="1">
      <alignment horizontal="left" vertical="center"/>
      <protection hidden="1"/>
    </xf>
    <xf numFmtId="0" fontId="0" fillId="12" borderId="0" xfId="0" applyFill="1" applyProtection="1">
      <alignment vertical="center"/>
      <protection hidden="1"/>
    </xf>
    <xf numFmtId="0" fontId="17" fillId="12" borderId="0" xfId="0" applyFont="1" applyFill="1" applyAlignment="1" applyProtection="1">
      <alignment horizontal="center" vertical="center"/>
      <protection hidden="1"/>
    </xf>
    <xf numFmtId="0" fontId="18" fillId="12" borderId="0" xfId="0" applyFont="1" applyFill="1" applyAlignment="1" applyProtection="1">
      <alignment horizontal="center" vertical="center"/>
      <protection hidden="1"/>
    </xf>
    <xf numFmtId="0" fontId="7" fillId="5" borderId="1" xfId="0" applyFont="1" applyFill="1" applyBorder="1" applyAlignment="1" applyProtection="1">
      <alignment horizontal="left" vertical="center" shrinkToFit="1"/>
      <protection locked="0"/>
    </xf>
    <xf numFmtId="0" fontId="7" fillId="12" borderId="0" xfId="0" applyFont="1" applyFill="1" applyAlignment="1" applyProtection="1">
      <alignment horizontal="left" vertical="center" shrinkToFit="1"/>
      <protection hidden="1"/>
    </xf>
    <xf numFmtId="0" fontId="0" fillId="12" borderId="0" xfId="0" applyFill="1" applyAlignment="1" applyProtection="1">
      <alignment horizontal="left" vertical="center" shrinkToFit="1"/>
      <protection hidden="1"/>
    </xf>
    <xf numFmtId="14" fontId="0" fillId="0" borderId="27" xfId="0" applyNumberFormat="1" applyBorder="1">
      <alignment vertical="center"/>
    </xf>
    <xf numFmtId="0" fontId="0" fillId="0" borderId="28" xfId="0" applyBorder="1">
      <alignment vertical="center"/>
    </xf>
    <xf numFmtId="14" fontId="0" fillId="0" borderId="29" xfId="0" applyNumberFormat="1" applyBorder="1">
      <alignment vertical="center"/>
    </xf>
    <xf numFmtId="0" fontId="0" fillId="12" borderId="25" xfId="0" applyFill="1" applyBorder="1">
      <alignment vertical="center"/>
    </xf>
    <xf numFmtId="0" fontId="0" fillId="12" borderId="12" xfId="0" applyFill="1" applyBorder="1">
      <alignment vertical="center"/>
    </xf>
    <xf numFmtId="0" fontId="0" fillId="12" borderId="0" xfId="0" quotePrefix="1" applyFill="1">
      <alignment vertical="center"/>
    </xf>
    <xf numFmtId="0" fontId="0" fillId="12" borderId="0" xfId="0" applyFill="1">
      <alignment vertical="center"/>
    </xf>
    <xf numFmtId="0" fontId="29" fillId="7" borderId="6" xfId="0" applyFont="1" applyFill="1" applyBorder="1" applyAlignment="1">
      <alignment horizontal="left" vertical="center" shrinkToFit="1"/>
    </xf>
    <xf numFmtId="0" fontId="29" fillId="11" borderId="0" xfId="0" applyFont="1" applyFill="1" applyAlignment="1">
      <alignment horizontal="left" vertical="center"/>
    </xf>
    <xf numFmtId="0" fontId="29" fillId="11" borderId="0" xfId="0" applyFont="1" applyFill="1" applyAlignment="1">
      <alignment horizontal="left" vertical="center" shrinkToFit="1"/>
    </xf>
    <xf numFmtId="0" fontId="29" fillId="6" borderId="0" xfId="0" applyFont="1" applyFill="1" applyAlignment="1">
      <alignment horizontal="left" vertical="center" shrinkToFit="1"/>
    </xf>
    <xf numFmtId="0" fontId="29" fillId="6" borderId="0" xfId="0" applyFont="1" applyFill="1" applyAlignment="1">
      <alignment horizontal="left" vertical="center"/>
    </xf>
    <xf numFmtId="0" fontId="29" fillId="5" borderId="1" xfId="0" applyFont="1" applyFill="1" applyBorder="1" applyAlignment="1" applyProtection="1">
      <alignment horizontal="left" vertical="center" shrinkToFit="1"/>
      <protection locked="0"/>
    </xf>
    <xf numFmtId="0" fontId="29" fillId="0" borderId="0" xfId="0" applyFont="1" applyAlignment="1">
      <alignment horizontal="right" vertical="center"/>
    </xf>
    <xf numFmtId="0" fontId="29" fillId="12" borderId="0" xfId="0" applyFont="1" applyFill="1" applyAlignment="1">
      <alignment horizontal="right" vertical="center" shrinkToFit="1"/>
    </xf>
    <xf numFmtId="0" fontId="29" fillId="12" borderId="0" xfId="0" applyFont="1" applyFill="1" applyAlignment="1">
      <alignment horizontal="right" vertical="center"/>
    </xf>
    <xf numFmtId="0" fontId="29" fillId="12" borderId="0" xfId="0" applyFont="1" applyFill="1" applyAlignment="1">
      <alignment horizontal="right" vertical="center" wrapText="1"/>
    </xf>
    <xf numFmtId="49" fontId="29" fillId="12" borderId="0" xfId="0" applyNumberFormat="1" applyFont="1" applyFill="1" applyAlignment="1">
      <alignment horizontal="right" vertical="center" shrinkToFit="1"/>
    </xf>
    <xf numFmtId="0" fontId="29" fillId="11" borderId="0" xfId="0" applyFont="1" applyFill="1" applyAlignment="1">
      <alignment horizontal="right" vertical="center"/>
    </xf>
    <xf numFmtId="0" fontId="7" fillId="11" borderId="0" xfId="0" applyFont="1" applyFill="1" applyAlignment="1">
      <alignment horizontal="right" vertical="center"/>
    </xf>
    <xf numFmtId="0" fontId="29" fillId="11" borderId="0" xfId="0" applyFont="1" applyFill="1" applyAlignment="1">
      <alignment horizontal="right" vertical="center" shrinkToFit="1"/>
    </xf>
    <xf numFmtId="0" fontId="29" fillId="6" borderId="0" xfId="0" applyFont="1" applyFill="1" applyAlignment="1">
      <alignment horizontal="right" vertical="center" shrinkToFit="1"/>
    </xf>
    <xf numFmtId="0" fontId="29" fillId="6" borderId="0" xfId="0" applyFont="1" applyFill="1" applyAlignment="1">
      <alignment horizontal="right" vertical="center"/>
    </xf>
    <xf numFmtId="0" fontId="30" fillId="6" borderId="0" xfId="0" applyFont="1" applyFill="1" applyAlignment="1">
      <alignment horizontal="right" vertical="center"/>
    </xf>
    <xf numFmtId="0" fontId="30" fillId="11" borderId="0" xfId="0" applyFont="1" applyFill="1" applyAlignment="1">
      <alignment horizontal="right" vertical="center"/>
    </xf>
    <xf numFmtId="0" fontId="0" fillId="12" borderId="0" xfId="0" applyFill="1" applyAlignment="1">
      <alignment horizontal="right" vertical="center"/>
    </xf>
    <xf numFmtId="0" fontId="7" fillId="12" borderId="0" xfId="0" applyFont="1" applyFill="1" applyAlignment="1">
      <alignment horizontal="right" vertical="center"/>
    </xf>
    <xf numFmtId="0" fontId="7" fillId="12" borderId="0" xfId="0" applyFont="1" applyFill="1" applyAlignment="1">
      <alignment horizontal="right" vertical="center" wrapText="1"/>
    </xf>
    <xf numFmtId="0" fontId="29" fillId="9" borderId="0" xfId="0" applyFont="1" applyFill="1" applyAlignment="1">
      <alignment horizontal="right" vertical="center"/>
    </xf>
    <xf numFmtId="0" fontId="7" fillId="9" borderId="0" xfId="0" applyFont="1" applyFill="1" applyAlignment="1">
      <alignment horizontal="right" vertical="center"/>
    </xf>
    <xf numFmtId="0" fontId="0" fillId="9" borderId="0" xfId="0" applyFill="1" applyAlignment="1">
      <alignment horizontal="right" vertical="center"/>
    </xf>
    <xf numFmtId="0" fontId="3" fillId="0" borderId="5" xfId="7" applyBorder="1">
      <alignment vertical="center"/>
    </xf>
    <xf numFmtId="0" fontId="3" fillId="0" borderId="0" xfId="7">
      <alignment vertical="center"/>
    </xf>
    <xf numFmtId="14" fontId="3" fillId="0" borderId="5" xfId="7" applyNumberFormat="1" applyBorder="1">
      <alignment vertical="center"/>
    </xf>
    <xf numFmtId="0" fontId="29" fillId="0" borderId="9" xfId="0" applyFont="1" applyBorder="1" applyAlignment="1">
      <alignment vertical="center" wrapText="1"/>
    </xf>
    <xf numFmtId="0" fontId="29" fillId="0" borderId="5" xfId="0" applyFont="1" applyBorder="1">
      <alignment vertical="center"/>
    </xf>
    <xf numFmtId="0" fontId="29" fillId="0" borderId="5" xfId="7" applyFont="1" applyBorder="1">
      <alignment vertical="center"/>
    </xf>
    <xf numFmtId="49" fontId="29" fillId="7" borderId="6" xfId="0" applyNumberFormat="1" applyFont="1" applyFill="1" applyBorder="1" applyAlignment="1">
      <alignment vertical="center" shrinkToFit="1"/>
    </xf>
    <xf numFmtId="0" fontId="11" fillId="12" borderId="0" xfId="0" applyFont="1" applyFill="1" applyAlignment="1">
      <alignment horizontal="left" vertical="center" shrinkToFit="1"/>
    </xf>
    <xf numFmtId="0" fontId="15" fillId="12" borderId="0" xfId="0" applyFont="1" applyFill="1" applyAlignment="1">
      <alignment horizontal="left" vertical="center" shrinkToFit="1"/>
    </xf>
    <xf numFmtId="0" fontId="11" fillId="9" borderId="0" xfId="0" applyFont="1" applyFill="1" applyAlignment="1">
      <alignment horizontal="left" vertical="center" shrinkToFit="1"/>
    </xf>
    <xf numFmtId="0" fontId="15" fillId="9" borderId="0" xfId="0" applyFont="1" applyFill="1" applyAlignment="1">
      <alignment horizontal="left" vertical="center" shrinkToFit="1"/>
    </xf>
    <xf numFmtId="0" fontId="30" fillId="12" borderId="0" xfId="0" applyFont="1" applyFill="1" applyAlignment="1">
      <alignment horizontal="left" vertical="center" shrinkToFit="1"/>
    </xf>
    <xf numFmtId="0" fontId="30" fillId="9" borderId="0" xfId="0" applyFont="1" applyFill="1" applyAlignment="1">
      <alignment horizontal="left" vertical="center" shrinkToFit="1"/>
    </xf>
    <xf numFmtId="0" fontId="7" fillId="0" borderId="0" xfId="0" applyFont="1" applyAlignment="1" applyProtection="1">
      <alignment horizontal="left" vertical="center"/>
      <protection locked="0" hidden="1"/>
    </xf>
    <xf numFmtId="6" fontId="7" fillId="7" borderId="6" xfId="2" applyFont="1" applyFill="1" applyBorder="1" applyAlignment="1" applyProtection="1">
      <alignment horizontal="right" vertical="center"/>
    </xf>
    <xf numFmtId="6" fontId="11" fillId="7" borderId="6" xfId="2" applyFont="1" applyFill="1" applyBorder="1" applyAlignment="1">
      <alignment horizontal="right" vertical="center"/>
    </xf>
    <xf numFmtId="0" fontId="16" fillId="9" borderId="0" xfId="0" applyFont="1" applyFill="1" applyAlignment="1">
      <alignment horizontal="left" vertical="center"/>
    </xf>
    <xf numFmtId="0" fontId="0" fillId="6" borderId="8" xfId="0" applyFill="1" applyBorder="1">
      <alignment vertical="center"/>
    </xf>
    <xf numFmtId="0" fontId="0" fillId="6" borderId="7" xfId="0" applyFill="1" applyBorder="1" applyAlignment="1">
      <alignment vertical="center" wrapText="1"/>
    </xf>
    <xf numFmtId="38" fontId="0" fillId="0" borderId="5" xfId="4" applyFont="1" applyBorder="1">
      <alignment vertical="center"/>
    </xf>
    <xf numFmtId="0" fontId="7" fillId="7" borderId="6" xfId="0" applyFont="1" applyFill="1" applyBorder="1" applyAlignment="1" applyProtection="1">
      <alignment horizontal="left" vertical="center" shrinkToFit="1"/>
      <protection hidden="1"/>
    </xf>
    <xf numFmtId="176" fontId="7" fillId="7" borderId="6" xfId="0" applyNumberFormat="1" applyFont="1" applyFill="1" applyBorder="1" applyAlignment="1" applyProtection="1">
      <alignment horizontal="left" vertical="center" shrinkToFit="1"/>
      <protection hidden="1"/>
    </xf>
    <xf numFmtId="0" fontId="7" fillId="7" borderId="6" xfId="0" applyFont="1" applyFill="1" applyBorder="1" applyAlignment="1" applyProtection="1">
      <alignment vertical="center" shrinkToFit="1"/>
      <protection hidden="1"/>
    </xf>
    <xf numFmtId="176" fontId="0" fillId="12" borderId="0" xfId="0" applyNumberFormat="1" applyFill="1" applyAlignment="1" applyProtection="1">
      <alignment horizontal="left" vertical="center" shrinkToFit="1"/>
      <protection hidden="1"/>
    </xf>
    <xf numFmtId="0" fontId="0" fillId="12" borderId="0" xfId="0" applyFill="1" applyAlignment="1" applyProtection="1">
      <alignment vertical="center" shrinkToFit="1"/>
      <protection hidden="1"/>
    </xf>
    <xf numFmtId="14" fontId="7" fillId="5" borderId="1" xfId="0" applyNumberFormat="1" applyFont="1" applyFill="1" applyBorder="1" applyAlignment="1" applyProtection="1">
      <alignment horizontal="left" vertical="center" shrinkToFit="1"/>
      <protection locked="0"/>
    </xf>
    <xf numFmtId="0" fontId="52" fillId="11" borderId="0" xfId="0" applyFont="1" applyFill="1" applyAlignment="1" applyProtection="1">
      <alignment horizontal="left" vertical="center"/>
      <protection hidden="1"/>
    </xf>
    <xf numFmtId="0" fontId="27" fillId="0" borderId="0" xfId="0" applyFont="1" applyAlignment="1" applyProtection="1">
      <alignment horizontal="left" vertical="center" wrapText="1"/>
      <protection hidden="1"/>
    </xf>
    <xf numFmtId="0" fontId="29" fillId="0" borderId="0" xfId="0" applyFont="1" applyAlignment="1">
      <alignment vertical="center" wrapText="1"/>
    </xf>
    <xf numFmtId="0" fontId="0" fillId="11" borderId="0" xfId="0" applyFill="1" applyAlignment="1" applyProtection="1">
      <alignment horizontal="left" vertical="center" shrinkToFit="1"/>
      <protection hidden="1"/>
    </xf>
    <xf numFmtId="49" fontId="7" fillId="5" borderId="1" xfId="0" applyNumberFormat="1" applyFont="1" applyFill="1" applyBorder="1" applyAlignment="1" applyProtection="1">
      <alignment horizontal="left" vertical="center" shrinkToFit="1"/>
      <protection locked="0"/>
    </xf>
    <xf numFmtId="0" fontId="11" fillId="11" borderId="0" xfId="0" applyFont="1" applyFill="1" applyAlignment="1" applyProtection="1">
      <alignment horizontal="left" vertical="top" textRotation="255" shrinkToFit="1"/>
      <protection hidden="1"/>
    </xf>
    <xf numFmtId="0" fontId="27" fillId="0" borderId="0" xfId="0" applyFont="1" applyProtection="1">
      <alignment vertical="center"/>
      <protection hidden="1"/>
    </xf>
    <xf numFmtId="14" fontId="0" fillId="0" borderId="5" xfId="0" quotePrefix="1" applyNumberFormat="1" applyBorder="1">
      <alignment vertical="center"/>
    </xf>
    <xf numFmtId="49" fontId="12" fillId="0" borderId="0" xfId="5" applyNumberFormat="1">
      <alignment vertical="center"/>
    </xf>
    <xf numFmtId="0" fontId="44" fillId="0" borderId="0" xfId="0" applyFont="1">
      <alignment vertical="center"/>
    </xf>
    <xf numFmtId="0" fontId="7" fillId="0" borderId="0" xfId="0" applyFont="1">
      <alignment vertical="center"/>
    </xf>
    <xf numFmtId="0" fontId="2" fillId="0" borderId="0" xfId="5" applyFont="1">
      <alignment vertical="center"/>
    </xf>
    <xf numFmtId="0" fontId="2" fillId="12" borderId="0" xfId="0" applyFont="1" applyFill="1" applyAlignment="1" applyProtection="1">
      <alignment horizontal="left" vertical="center"/>
      <protection hidden="1"/>
    </xf>
    <xf numFmtId="0" fontId="27" fillId="0" borderId="0" xfId="0" applyFont="1" applyAlignment="1" applyProtection="1">
      <alignment horizontal="left" vertical="center" wrapText="1"/>
      <protection hidden="1"/>
    </xf>
    <xf numFmtId="0" fontId="29" fillId="7" borderId="14" xfId="0" applyFont="1" applyFill="1" applyBorder="1" applyAlignment="1" applyProtection="1">
      <alignment horizontal="left" vertical="center" shrinkToFit="1"/>
      <protection hidden="1"/>
    </xf>
    <xf numFmtId="0" fontId="29" fillId="7" borderId="16" xfId="0" applyFont="1" applyFill="1" applyBorder="1" applyAlignment="1" applyProtection="1">
      <alignment horizontal="left" vertical="center" shrinkToFit="1"/>
      <protection hidden="1"/>
    </xf>
    <xf numFmtId="0" fontId="29" fillId="7" borderId="15" xfId="0" applyFont="1" applyFill="1" applyBorder="1" applyAlignment="1" applyProtection="1">
      <alignment horizontal="left" vertical="center" shrinkToFit="1"/>
      <protection hidden="1"/>
    </xf>
    <xf numFmtId="49" fontId="7" fillId="5" borderId="2" xfId="0" applyNumberFormat="1" applyFont="1" applyFill="1" applyBorder="1" applyAlignment="1" applyProtection="1">
      <alignment horizontal="left" vertical="center" shrinkToFit="1"/>
      <protection locked="0"/>
    </xf>
    <xf numFmtId="49" fontId="7" fillId="5" borderId="3" xfId="0" applyNumberFormat="1" applyFont="1" applyFill="1" applyBorder="1" applyAlignment="1" applyProtection="1">
      <alignment horizontal="left" vertical="center" shrinkToFit="1"/>
      <protection locked="0"/>
    </xf>
    <xf numFmtId="49" fontId="7" fillId="5" borderId="4" xfId="0" applyNumberFormat="1" applyFont="1" applyFill="1" applyBorder="1" applyAlignment="1" applyProtection="1">
      <alignment horizontal="left" vertical="center" shrinkToFit="1"/>
      <protection locked="0"/>
    </xf>
    <xf numFmtId="0" fontId="27" fillId="0" borderId="0" xfId="0" applyFont="1" applyAlignment="1" applyProtection="1">
      <alignment horizontal="left" vertical="top" wrapText="1"/>
      <protection hidden="1"/>
    </xf>
    <xf numFmtId="0" fontId="7" fillId="5" borderId="2" xfId="0" applyFont="1" applyFill="1" applyBorder="1" applyAlignment="1" applyProtection="1">
      <alignment horizontal="left" vertical="center"/>
      <protection locked="0"/>
    </xf>
    <xf numFmtId="0" fontId="7" fillId="5" borderId="3" xfId="0" applyFont="1" applyFill="1" applyBorder="1" applyAlignment="1" applyProtection="1">
      <alignment horizontal="left" vertical="center"/>
      <protection locked="0"/>
    </xf>
    <xf numFmtId="0" fontId="7" fillId="5" borderId="4" xfId="0" applyFont="1" applyFill="1" applyBorder="1" applyAlignment="1" applyProtection="1">
      <alignment horizontal="left" vertical="center"/>
      <protection locked="0"/>
    </xf>
    <xf numFmtId="49" fontId="7" fillId="5" borderId="2" xfId="0" applyNumberFormat="1" applyFont="1" applyFill="1" applyBorder="1" applyAlignment="1" applyProtection="1">
      <alignment horizontal="left" vertical="center"/>
      <protection locked="0"/>
    </xf>
    <xf numFmtId="49" fontId="7" fillId="5" borderId="3" xfId="0" applyNumberFormat="1" applyFont="1" applyFill="1" applyBorder="1" applyAlignment="1" applyProtection="1">
      <alignment horizontal="left" vertical="center"/>
      <protection locked="0"/>
    </xf>
    <xf numFmtId="49" fontId="7" fillId="5" borderId="4" xfId="0" applyNumberFormat="1" applyFont="1" applyFill="1" applyBorder="1" applyAlignment="1" applyProtection="1">
      <alignment horizontal="left" vertical="center"/>
      <protection locked="0"/>
    </xf>
    <xf numFmtId="0" fontId="7" fillId="0" borderId="2"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0" fontId="7" fillId="0" borderId="4" xfId="0" applyFont="1" applyBorder="1" applyAlignment="1" applyProtection="1">
      <alignment horizontal="left" vertical="center"/>
      <protection locked="0"/>
    </xf>
    <xf numFmtId="176" fontId="7" fillId="5" borderId="2" xfId="0" applyNumberFormat="1" applyFont="1" applyFill="1" applyBorder="1" applyAlignment="1" applyProtection="1">
      <alignment horizontal="left" vertical="center"/>
      <protection locked="0"/>
    </xf>
    <xf numFmtId="176" fontId="7" fillId="5" borderId="3" xfId="0" applyNumberFormat="1" applyFont="1" applyFill="1" applyBorder="1" applyAlignment="1" applyProtection="1">
      <alignment horizontal="left" vertical="center"/>
      <protection locked="0"/>
    </xf>
    <xf numFmtId="176" fontId="7" fillId="5" borderId="4" xfId="0" applyNumberFormat="1" applyFont="1" applyFill="1" applyBorder="1" applyAlignment="1" applyProtection="1">
      <alignment horizontal="left" vertical="center"/>
      <protection locked="0"/>
    </xf>
    <xf numFmtId="49" fontId="7" fillId="5" borderId="2" xfId="0" applyNumberFormat="1" applyFont="1" applyFill="1" applyBorder="1" applyAlignment="1" applyProtection="1">
      <alignment vertical="center"/>
      <protection locked="0"/>
    </xf>
    <xf numFmtId="49" fontId="7" fillId="5" borderId="3" xfId="0" applyNumberFormat="1" applyFont="1" applyFill="1" applyBorder="1" applyAlignment="1" applyProtection="1">
      <alignment vertical="center"/>
      <protection locked="0"/>
    </xf>
    <xf numFmtId="49" fontId="7" fillId="5" borderId="4" xfId="0" applyNumberFormat="1" applyFont="1" applyFill="1" applyBorder="1" applyAlignment="1" applyProtection="1">
      <alignment vertical="center"/>
      <protection locked="0"/>
    </xf>
    <xf numFmtId="0" fontId="35" fillId="13" borderId="25" xfId="3" applyFont="1" applyFill="1" applyBorder="1" applyAlignment="1" applyProtection="1">
      <alignment horizontal="center" vertical="center" shrinkToFit="1"/>
      <protection locked="0" hidden="1"/>
    </xf>
    <xf numFmtId="0" fontId="35" fillId="13" borderId="26" xfId="3" applyFont="1" applyFill="1" applyBorder="1" applyAlignment="1" applyProtection="1">
      <alignment horizontal="center" vertical="center" shrinkToFit="1"/>
      <protection locked="0" hidden="1"/>
    </xf>
    <xf numFmtId="0" fontId="35" fillId="13" borderId="12" xfId="3" applyFont="1" applyFill="1" applyBorder="1" applyAlignment="1" applyProtection="1">
      <alignment horizontal="center" vertical="center" shrinkToFit="1"/>
      <protection locked="0" hidden="1"/>
    </xf>
    <xf numFmtId="0" fontId="35" fillId="13" borderId="27" xfId="3" applyFont="1" applyFill="1" applyBorder="1" applyAlignment="1" applyProtection="1">
      <alignment horizontal="center" vertical="center" shrinkToFit="1"/>
      <protection locked="0" hidden="1"/>
    </xf>
    <xf numFmtId="0" fontId="35" fillId="13" borderId="0" xfId="3" applyFont="1" applyFill="1" applyBorder="1" applyAlignment="1" applyProtection="1">
      <alignment horizontal="center" vertical="center" shrinkToFit="1"/>
      <protection locked="0" hidden="1"/>
    </xf>
    <xf numFmtId="0" fontId="35" fillId="13" borderId="28" xfId="3" applyFont="1" applyFill="1" applyBorder="1" applyAlignment="1" applyProtection="1">
      <alignment horizontal="center" vertical="center" shrinkToFit="1"/>
      <protection locked="0" hidden="1"/>
    </xf>
    <xf numFmtId="0" fontId="35" fillId="13" borderId="29" xfId="3" applyFont="1" applyFill="1" applyBorder="1" applyAlignment="1" applyProtection="1">
      <alignment horizontal="center" vertical="center" shrinkToFit="1"/>
      <protection locked="0" hidden="1"/>
    </xf>
    <xf numFmtId="0" fontId="35" fillId="13" borderId="30" xfId="3" applyFont="1" applyFill="1" applyBorder="1" applyAlignment="1" applyProtection="1">
      <alignment horizontal="center" vertical="center" shrinkToFit="1"/>
      <protection locked="0" hidden="1"/>
    </xf>
    <xf numFmtId="0" fontId="35" fillId="13" borderId="13" xfId="3" applyFont="1" applyFill="1" applyBorder="1" applyAlignment="1" applyProtection="1">
      <alignment horizontal="center" vertical="center" shrinkToFit="1"/>
      <protection locked="0" hidden="1"/>
    </xf>
    <xf numFmtId="0" fontId="17" fillId="0" borderId="2" xfId="0" applyFont="1" applyBorder="1" applyAlignment="1" applyProtection="1">
      <alignment vertical="center"/>
      <protection locked="0"/>
    </xf>
    <xf numFmtId="0" fontId="17" fillId="0" borderId="3" xfId="0" applyFont="1" applyBorder="1" applyAlignment="1" applyProtection="1">
      <alignment vertical="center"/>
      <protection locked="0"/>
    </xf>
    <xf numFmtId="0" fontId="17" fillId="0" borderId="4" xfId="0" applyFont="1" applyBorder="1" applyAlignment="1" applyProtection="1">
      <alignment vertical="center"/>
      <protection locked="0"/>
    </xf>
    <xf numFmtId="0" fontId="7" fillId="11" borderId="0" xfId="0" applyFont="1" applyFill="1" applyAlignment="1" applyProtection="1">
      <alignment horizontal="left" vertical="center" wrapText="1"/>
      <protection hidden="1"/>
    </xf>
    <xf numFmtId="0" fontId="7" fillId="11" borderId="0" xfId="0" applyFont="1" applyFill="1" applyAlignment="1" applyProtection="1">
      <alignment horizontal="left" vertical="center"/>
      <protection hidden="1"/>
    </xf>
    <xf numFmtId="0" fontId="7" fillId="8" borderId="2" xfId="0" applyFont="1" applyFill="1" applyBorder="1" applyAlignment="1" applyProtection="1">
      <alignment horizontal="left" vertical="center"/>
      <protection hidden="1"/>
    </xf>
    <xf numFmtId="0" fontId="7" fillId="8" borderId="4" xfId="0" applyFont="1" applyFill="1" applyBorder="1" applyAlignment="1" applyProtection="1">
      <alignment horizontal="left" vertical="center"/>
      <protection hidden="1"/>
    </xf>
    <xf numFmtId="0" fontId="7" fillId="7" borderId="14" xfId="0" applyFont="1" applyFill="1" applyBorder="1" applyAlignment="1" applyProtection="1">
      <alignment horizontal="left" vertical="center"/>
      <protection hidden="1"/>
    </xf>
    <xf numFmtId="0" fontId="7" fillId="7" borderId="15" xfId="0" applyFont="1" applyFill="1" applyBorder="1" applyAlignment="1" applyProtection="1">
      <alignment horizontal="left" vertical="center"/>
      <protection hidden="1"/>
    </xf>
    <xf numFmtId="49" fontId="0" fillId="0" borderId="2" xfId="0" applyNumberFormat="1" applyBorder="1" applyAlignment="1" applyProtection="1">
      <alignment vertical="center" wrapText="1"/>
      <protection locked="0"/>
    </xf>
    <xf numFmtId="49" fontId="0" fillId="0" borderId="3" xfId="0" applyNumberFormat="1" applyBorder="1" applyAlignment="1" applyProtection="1">
      <alignment vertical="center" wrapText="1"/>
      <protection locked="0"/>
    </xf>
    <xf numFmtId="49" fontId="0" fillId="0" borderId="4" xfId="0" applyNumberFormat="1" applyBorder="1" applyAlignment="1" applyProtection="1">
      <alignment vertical="center" wrapText="1"/>
      <protection locked="0"/>
    </xf>
    <xf numFmtId="0" fontId="49" fillId="4" borderId="0" xfId="0" applyFont="1" applyFill="1" applyAlignment="1" applyProtection="1">
      <alignment horizontal="center" vertical="center" wrapText="1"/>
      <protection hidden="1"/>
    </xf>
    <xf numFmtId="0" fontId="49" fillId="4" borderId="0" xfId="0" applyFont="1" applyFill="1" applyAlignment="1" applyProtection="1">
      <alignment horizontal="center" vertical="center"/>
      <protection hidden="1"/>
    </xf>
    <xf numFmtId="0" fontId="7" fillId="11" borderId="0" xfId="0" applyFont="1" applyFill="1" applyAlignment="1" applyProtection="1">
      <alignment horizontal="center" vertical="center" wrapText="1"/>
      <protection hidden="1"/>
    </xf>
    <xf numFmtId="0" fontId="35" fillId="13" borderId="0" xfId="3" applyFont="1" applyFill="1" applyAlignment="1" applyProtection="1">
      <alignment horizontal="center" vertical="center"/>
      <protection locked="0" hidden="1"/>
    </xf>
    <xf numFmtId="0" fontId="7" fillId="5" borderId="2" xfId="0" applyFont="1" applyFill="1" applyBorder="1" applyAlignment="1" applyProtection="1">
      <alignment horizontal="left" vertical="center"/>
      <protection locked="0" hidden="1"/>
    </xf>
    <xf numFmtId="0" fontId="7" fillId="5" borderId="3" xfId="0" applyFont="1" applyFill="1" applyBorder="1" applyAlignment="1" applyProtection="1">
      <alignment horizontal="left" vertical="center"/>
      <protection locked="0" hidden="1"/>
    </xf>
    <xf numFmtId="0" fontId="7" fillId="5" borderId="4" xfId="0" applyFont="1" applyFill="1" applyBorder="1" applyAlignment="1" applyProtection="1">
      <alignment horizontal="left" vertical="center"/>
      <protection locked="0" hidden="1"/>
    </xf>
    <xf numFmtId="0" fontId="24" fillId="7" borderId="17" xfId="0" applyFont="1" applyFill="1" applyBorder="1" applyAlignment="1" applyProtection="1">
      <alignment horizontal="left" vertical="center" shrinkToFit="1"/>
      <protection hidden="1"/>
    </xf>
    <xf numFmtId="0" fontId="24" fillId="7" borderId="18" xfId="0" applyFont="1" applyFill="1" applyBorder="1" applyAlignment="1" applyProtection="1">
      <alignment horizontal="left" vertical="center" shrinkToFit="1"/>
      <protection hidden="1"/>
    </xf>
    <xf numFmtId="0" fontId="24" fillId="7" borderId="19" xfId="0" applyFont="1" applyFill="1" applyBorder="1" applyAlignment="1" applyProtection="1">
      <alignment horizontal="left" vertical="center" shrinkToFit="1"/>
      <protection hidden="1"/>
    </xf>
    <xf numFmtId="0" fontId="24" fillId="7" borderId="20" xfId="0" applyFont="1" applyFill="1" applyBorder="1" applyAlignment="1" applyProtection="1">
      <alignment horizontal="left" vertical="center" shrinkToFit="1"/>
      <protection hidden="1"/>
    </xf>
    <xf numFmtId="0" fontId="24" fillId="7" borderId="21" xfId="0" applyFont="1" applyFill="1" applyBorder="1" applyAlignment="1" applyProtection="1">
      <alignment horizontal="left" vertical="center" shrinkToFit="1"/>
      <protection hidden="1"/>
    </xf>
    <xf numFmtId="0" fontId="24" fillId="7" borderId="22" xfId="0" applyFont="1" applyFill="1" applyBorder="1" applyAlignment="1" applyProtection="1">
      <alignment horizontal="left" vertical="center" shrinkToFit="1"/>
      <protection hidden="1"/>
    </xf>
    <xf numFmtId="0" fontId="20" fillId="4" borderId="0" xfId="0" applyFont="1" applyFill="1" applyAlignment="1" applyProtection="1">
      <alignment horizontal="center" vertical="center" wrapText="1" shrinkToFit="1"/>
      <protection hidden="1"/>
    </xf>
    <xf numFmtId="0" fontId="20" fillId="4" borderId="0" xfId="0" applyFont="1" applyFill="1" applyAlignment="1" applyProtection="1">
      <alignment horizontal="center" vertical="center" shrinkToFit="1"/>
      <protection hidden="1"/>
    </xf>
    <xf numFmtId="0" fontId="29" fillId="7" borderId="14" xfId="0" applyFont="1" applyFill="1" applyBorder="1" applyAlignment="1">
      <alignment horizontal="left" vertical="center" shrinkToFit="1"/>
    </xf>
    <xf numFmtId="0" fontId="29" fillId="7" borderId="16" xfId="0" applyFont="1" applyFill="1" applyBorder="1" applyAlignment="1">
      <alignment horizontal="left" vertical="center" shrinkToFit="1"/>
    </xf>
    <xf numFmtId="0" fontId="29" fillId="7" borderId="15" xfId="0" applyFont="1" applyFill="1" applyBorder="1" applyAlignment="1">
      <alignment horizontal="left" vertical="center" shrinkToFit="1"/>
    </xf>
    <xf numFmtId="49" fontId="29" fillId="0" borderId="1" xfId="0" applyNumberFormat="1" applyFont="1" applyBorder="1" applyAlignment="1" applyProtection="1">
      <alignment vertical="center" shrinkToFit="1"/>
      <protection locked="0"/>
    </xf>
    <xf numFmtId="49" fontId="29" fillId="7" borderId="6" xfId="0" applyNumberFormat="1" applyFont="1" applyFill="1" applyBorder="1" applyAlignment="1">
      <alignment vertical="center" shrinkToFit="1"/>
    </xf>
    <xf numFmtId="49" fontId="29" fillId="0" borderId="1" xfId="0" applyNumberFormat="1" applyFont="1" applyBorder="1" applyAlignment="1" applyProtection="1">
      <alignment horizontal="left" vertical="center" shrinkToFit="1"/>
      <protection locked="0"/>
    </xf>
    <xf numFmtId="49" fontId="30" fillId="12" borderId="32" xfId="0" applyNumberFormat="1" applyFont="1" applyFill="1" applyBorder="1" applyAlignment="1">
      <alignment horizontal="center" vertical="center" shrinkToFit="1"/>
    </xf>
    <xf numFmtId="0" fontId="29" fillId="12" borderId="0" xfId="0" applyFont="1" applyFill="1" applyAlignment="1">
      <alignment horizontal="left" vertical="center" wrapText="1"/>
    </xf>
    <xf numFmtId="49" fontId="29" fillId="0" borderId="2" xfId="0" applyNumberFormat="1" applyFont="1" applyBorder="1" applyAlignment="1" applyProtection="1">
      <alignment vertical="center" shrinkToFit="1"/>
      <protection locked="0"/>
    </xf>
    <xf numFmtId="49" fontId="29" fillId="0" borderId="3" xfId="0" applyNumberFormat="1" applyFont="1" applyBorder="1" applyAlignment="1" applyProtection="1">
      <alignment vertical="center" shrinkToFit="1"/>
      <protection locked="0"/>
    </xf>
    <xf numFmtId="49" fontId="29" fillId="0" borderId="4" xfId="0" applyNumberFormat="1" applyFont="1" applyBorder="1" applyAlignment="1" applyProtection="1">
      <alignment vertical="center" shrinkToFit="1"/>
      <protection locked="0"/>
    </xf>
    <xf numFmtId="49" fontId="29" fillId="0" borderId="2" xfId="0" applyNumberFormat="1" applyFont="1" applyBorder="1" applyAlignment="1" applyProtection="1">
      <alignment horizontal="left" vertical="center" shrinkToFit="1"/>
      <protection locked="0"/>
    </xf>
    <xf numFmtId="49" fontId="29" fillId="0" borderId="3" xfId="0" applyNumberFormat="1" applyFont="1" applyBorder="1" applyAlignment="1" applyProtection="1">
      <alignment horizontal="left" vertical="center" shrinkToFit="1"/>
      <protection locked="0"/>
    </xf>
    <xf numFmtId="49" fontId="29" fillId="0" borderId="4" xfId="0" applyNumberFormat="1" applyFont="1" applyBorder="1" applyAlignment="1" applyProtection="1">
      <alignment horizontal="left" vertical="center" shrinkToFit="1"/>
      <protection locked="0"/>
    </xf>
    <xf numFmtId="49" fontId="30" fillId="12" borderId="3" xfId="0" applyNumberFormat="1" applyFont="1" applyFill="1" applyBorder="1" applyAlignment="1">
      <alignment horizontal="center" vertical="center" shrinkToFit="1"/>
    </xf>
    <xf numFmtId="49" fontId="29" fillId="7" borderId="6" xfId="0" applyNumberFormat="1" applyFont="1" applyFill="1" applyBorder="1" applyAlignment="1">
      <alignment horizontal="left" vertical="center" shrinkToFit="1"/>
    </xf>
    <xf numFmtId="49" fontId="29" fillId="7" borderId="14" xfId="0" applyNumberFormat="1" applyFont="1" applyFill="1" applyBorder="1" applyAlignment="1">
      <alignment vertical="center" shrinkToFit="1"/>
    </xf>
    <xf numFmtId="49" fontId="29" fillId="7" borderId="16" xfId="0" applyNumberFormat="1" applyFont="1" applyFill="1" applyBorder="1" applyAlignment="1">
      <alignment vertical="center" shrinkToFit="1"/>
    </xf>
    <xf numFmtId="49" fontId="29" fillId="7" borderId="15" xfId="0" applyNumberFormat="1" applyFont="1" applyFill="1" applyBorder="1" applyAlignment="1">
      <alignment vertical="center" shrinkToFit="1"/>
    </xf>
    <xf numFmtId="0" fontId="29" fillId="12" borderId="21" xfId="0" applyFont="1" applyFill="1" applyBorder="1" applyAlignment="1">
      <alignment vertical="center" wrapText="1"/>
    </xf>
    <xf numFmtId="0" fontId="28" fillId="14" borderId="0" xfId="0" applyFont="1" applyFill="1" applyAlignment="1">
      <alignment horizontal="center" vertical="center"/>
    </xf>
    <xf numFmtId="0" fontId="29" fillId="5" borderId="2" xfId="0" applyFont="1" applyFill="1" applyBorder="1" applyAlignment="1" applyProtection="1">
      <alignment horizontal="left" vertical="center" shrinkToFit="1"/>
      <protection locked="0"/>
    </xf>
    <xf numFmtId="0" fontId="29" fillId="5" borderId="3" xfId="0" applyFont="1" applyFill="1" applyBorder="1" applyAlignment="1" applyProtection="1">
      <alignment horizontal="left" vertical="center" shrinkToFit="1"/>
      <protection locked="0"/>
    </xf>
    <xf numFmtId="0" fontId="29" fillId="5" borderId="4" xfId="0" applyFont="1" applyFill="1" applyBorder="1" applyAlignment="1" applyProtection="1">
      <alignment horizontal="left" vertical="center" shrinkToFit="1"/>
      <protection locked="0"/>
    </xf>
    <xf numFmtId="0" fontId="17" fillId="5" borderId="2" xfId="0" applyFont="1" applyFill="1" applyBorder="1" applyAlignment="1" applyProtection="1">
      <alignment vertical="center"/>
      <protection locked="0"/>
    </xf>
    <xf numFmtId="0" fontId="17" fillId="5" borderId="3" xfId="0" applyFont="1" applyFill="1" applyBorder="1" applyAlignment="1" applyProtection="1">
      <alignment vertical="center"/>
      <protection locked="0"/>
    </xf>
    <xf numFmtId="0" fontId="17" fillId="5" borderId="4" xfId="0" applyFont="1" applyFill="1" applyBorder="1" applyAlignment="1" applyProtection="1">
      <alignment vertical="center"/>
      <protection locked="0"/>
    </xf>
    <xf numFmtId="0" fontId="7" fillId="12" borderId="0" xfId="0" applyFont="1" applyFill="1" applyAlignment="1">
      <alignment horizontal="left" vertical="top" wrapText="1"/>
    </xf>
    <xf numFmtId="0" fontId="7" fillId="12" borderId="0" xfId="0" applyFont="1" applyFill="1" applyAlignment="1">
      <alignment horizontal="center" vertical="center" wrapText="1"/>
    </xf>
    <xf numFmtId="0" fontId="17" fillId="7" borderId="14" xfId="0" applyFont="1" applyFill="1" applyBorder="1" applyAlignment="1">
      <alignment vertical="center"/>
    </xf>
    <xf numFmtId="0" fontId="17" fillId="7" borderId="16" xfId="0" applyFont="1" applyFill="1" applyBorder="1" applyAlignment="1">
      <alignment vertical="center"/>
    </xf>
    <xf numFmtId="0" fontId="17" fillId="7" borderId="15" xfId="0" applyFont="1" applyFill="1" applyBorder="1" applyAlignment="1">
      <alignment vertical="center"/>
    </xf>
    <xf numFmtId="0" fontId="26" fillId="0" borderId="0" xfId="3" applyAlignment="1" applyProtection="1">
      <alignment vertical="center"/>
      <protection locked="0"/>
    </xf>
    <xf numFmtId="0" fontId="26" fillId="12" borderId="0" xfId="3" applyFill="1" applyAlignment="1" applyProtection="1">
      <alignment horizontal="right" vertical="center" shrinkToFit="1"/>
      <protection locked="0"/>
    </xf>
    <xf numFmtId="0" fontId="26" fillId="6" borderId="0" xfId="3" applyFill="1" applyAlignment="1" applyProtection="1">
      <alignment horizontal="right" vertical="center" shrinkToFit="1"/>
      <protection locked="0"/>
    </xf>
    <xf numFmtId="0" fontId="26" fillId="9" borderId="0" xfId="3" applyFill="1" applyAlignment="1" applyProtection="1">
      <alignment horizontal="right" vertical="center" shrinkToFit="1"/>
      <protection locked="0"/>
    </xf>
    <xf numFmtId="0" fontId="29" fillId="0" borderId="0" xfId="0" applyFont="1" applyAlignment="1">
      <alignment vertical="center" wrapText="1"/>
    </xf>
    <xf numFmtId="0" fontId="36" fillId="0" borderId="29" xfId="0" applyFont="1" applyBorder="1" applyAlignment="1" applyProtection="1">
      <alignment vertical="top" shrinkToFit="1"/>
      <protection hidden="1"/>
    </xf>
    <xf numFmtId="0" fontId="36" fillId="0" borderId="30" xfId="0" applyFont="1" applyBorder="1" applyAlignment="1" applyProtection="1">
      <alignment vertical="top" shrinkToFit="1"/>
      <protection hidden="1"/>
    </xf>
    <xf numFmtId="0" fontId="36" fillId="0" borderId="27" xfId="0" applyFont="1" applyBorder="1" applyAlignment="1" applyProtection="1">
      <alignment vertical="center" shrinkToFit="1"/>
      <protection hidden="1"/>
    </xf>
    <xf numFmtId="0" fontId="36" fillId="0" borderId="0" xfId="0" applyFont="1" applyAlignment="1" applyProtection="1">
      <alignment vertical="center" shrinkToFit="1"/>
      <protection hidden="1"/>
    </xf>
    <xf numFmtId="0" fontId="36" fillId="0" borderId="25" xfId="0" applyFont="1" applyBorder="1" applyAlignment="1" applyProtection="1">
      <alignment vertical="center" shrinkToFit="1"/>
      <protection hidden="1"/>
    </xf>
    <xf numFmtId="0" fontId="36" fillId="0" borderId="26" xfId="0" applyFont="1" applyBorder="1" applyAlignment="1" applyProtection="1">
      <alignment vertical="center" shrinkToFit="1"/>
      <protection hidden="1"/>
    </xf>
    <xf numFmtId="0" fontId="40" fillId="0" borderId="0" xfId="0" applyFont="1" applyAlignment="1" applyProtection="1">
      <alignment horizontal="center" vertical="center"/>
      <protection hidden="1"/>
    </xf>
    <xf numFmtId="0" fontId="38" fillId="0" borderId="0" xfId="0" applyFont="1" applyAlignment="1" applyProtection="1">
      <alignment vertical="center" wrapText="1"/>
      <protection hidden="1"/>
    </xf>
    <xf numFmtId="0" fontId="38" fillId="0" borderId="0" xfId="0" applyFont="1" applyAlignment="1" applyProtection="1">
      <alignment vertical="top" wrapText="1"/>
      <protection hidden="1"/>
    </xf>
    <xf numFmtId="0" fontId="36" fillId="0" borderId="5" xfId="0" applyFont="1" applyBorder="1" applyAlignment="1" applyProtection="1">
      <alignment horizontal="center" vertical="center"/>
      <protection hidden="1"/>
    </xf>
    <xf numFmtId="0" fontId="36" fillId="0" borderId="0" xfId="0" applyFont="1" applyAlignment="1" applyProtection="1">
      <alignment vertical="top" wrapText="1"/>
      <protection hidden="1"/>
    </xf>
    <xf numFmtId="0" fontId="36" fillId="0" borderId="0" xfId="0" applyFont="1" applyAlignment="1" applyProtection="1">
      <alignment horizontal="center" vertical="center"/>
      <protection hidden="1"/>
    </xf>
    <xf numFmtId="177" fontId="40" fillId="0" borderId="0" xfId="0" applyNumberFormat="1" applyFont="1" applyAlignment="1" applyProtection="1">
      <alignment horizontal="center" vertical="center"/>
      <protection hidden="1"/>
    </xf>
    <xf numFmtId="178" fontId="40" fillId="0" borderId="0" xfId="0" applyNumberFormat="1" applyFont="1" applyAlignment="1" applyProtection="1">
      <alignment horizontal="center" vertical="center"/>
      <protection hidden="1"/>
    </xf>
    <xf numFmtId="0" fontId="36" fillId="0" borderId="0" xfId="0" applyFont="1" applyAlignment="1" applyProtection="1">
      <alignment horizontal="distributed" vertical="center"/>
      <protection hidden="1"/>
    </xf>
    <xf numFmtId="0" fontId="36" fillId="0" borderId="5" xfId="0" applyFont="1" applyBorder="1" applyAlignment="1" applyProtection="1">
      <alignment horizontal="center" vertical="center" shrinkToFit="1"/>
      <protection hidden="1"/>
    </xf>
    <xf numFmtId="0" fontId="36" fillId="0" borderId="5" xfId="0" applyFont="1" applyBorder="1" applyAlignment="1" applyProtection="1">
      <alignment horizontal="center" vertical="center" wrapText="1"/>
      <protection hidden="1"/>
    </xf>
    <xf numFmtId="0" fontId="40" fillId="0" borderId="10" xfId="0" applyFont="1" applyBorder="1" applyAlignment="1" applyProtection="1">
      <alignment vertical="center" shrinkToFit="1"/>
      <protection hidden="1"/>
    </xf>
    <xf numFmtId="0" fontId="40" fillId="0" borderId="11" xfId="0" applyFont="1" applyBorder="1" applyAlignment="1" applyProtection="1">
      <alignment vertical="center" shrinkToFit="1"/>
      <protection hidden="1"/>
    </xf>
    <xf numFmtId="0" fontId="40" fillId="0" borderId="9" xfId="0" applyFont="1" applyBorder="1" applyAlignment="1" applyProtection="1">
      <alignment horizontal="center" vertical="center" shrinkToFit="1"/>
      <protection hidden="1"/>
    </xf>
    <xf numFmtId="0" fontId="40" fillId="0" borderId="10" xfId="0" applyFont="1" applyBorder="1" applyAlignment="1" applyProtection="1">
      <alignment horizontal="center" vertical="center" shrinkToFit="1"/>
      <protection hidden="1"/>
    </xf>
    <xf numFmtId="0" fontId="40" fillId="0" borderId="11" xfId="0" applyFont="1" applyBorder="1" applyAlignment="1" applyProtection="1">
      <alignment horizontal="center" vertical="center" shrinkToFit="1"/>
      <protection hidden="1"/>
    </xf>
    <xf numFmtId="0" fontId="40" fillId="0" borderId="5" xfId="0" applyFont="1" applyBorder="1" applyAlignment="1" applyProtection="1">
      <alignment horizontal="center" vertical="center" shrinkToFit="1"/>
      <protection hidden="1"/>
    </xf>
    <xf numFmtId="38" fontId="40" fillId="0" borderId="5" xfId="4" applyFont="1" applyBorder="1" applyAlignment="1" applyProtection="1">
      <alignment horizontal="center" vertical="center"/>
      <protection hidden="1"/>
    </xf>
    <xf numFmtId="0" fontId="36" fillId="0" borderId="9" xfId="0" applyFont="1" applyBorder="1" applyAlignment="1" applyProtection="1">
      <alignment horizontal="center" vertical="center"/>
      <protection hidden="1"/>
    </xf>
    <xf numFmtId="0" fontId="36" fillId="0" borderId="10" xfId="0" applyFont="1" applyBorder="1" applyAlignment="1" applyProtection="1">
      <alignment horizontal="center" vertical="center"/>
      <protection hidden="1"/>
    </xf>
    <xf numFmtId="0" fontId="36" fillId="0" borderId="11" xfId="0" applyFont="1" applyBorder="1" applyAlignment="1" applyProtection="1">
      <alignment horizontal="center" vertical="center"/>
      <protection hidden="1"/>
    </xf>
    <xf numFmtId="0" fontId="40" fillId="0" borderId="25" xfId="0" applyFont="1" applyBorder="1" applyAlignment="1" applyProtection="1">
      <alignment horizontal="center" vertical="center" shrinkToFit="1"/>
      <protection hidden="1"/>
    </xf>
    <xf numFmtId="0" fontId="40" fillId="0" borderId="26" xfId="0" applyFont="1" applyBorder="1" applyAlignment="1" applyProtection="1">
      <alignment horizontal="center" vertical="center" shrinkToFit="1"/>
      <protection hidden="1"/>
    </xf>
    <xf numFmtId="0" fontId="40" fillId="0" borderId="12" xfId="0" applyFont="1" applyBorder="1" applyAlignment="1" applyProtection="1">
      <alignment horizontal="center" vertical="center" shrinkToFit="1"/>
      <protection hidden="1"/>
    </xf>
    <xf numFmtId="0" fontId="40" fillId="0" borderId="27" xfId="0" applyFont="1" applyBorder="1" applyAlignment="1" applyProtection="1">
      <alignment horizontal="center" vertical="center" shrinkToFit="1"/>
      <protection hidden="1"/>
    </xf>
    <xf numFmtId="0" fontId="40" fillId="0" borderId="0" xfId="0" applyFont="1" applyAlignment="1" applyProtection="1">
      <alignment horizontal="center" vertical="center" shrinkToFit="1"/>
      <protection hidden="1"/>
    </xf>
    <xf numFmtId="0" fontId="40" fillId="0" borderId="28" xfId="0" applyFont="1" applyBorder="1" applyAlignment="1" applyProtection="1">
      <alignment horizontal="center" vertical="center" shrinkToFit="1"/>
      <protection hidden="1"/>
    </xf>
    <xf numFmtId="0" fontId="40" fillId="0" borderId="29" xfId="0" applyFont="1" applyBorder="1" applyAlignment="1" applyProtection="1">
      <alignment horizontal="center" vertical="center" shrinkToFit="1"/>
      <protection hidden="1"/>
    </xf>
    <xf numFmtId="0" fontId="40" fillId="0" borderId="30" xfId="0" applyFont="1" applyBorder="1" applyAlignment="1" applyProtection="1">
      <alignment horizontal="center" vertical="center" shrinkToFit="1"/>
      <protection hidden="1"/>
    </xf>
    <xf numFmtId="0" fontId="40" fillId="0" borderId="13" xfId="0" applyFont="1" applyBorder="1" applyAlignment="1" applyProtection="1">
      <alignment horizontal="center" vertical="center" shrinkToFit="1"/>
      <protection hidden="1"/>
    </xf>
    <xf numFmtId="0" fontId="40" fillId="0" borderId="30" xfId="0" applyFont="1" applyBorder="1" applyAlignment="1" applyProtection="1">
      <alignment horizontal="left" vertical="top" shrinkToFit="1"/>
      <protection hidden="1"/>
    </xf>
    <xf numFmtId="0" fontId="40" fillId="0" borderId="13" xfId="0" applyFont="1" applyBorder="1" applyAlignment="1" applyProtection="1">
      <alignment horizontal="left" vertical="top" shrinkToFit="1"/>
      <protection hidden="1"/>
    </xf>
    <xf numFmtId="0" fontId="40" fillId="0" borderId="26" xfId="0" applyFont="1" applyBorder="1" applyAlignment="1" applyProtection="1">
      <alignment horizontal="left" vertical="center" shrinkToFit="1"/>
      <protection hidden="1"/>
    </xf>
    <xf numFmtId="0" fontId="40" fillId="0" borderId="12" xfId="0" applyFont="1" applyBorder="1" applyAlignment="1" applyProtection="1">
      <alignment horizontal="left" vertical="center" shrinkToFit="1"/>
      <protection hidden="1"/>
    </xf>
    <xf numFmtId="0" fontId="40" fillId="0" borderId="0" xfId="0" applyFont="1" applyAlignment="1" applyProtection="1">
      <alignment horizontal="left" vertical="center" shrinkToFit="1"/>
      <protection hidden="1"/>
    </xf>
    <xf numFmtId="0" fontId="40" fillId="0" borderId="28" xfId="0" applyFont="1" applyBorder="1" applyAlignment="1" applyProtection="1">
      <alignment horizontal="left" vertical="center" shrinkToFit="1"/>
      <protection hidden="1"/>
    </xf>
    <xf numFmtId="180" fontId="40" fillId="0" borderId="5" xfId="0" applyNumberFormat="1" applyFont="1" applyBorder="1" applyAlignment="1" applyProtection="1">
      <alignment horizontal="center" vertical="center" shrinkToFit="1"/>
      <protection hidden="1"/>
    </xf>
    <xf numFmtId="179" fontId="40" fillId="0" borderId="5" xfId="0" applyNumberFormat="1" applyFont="1" applyBorder="1" applyAlignment="1" applyProtection="1">
      <alignment horizontal="center" vertical="center" shrinkToFit="1"/>
      <protection hidden="1"/>
    </xf>
    <xf numFmtId="177" fontId="40" fillId="0" borderId="5" xfId="0" applyNumberFormat="1" applyFont="1" applyBorder="1" applyAlignment="1" applyProtection="1">
      <alignment horizontal="center" vertical="center" shrinkToFit="1"/>
      <protection hidden="1"/>
    </xf>
    <xf numFmtId="178" fontId="40" fillId="0" borderId="5" xfId="0" applyNumberFormat="1" applyFont="1" applyBorder="1" applyAlignment="1" applyProtection="1">
      <alignment horizontal="center" vertical="center" shrinkToFit="1"/>
      <protection hidden="1"/>
    </xf>
    <xf numFmtId="0" fontId="41" fillId="0" borderId="10" xfId="0" applyFont="1" applyBorder="1" applyAlignment="1" applyProtection="1">
      <alignment horizontal="left" vertical="center" shrinkToFit="1"/>
      <protection hidden="1"/>
    </xf>
    <xf numFmtId="0" fontId="40" fillId="0" borderId="0" xfId="0" applyFont="1" applyAlignment="1" applyProtection="1">
      <alignment vertical="top" shrinkToFit="1"/>
      <protection hidden="1"/>
    </xf>
    <xf numFmtId="38" fontId="40" fillId="0" borderId="0" xfId="4" applyFont="1" applyAlignment="1" applyProtection="1">
      <alignment vertical="center"/>
      <protection hidden="1"/>
    </xf>
    <xf numFmtId="0" fontId="36" fillId="0" borderId="25" xfId="0" applyFont="1" applyBorder="1" applyAlignment="1" applyProtection="1">
      <alignment horizontal="center" vertical="center" wrapText="1"/>
      <protection hidden="1"/>
    </xf>
    <xf numFmtId="0" fontId="36" fillId="0" borderId="26" xfId="0" applyFont="1" applyBorder="1" applyAlignment="1" applyProtection="1">
      <alignment horizontal="center" vertical="center" wrapText="1"/>
      <protection hidden="1"/>
    </xf>
    <xf numFmtId="0" fontId="36" fillId="0" borderId="12" xfId="0" applyFont="1" applyBorder="1" applyAlignment="1" applyProtection="1">
      <alignment horizontal="center" vertical="center" wrapText="1"/>
      <protection hidden="1"/>
    </xf>
    <xf numFmtId="0" fontId="36" fillId="0" borderId="27"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6" fillId="0" borderId="28" xfId="0" applyFont="1" applyBorder="1" applyAlignment="1" applyProtection="1">
      <alignment horizontal="center" vertical="center" wrapText="1"/>
      <protection hidden="1"/>
    </xf>
    <xf numFmtId="0" fontId="36" fillId="0" borderId="29" xfId="0" applyFont="1" applyBorder="1" applyAlignment="1" applyProtection="1">
      <alignment horizontal="center" vertical="center" wrapText="1"/>
      <protection hidden="1"/>
    </xf>
    <xf numFmtId="0" fontId="36" fillId="0" borderId="30"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180" fontId="40" fillId="0" borderId="9" xfId="0" applyNumberFormat="1" applyFont="1" applyBorder="1" applyAlignment="1" applyProtection="1">
      <alignment horizontal="center" vertical="center" shrinkToFit="1"/>
      <protection hidden="1"/>
    </xf>
    <xf numFmtId="180" fontId="40" fillId="0" borderId="11" xfId="0" applyNumberFormat="1" applyFont="1" applyBorder="1" applyAlignment="1" applyProtection="1">
      <alignment horizontal="center" vertical="center" shrinkToFit="1"/>
      <protection hidden="1"/>
    </xf>
    <xf numFmtId="179" fontId="40" fillId="0" borderId="9" xfId="0" applyNumberFormat="1" applyFont="1" applyBorder="1" applyAlignment="1" applyProtection="1">
      <alignment horizontal="center" vertical="center" shrinkToFit="1"/>
      <protection hidden="1"/>
    </xf>
    <xf numFmtId="179" fontId="40" fillId="0" borderId="10" xfId="0" applyNumberFormat="1" applyFont="1" applyBorder="1" applyAlignment="1" applyProtection="1">
      <alignment horizontal="center" vertical="center" shrinkToFit="1"/>
      <protection hidden="1"/>
    </xf>
    <xf numFmtId="179" fontId="40" fillId="0" borderId="11" xfId="0" applyNumberFormat="1" applyFont="1" applyBorder="1" applyAlignment="1" applyProtection="1">
      <alignment horizontal="center" vertical="center" shrinkToFit="1"/>
      <protection hidden="1"/>
    </xf>
    <xf numFmtId="177" fontId="40" fillId="0" borderId="9" xfId="0" applyNumberFormat="1" applyFont="1" applyBorder="1" applyAlignment="1" applyProtection="1">
      <alignment horizontal="center" vertical="center" shrinkToFit="1"/>
      <protection hidden="1"/>
    </xf>
    <xf numFmtId="177" fontId="40" fillId="0" borderId="11" xfId="0" applyNumberFormat="1" applyFont="1" applyBorder="1" applyAlignment="1" applyProtection="1">
      <alignment horizontal="center" vertical="center" shrinkToFit="1"/>
      <protection hidden="1"/>
    </xf>
    <xf numFmtId="178" fontId="40" fillId="0" borderId="9" xfId="0" applyNumberFormat="1" applyFont="1" applyBorder="1" applyAlignment="1" applyProtection="1">
      <alignment horizontal="center" vertical="center" shrinkToFit="1"/>
      <protection hidden="1"/>
    </xf>
    <xf numFmtId="178" fontId="40" fillId="0" borderId="11" xfId="0" applyNumberFormat="1" applyFont="1" applyBorder="1" applyAlignment="1" applyProtection="1">
      <alignment horizontal="center" vertical="center" shrinkToFit="1"/>
      <protection hidden="1"/>
    </xf>
    <xf numFmtId="0" fontId="51" fillId="0" borderId="5" xfId="0" applyFont="1" applyBorder="1" applyAlignment="1" applyProtection="1">
      <alignment horizontal="center" vertical="center" shrinkToFit="1"/>
      <protection hidden="1"/>
    </xf>
    <xf numFmtId="49" fontId="1" fillId="0" borderId="5" xfId="7" applyNumberFormat="1" applyFont="1" applyBorder="1">
      <alignment vertical="center"/>
    </xf>
  </cellXfs>
  <cellStyles count="8">
    <cellStyle name="ハイパーリンク" xfId="3" builtinId="8"/>
    <cellStyle name="桁区切り" xfId="4" builtinId="6"/>
    <cellStyle name="行レベル_1" xfId="1" builtinId="1" iLevel="0"/>
    <cellStyle name="通貨" xfId="2" builtinId="7"/>
    <cellStyle name="通貨 2" xfId="6" xr:uid="{6787FCF0-A434-4B28-AA28-45A26EFCB6C9}"/>
    <cellStyle name="標準" xfId="0" builtinId="0"/>
    <cellStyle name="標準 2" xfId="5" xr:uid="{5D7CAC5E-0F22-4447-8B0F-7C446ABC8722}"/>
    <cellStyle name="標準 4" xfId="7" xr:uid="{72AC2974-DD1A-4955-AF7F-390C21B3E3A2}"/>
  </cellStyles>
  <dxfs count="437">
    <dxf>
      <font>
        <b/>
        <i val="0"/>
      </font>
    </dxf>
    <dxf>
      <font>
        <b/>
        <i val="0"/>
      </font>
    </dxf>
    <dxf>
      <font>
        <b/>
        <i val="0"/>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ont>
        <b/>
        <i val="0"/>
        <color rgb="FF00B050"/>
      </font>
    </dxf>
    <dxf>
      <font>
        <b/>
        <i val="0"/>
        <color rgb="FFFF0000"/>
      </font>
    </dxf>
    <dxf>
      <font>
        <b/>
        <i val="0"/>
        <color rgb="FF00B050"/>
      </font>
    </dxf>
    <dxf>
      <font>
        <b/>
        <i val="0"/>
        <color rgb="FFFF0000"/>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rgb="FF9C0006"/>
      </font>
      <fill>
        <patternFill>
          <bgColor rgb="FFFFC7CE"/>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rgb="FF9C0006"/>
      </font>
      <fill>
        <patternFill>
          <bgColor rgb="FFFFC7CE"/>
        </patternFill>
      </fill>
    </dxf>
    <dxf>
      <font>
        <color theme="1" tint="0.499984740745262"/>
      </font>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00B050"/>
      </font>
    </dxf>
    <dxf>
      <font>
        <b/>
        <i val="0"/>
        <color rgb="FFFF0000"/>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color theme="1" tint="0.499984740745262"/>
      </font>
      <fill>
        <patternFill>
          <bgColor theme="1" tint="0.499984740745262"/>
        </patternFill>
      </fill>
    </dxf>
    <dxf>
      <font>
        <color theme="1" tint="0.499984740745262"/>
      </font>
      <fill>
        <patternFill>
          <bgColor theme="1" tint="0.499984740745262"/>
        </patternFill>
      </fill>
    </dxf>
    <dxf>
      <fill>
        <patternFill>
          <bgColor theme="1" tint="0.499984740745262"/>
        </patternFill>
      </fill>
    </dxf>
    <dxf>
      <font>
        <color theme="1" tint="0.499984740745262"/>
      </font>
      <fill>
        <patternFill>
          <bgColor theme="1"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i val="0"/>
        <color rgb="FF00B050"/>
      </font>
    </dxf>
    <dxf>
      <font>
        <b/>
        <i val="0"/>
        <color rgb="FFFF0000"/>
      </font>
    </dxf>
    <dxf>
      <fill>
        <patternFill>
          <bgColor theme="1" tint="0.499984740745262"/>
        </patternFill>
      </fill>
    </dxf>
    <dxf>
      <fill>
        <patternFill>
          <bgColor theme="1" tint="0.499984740745262"/>
        </patternFill>
      </fill>
    </dxf>
    <dxf>
      <font>
        <b/>
        <i val="0"/>
        <color rgb="FF00B050"/>
      </font>
    </dxf>
    <dxf>
      <font>
        <b/>
        <i val="0"/>
        <color rgb="FFFF0000"/>
      </font>
    </dxf>
    <dxf>
      <font>
        <b/>
        <i val="0"/>
        <color rgb="FF00B050"/>
      </font>
    </dxf>
    <dxf>
      <font>
        <b/>
        <i val="0"/>
        <color rgb="FFFF0000"/>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i val="0"/>
        <color rgb="FF00B050"/>
      </font>
    </dxf>
    <dxf>
      <font>
        <b/>
        <i val="0"/>
        <color rgb="FFFF0000"/>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ont>
        <b/>
        <i val="0"/>
        <color rgb="FF00B050"/>
      </font>
    </dxf>
    <dxf>
      <font>
        <b/>
        <i val="0"/>
        <color rgb="FFFF0000"/>
      </font>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584300"/>
      <color rgb="FFF7FAFD"/>
      <color rgb="FF632D09"/>
      <color rgb="FFF00000"/>
      <color rgb="FFCC0000"/>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1</xdr:col>
      <xdr:colOff>28575</xdr:colOff>
      <xdr:row>33</xdr:row>
      <xdr:rowOff>57150</xdr:rowOff>
    </xdr:from>
    <xdr:to>
      <xdr:col>19</xdr:col>
      <xdr:colOff>515470</xdr:colOff>
      <xdr:row>67</xdr:row>
      <xdr:rowOff>9525</xdr:rowOff>
    </xdr:to>
    <xdr:sp macro="" textlink="">
      <xdr:nvSpPr>
        <xdr:cNvPr id="11" name="四角形: 角を丸くする 10">
          <a:extLst>
            <a:ext uri="{FF2B5EF4-FFF2-40B4-BE49-F238E27FC236}">
              <a16:creationId xmlns:a16="http://schemas.microsoft.com/office/drawing/2014/main" id="{00000000-0008-0000-0900-00000B000000}"/>
            </a:ext>
          </a:extLst>
        </xdr:cNvPr>
        <xdr:cNvSpPr/>
      </xdr:nvSpPr>
      <xdr:spPr>
        <a:xfrm>
          <a:off x="712134" y="5604062"/>
          <a:ext cx="12790954" cy="5667375"/>
        </a:xfrm>
        <a:prstGeom prst="roundRect">
          <a:avLst/>
        </a:prstGeom>
        <a:solidFill>
          <a:schemeClr val="accent4">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noFill/>
            </a:ln>
          </a:endParaRPr>
        </a:p>
      </xdr:txBody>
    </xdr:sp>
    <xdr:clientData/>
  </xdr:twoCellAnchor>
  <xdr:twoCellAnchor>
    <xdr:from>
      <xdr:col>1</xdr:col>
      <xdr:colOff>152401</xdr:colOff>
      <xdr:row>37</xdr:row>
      <xdr:rowOff>56029</xdr:rowOff>
    </xdr:from>
    <xdr:to>
      <xdr:col>12</xdr:col>
      <xdr:colOff>661147</xdr:colOff>
      <xdr:row>64</xdr:row>
      <xdr:rowOff>1960</xdr:rowOff>
    </xdr:to>
    <xdr:sp macro="" textlink="">
      <xdr:nvSpPr>
        <xdr:cNvPr id="14" name="四角形: 角を丸くする 13">
          <a:extLst>
            <a:ext uri="{FF2B5EF4-FFF2-40B4-BE49-F238E27FC236}">
              <a16:creationId xmlns:a16="http://schemas.microsoft.com/office/drawing/2014/main" id="{00000000-0008-0000-0900-00000E000000}"/>
            </a:ext>
          </a:extLst>
        </xdr:cNvPr>
        <xdr:cNvSpPr/>
      </xdr:nvSpPr>
      <xdr:spPr>
        <a:xfrm>
          <a:off x="835960" y="6275294"/>
          <a:ext cx="8027893" cy="4484313"/>
        </a:xfrm>
        <a:prstGeom prst="roundRect">
          <a:avLst/>
        </a:prstGeom>
        <a:solidFill>
          <a:schemeClr val="accent2">
            <a:lumMod val="60000"/>
            <a:lumOff val="40000"/>
          </a:schemeClr>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ln>
              <a:noFill/>
            </a:ln>
          </a:endParaRPr>
        </a:p>
      </xdr:txBody>
    </xdr:sp>
    <xdr:clientData/>
  </xdr:twoCellAnchor>
  <xdr:twoCellAnchor>
    <xdr:from>
      <xdr:col>1</xdr:col>
      <xdr:colOff>28573</xdr:colOff>
      <xdr:row>3</xdr:row>
      <xdr:rowOff>19049</xdr:rowOff>
    </xdr:from>
    <xdr:to>
      <xdr:col>19</xdr:col>
      <xdr:colOff>515314</xdr:colOff>
      <xdr:row>30</xdr:row>
      <xdr:rowOff>89646</xdr:rowOff>
    </xdr:to>
    <xdr:sp macro="" textlink="">
      <xdr:nvSpPr>
        <xdr:cNvPr id="10" name="四角形: 角を丸くする 9">
          <a:extLst>
            <a:ext uri="{FF2B5EF4-FFF2-40B4-BE49-F238E27FC236}">
              <a16:creationId xmlns:a16="http://schemas.microsoft.com/office/drawing/2014/main" id="{00000000-0008-0000-0900-00000A000000}"/>
            </a:ext>
          </a:extLst>
        </xdr:cNvPr>
        <xdr:cNvSpPr/>
      </xdr:nvSpPr>
      <xdr:spPr>
        <a:xfrm>
          <a:off x="712132" y="523314"/>
          <a:ext cx="12790800" cy="4608979"/>
        </a:xfrm>
        <a:prstGeom prst="roundRect">
          <a:avLst/>
        </a:prstGeom>
        <a:solidFill>
          <a:schemeClr val="accent5">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noFill/>
            </a:ln>
          </a:endParaRPr>
        </a:p>
      </xdr:txBody>
    </xdr:sp>
    <xdr:clientData/>
  </xdr:twoCellAnchor>
  <xdr:twoCellAnchor editAs="oneCell">
    <xdr:from>
      <xdr:col>2</xdr:col>
      <xdr:colOff>280146</xdr:colOff>
      <xdr:row>4</xdr:row>
      <xdr:rowOff>168087</xdr:rowOff>
    </xdr:from>
    <xdr:to>
      <xdr:col>6</xdr:col>
      <xdr:colOff>627529</xdr:colOff>
      <xdr:row>28</xdr:row>
      <xdr:rowOff>28332</xdr:rowOff>
    </xdr:to>
    <xdr:pic>
      <xdr:nvPicPr>
        <xdr:cNvPr id="48" name="図 47">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264" y="840440"/>
          <a:ext cx="3081618" cy="38943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201705</xdr:colOff>
      <xdr:row>42</xdr:row>
      <xdr:rowOff>22410</xdr:rowOff>
    </xdr:from>
    <xdr:to>
      <xdr:col>11</xdr:col>
      <xdr:colOff>429791</xdr:colOff>
      <xdr:row>53</xdr:row>
      <xdr:rowOff>63079</xdr:rowOff>
    </xdr:to>
    <xdr:pic>
      <xdr:nvPicPr>
        <xdr:cNvPr id="45" name="図 44">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86617" y="7082116"/>
          <a:ext cx="2962321" cy="18896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47624</xdr:colOff>
      <xdr:row>37</xdr:row>
      <xdr:rowOff>31503</xdr:rowOff>
    </xdr:from>
    <xdr:to>
      <xdr:col>19</xdr:col>
      <xdr:colOff>134469</xdr:colOff>
      <xdr:row>64</xdr:row>
      <xdr:rowOff>22412</xdr:rowOff>
    </xdr:to>
    <xdr:sp macro="" textlink="">
      <xdr:nvSpPr>
        <xdr:cNvPr id="15" name="四角形: 角を丸くする 14">
          <a:extLst>
            <a:ext uri="{FF2B5EF4-FFF2-40B4-BE49-F238E27FC236}">
              <a16:creationId xmlns:a16="http://schemas.microsoft.com/office/drawing/2014/main" id="{00000000-0008-0000-0900-00000F000000}"/>
            </a:ext>
          </a:extLst>
        </xdr:cNvPr>
        <xdr:cNvSpPr/>
      </xdr:nvSpPr>
      <xdr:spPr>
        <a:xfrm>
          <a:off x="9617448" y="6250768"/>
          <a:ext cx="3504639" cy="4529291"/>
        </a:xfrm>
        <a:prstGeom prst="roundRect">
          <a:avLst/>
        </a:prstGeom>
        <a:solidFill>
          <a:schemeClr val="accent4">
            <a:lumMod val="60000"/>
            <a:lumOff val="40000"/>
          </a:schemeClr>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ln>
              <a:noFill/>
            </a:ln>
          </a:endParaRPr>
        </a:p>
      </xdr:txBody>
    </xdr:sp>
    <xdr:clientData/>
  </xdr:twoCellAnchor>
  <xdr:twoCellAnchor editAs="oneCell">
    <xdr:from>
      <xdr:col>8</xdr:col>
      <xdr:colOff>133351</xdr:colOff>
      <xdr:row>51</xdr:row>
      <xdr:rowOff>52665</xdr:rowOff>
    </xdr:from>
    <xdr:to>
      <xdr:col>12</xdr:col>
      <xdr:colOff>358588</xdr:colOff>
      <xdr:row>62</xdr:row>
      <xdr:rowOff>92957</xdr:rowOff>
    </xdr:to>
    <xdr:pic>
      <xdr:nvPicPr>
        <xdr:cNvPr id="8" name="図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a:ext>
          </a:extLst>
        </a:blip>
        <a:srcRect/>
        <a:stretch>
          <a:fillRect/>
        </a:stretch>
      </xdr:blipFill>
      <xdr:spPr bwMode="auto">
        <a:xfrm>
          <a:off x="5601822" y="8625165"/>
          <a:ext cx="2959472" cy="18892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341219</xdr:colOff>
      <xdr:row>1</xdr:row>
      <xdr:rowOff>94689</xdr:rowOff>
    </xdr:from>
    <xdr:to>
      <xdr:col>6</xdr:col>
      <xdr:colOff>626175</xdr:colOff>
      <xdr:row>4</xdr:row>
      <xdr:rowOff>51224</xdr:rowOff>
    </xdr:to>
    <xdr:sp macro="" textlink="">
      <xdr:nvSpPr>
        <xdr:cNvPr id="12" name="四角形: 角を丸くする 11">
          <a:extLst>
            <a:ext uri="{FF2B5EF4-FFF2-40B4-BE49-F238E27FC236}">
              <a16:creationId xmlns:a16="http://schemas.microsoft.com/office/drawing/2014/main" id="{00000000-0008-0000-0900-00000C000000}"/>
            </a:ext>
          </a:extLst>
        </xdr:cNvPr>
        <xdr:cNvSpPr/>
      </xdr:nvSpPr>
      <xdr:spPr>
        <a:xfrm>
          <a:off x="1708337" y="262777"/>
          <a:ext cx="3019191" cy="460800"/>
        </a:xfrm>
        <a:prstGeom prst="roundRect">
          <a:avLst/>
        </a:prstGeom>
        <a:solidFill>
          <a:schemeClr val="accent5">
            <a:lumMod val="50000"/>
          </a:schemeClr>
        </a:solidFill>
        <a:ln>
          <a:noFill/>
        </a:ln>
      </xdr:spPr>
      <xdr:style>
        <a:lnRef idx="2">
          <a:schemeClr val="accent5"/>
        </a:lnRef>
        <a:fillRef idx="1">
          <a:schemeClr val="lt1"/>
        </a:fillRef>
        <a:effectRef idx="0">
          <a:schemeClr val="accent5"/>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認証書・指定書</a:t>
          </a:r>
          <a:r>
            <a:rPr kumimoji="1" lang="ja-JP" altLang="ja-JP" sz="1400" b="1">
              <a:solidFill>
                <a:schemeClr val="bg1"/>
              </a:solidFill>
              <a:effectLst/>
              <a:latin typeface="+mn-lt"/>
              <a:ea typeface="+mn-ea"/>
              <a:cs typeface="+mn-cs"/>
            </a:rPr>
            <a:t>・認定書</a:t>
          </a:r>
          <a:endParaRPr kumimoji="1" lang="ja-JP" altLang="en-US" sz="1400" b="1">
            <a:solidFill>
              <a:schemeClr val="bg1"/>
            </a:solidFill>
          </a:endParaRPr>
        </a:p>
      </xdr:txBody>
    </xdr:sp>
    <xdr:clientData/>
  </xdr:twoCellAnchor>
  <xdr:twoCellAnchor>
    <xdr:from>
      <xdr:col>1</xdr:col>
      <xdr:colOff>530597</xdr:colOff>
      <xdr:row>32</xdr:row>
      <xdr:rowOff>0</xdr:rowOff>
    </xdr:from>
    <xdr:to>
      <xdr:col>8</xdr:col>
      <xdr:colOff>190500</xdr:colOff>
      <xdr:row>34</xdr:row>
      <xdr:rowOff>123825</xdr:rowOff>
    </xdr:to>
    <xdr:sp macro="" textlink="">
      <xdr:nvSpPr>
        <xdr:cNvPr id="13" name="四角形: 角を丸くする 12">
          <a:extLst>
            <a:ext uri="{FF2B5EF4-FFF2-40B4-BE49-F238E27FC236}">
              <a16:creationId xmlns:a16="http://schemas.microsoft.com/office/drawing/2014/main" id="{00000000-0008-0000-0900-00000D000000}"/>
            </a:ext>
          </a:extLst>
        </xdr:cNvPr>
        <xdr:cNvSpPr/>
      </xdr:nvSpPr>
      <xdr:spPr>
        <a:xfrm>
          <a:off x="1214156" y="5378824"/>
          <a:ext cx="4444815" cy="460001"/>
        </a:xfrm>
        <a:prstGeom prst="roundRect">
          <a:avLst/>
        </a:prstGeom>
        <a:solidFill>
          <a:srgbClr val="584300"/>
        </a:solidFill>
        <a:ln>
          <a:noFill/>
        </a:ln>
      </xdr:spPr>
      <xdr:style>
        <a:lnRef idx="2">
          <a:schemeClr val="accent5"/>
        </a:lnRef>
        <a:fillRef idx="1">
          <a:schemeClr val="lt1"/>
        </a:fillRef>
        <a:effectRef idx="0">
          <a:schemeClr val="accent5"/>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自動車整備士である証明　＋　配置の証明</a:t>
          </a:r>
        </a:p>
      </xdr:txBody>
    </xdr:sp>
    <xdr:clientData/>
  </xdr:twoCellAnchor>
  <xdr:twoCellAnchor>
    <xdr:from>
      <xdr:col>13</xdr:col>
      <xdr:colOff>50426</xdr:colOff>
      <xdr:row>48</xdr:row>
      <xdr:rowOff>34878</xdr:rowOff>
    </xdr:from>
    <xdr:to>
      <xdr:col>14</xdr:col>
      <xdr:colOff>2801</xdr:colOff>
      <xdr:row>51</xdr:row>
      <xdr:rowOff>155341</xdr:rowOff>
    </xdr:to>
    <xdr:sp macro="" textlink="">
      <xdr:nvSpPr>
        <xdr:cNvPr id="16" name="加算記号 15">
          <a:extLst>
            <a:ext uri="{FF2B5EF4-FFF2-40B4-BE49-F238E27FC236}">
              <a16:creationId xmlns:a16="http://schemas.microsoft.com/office/drawing/2014/main" id="{00000000-0008-0000-0900-000010000000}"/>
            </a:ext>
          </a:extLst>
        </xdr:cNvPr>
        <xdr:cNvSpPr/>
      </xdr:nvSpPr>
      <xdr:spPr>
        <a:xfrm>
          <a:off x="8936691" y="8103113"/>
          <a:ext cx="635934" cy="624728"/>
        </a:xfrm>
        <a:prstGeom prst="mathPlus">
          <a:avLst/>
        </a:prstGeom>
        <a:solidFill>
          <a:schemeClr val="tx1"/>
        </a:solidFill>
        <a:ln>
          <a:noFill/>
        </a:ln>
      </xdr:spPr>
      <xdr:style>
        <a:lnRef idx="2">
          <a:schemeClr val="accent4">
            <a:shade val="50000"/>
          </a:schemeClr>
        </a:lnRef>
        <a:fillRef idx="1">
          <a:schemeClr val="accent4"/>
        </a:fillRef>
        <a:effectRef idx="0">
          <a:schemeClr val="accent4"/>
        </a:effectRef>
        <a:fontRef idx="minor">
          <a:schemeClr val="lt1"/>
        </a:fontRef>
      </xdr:style>
      <xdr:txBody>
        <a:bodyPr vertOverflow="clip" horzOverflow="clip" rtlCol="0" anchor="t"/>
        <a:lstStyle/>
        <a:p>
          <a:pPr algn="l"/>
          <a:endParaRPr kumimoji="1" lang="ja-JP" altLang="en-US" sz="1100">
            <a:ln>
              <a:noFill/>
            </a:ln>
          </a:endParaRPr>
        </a:p>
      </xdr:txBody>
    </xdr:sp>
    <xdr:clientData/>
  </xdr:twoCellAnchor>
  <xdr:twoCellAnchor>
    <xdr:from>
      <xdr:col>2</xdr:col>
      <xdr:colOff>638175</xdr:colOff>
      <xdr:row>36</xdr:row>
      <xdr:rowOff>6724</xdr:rowOff>
    </xdr:from>
    <xdr:to>
      <xdr:col>7</xdr:col>
      <xdr:colOff>9525</xdr:colOff>
      <xdr:row>38</xdr:row>
      <xdr:rowOff>127186</xdr:rowOff>
    </xdr:to>
    <xdr:sp macro="" textlink="">
      <xdr:nvSpPr>
        <xdr:cNvPr id="17" name="四角形: 角を丸くする 16">
          <a:extLst>
            <a:ext uri="{FF2B5EF4-FFF2-40B4-BE49-F238E27FC236}">
              <a16:creationId xmlns:a16="http://schemas.microsoft.com/office/drawing/2014/main" id="{00000000-0008-0000-0900-000011000000}"/>
            </a:ext>
          </a:extLst>
        </xdr:cNvPr>
        <xdr:cNvSpPr/>
      </xdr:nvSpPr>
      <xdr:spPr>
        <a:xfrm>
          <a:off x="2005293" y="6057900"/>
          <a:ext cx="2789144" cy="456639"/>
        </a:xfrm>
        <a:prstGeom prst="roundRect">
          <a:avLst/>
        </a:prstGeom>
        <a:solidFill>
          <a:srgbClr val="632D09"/>
        </a:solidFill>
        <a:ln>
          <a:noFill/>
        </a:ln>
      </xdr:spPr>
      <xdr:style>
        <a:lnRef idx="2">
          <a:schemeClr val="accent5"/>
        </a:lnRef>
        <a:fillRef idx="1">
          <a:schemeClr val="lt1"/>
        </a:fillRef>
        <a:effectRef idx="0">
          <a:schemeClr val="accent5"/>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自動車整備士である証明</a:t>
          </a:r>
        </a:p>
      </xdr:txBody>
    </xdr:sp>
    <xdr:clientData/>
  </xdr:twoCellAnchor>
  <xdr:twoCellAnchor>
    <xdr:from>
      <xdr:col>15</xdr:col>
      <xdr:colOff>53228</xdr:colOff>
      <xdr:row>36</xdr:row>
      <xdr:rowOff>6724</xdr:rowOff>
    </xdr:from>
    <xdr:to>
      <xdr:col>18</xdr:col>
      <xdr:colOff>112059</xdr:colOff>
      <xdr:row>38</xdr:row>
      <xdr:rowOff>127186</xdr:rowOff>
    </xdr:to>
    <xdr:sp macro="" textlink="">
      <xdr:nvSpPr>
        <xdr:cNvPr id="18" name="四角形: 角を丸くする 17">
          <a:extLst>
            <a:ext uri="{FF2B5EF4-FFF2-40B4-BE49-F238E27FC236}">
              <a16:creationId xmlns:a16="http://schemas.microsoft.com/office/drawing/2014/main" id="{00000000-0008-0000-0900-000012000000}"/>
            </a:ext>
          </a:extLst>
        </xdr:cNvPr>
        <xdr:cNvSpPr/>
      </xdr:nvSpPr>
      <xdr:spPr>
        <a:xfrm>
          <a:off x="10306610" y="6057900"/>
          <a:ext cx="2109508" cy="456639"/>
        </a:xfrm>
        <a:prstGeom prst="roundRect">
          <a:avLst/>
        </a:prstGeom>
        <a:solidFill>
          <a:srgbClr val="584300"/>
        </a:solidFill>
        <a:ln>
          <a:noFill/>
        </a:ln>
      </xdr:spPr>
      <xdr:style>
        <a:lnRef idx="2">
          <a:schemeClr val="accent5"/>
        </a:lnRef>
        <a:fillRef idx="1">
          <a:schemeClr val="lt1"/>
        </a:fillRef>
        <a:effectRef idx="0">
          <a:schemeClr val="accent5"/>
        </a:effectRef>
        <a:fontRef idx="minor">
          <a:schemeClr val="dk1"/>
        </a:fontRef>
      </xdr:style>
      <xdr:txBody>
        <a:bodyPr vertOverflow="clip" horzOverflow="clip" lIns="0" tIns="0" rIns="0" bIns="0" rtlCol="0" anchor="ctr"/>
        <a:lstStyle/>
        <a:p>
          <a:pPr algn="ctr"/>
          <a:r>
            <a:rPr kumimoji="1" lang="ja-JP" altLang="en-US" sz="1400" b="1">
              <a:solidFill>
                <a:schemeClr val="bg1"/>
              </a:solidFill>
            </a:rPr>
            <a:t>配置の証明</a:t>
          </a:r>
        </a:p>
      </xdr:txBody>
    </xdr:sp>
    <xdr:clientData/>
  </xdr:twoCellAnchor>
  <xdr:twoCellAnchor editAs="oneCell">
    <xdr:from>
      <xdr:col>2</xdr:col>
      <xdr:colOff>123264</xdr:colOff>
      <xdr:row>41</xdr:row>
      <xdr:rowOff>156880</xdr:rowOff>
    </xdr:from>
    <xdr:to>
      <xdr:col>6</xdr:col>
      <xdr:colOff>74378</xdr:colOff>
      <xdr:row>62</xdr:row>
      <xdr:rowOff>167630</xdr:rowOff>
    </xdr:to>
    <xdr:pic>
      <xdr:nvPicPr>
        <xdr:cNvPr id="43" name="図 42">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90382" y="7048498"/>
          <a:ext cx="2685349" cy="35406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607822</xdr:colOff>
      <xdr:row>43</xdr:row>
      <xdr:rowOff>25890</xdr:rowOff>
    </xdr:from>
    <xdr:to>
      <xdr:col>5</xdr:col>
      <xdr:colOff>526677</xdr:colOff>
      <xdr:row>44</xdr:row>
      <xdr:rowOff>56029</xdr:rowOff>
    </xdr:to>
    <xdr:sp macro="" textlink="">
      <xdr:nvSpPr>
        <xdr:cNvPr id="19" name="正方形/長方形 18">
          <a:extLst>
            <a:ext uri="{FF2B5EF4-FFF2-40B4-BE49-F238E27FC236}">
              <a16:creationId xmlns:a16="http://schemas.microsoft.com/office/drawing/2014/main" id="{00000000-0008-0000-0900-000013000000}"/>
            </a:ext>
          </a:extLst>
        </xdr:cNvPr>
        <xdr:cNvSpPr/>
      </xdr:nvSpPr>
      <xdr:spPr>
        <a:xfrm>
          <a:off x="2658498" y="7253684"/>
          <a:ext cx="1285973" cy="198227"/>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398369</xdr:colOff>
      <xdr:row>47</xdr:row>
      <xdr:rowOff>55467</xdr:rowOff>
    </xdr:from>
    <xdr:to>
      <xdr:col>10</xdr:col>
      <xdr:colOff>559648</xdr:colOff>
      <xdr:row>49</xdr:row>
      <xdr:rowOff>2117</xdr:rowOff>
    </xdr:to>
    <xdr:sp macro="" textlink="">
      <xdr:nvSpPr>
        <xdr:cNvPr id="20" name="正方形/長方形 19">
          <a:extLst>
            <a:ext uri="{FF2B5EF4-FFF2-40B4-BE49-F238E27FC236}">
              <a16:creationId xmlns:a16="http://schemas.microsoft.com/office/drawing/2014/main" id="{00000000-0008-0000-0900-000014000000}"/>
            </a:ext>
          </a:extLst>
        </xdr:cNvPr>
        <xdr:cNvSpPr/>
      </xdr:nvSpPr>
      <xdr:spPr>
        <a:xfrm>
          <a:off x="6550398" y="7955614"/>
          <a:ext cx="844838" cy="282827"/>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14</xdr:col>
      <xdr:colOff>291352</xdr:colOff>
      <xdr:row>44</xdr:row>
      <xdr:rowOff>44823</xdr:rowOff>
    </xdr:from>
    <xdr:to>
      <xdr:col>19</xdr:col>
      <xdr:colOff>32894</xdr:colOff>
      <xdr:row>55</xdr:row>
      <xdr:rowOff>78441</xdr:rowOff>
    </xdr:to>
    <xdr:pic>
      <xdr:nvPicPr>
        <xdr:cNvPr id="47" name="図 46">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861176" y="7440705"/>
          <a:ext cx="3159336" cy="18825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466725</xdr:colOff>
      <xdr:row>45</xdr:row>
      <xdr:rowOff>70037</xdr:rowOff>
    </xdr:from>
    <xdr:to>
      <xdr:col>17</xdr:col>
      <xdr:colOff>19051</xdr:colOff>
      <xdr:row>47</xdr:row>
      <xdr:rowOff>6724</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0036549" y="7634008"/>
          <a:ext cx="1603002" cy="272863"/>
        </a:xfrm>
        <a:prstGeom prst="rect">
          <a:avLst/>
        </a:prstGeom>
        <a:noFill/>
        <a:ln w="1905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605117</xdr:colOff>
      <xdr:row>22</xdr:row>
      <xdr:rowOff>23186</xdr:rowOff>
    </xdr:from>
    <xdr:to>
      <xdr:col>5</xdr:col>
      <xdr:colOff>209550</xdr:colOff>
      <xdr:row>23</xdr:row>
      <xdr:rowOff>0</xdr:rowOff>
    </xdr:to>
    <xdr:sp macro="" textlink="">
      <xdr:nvSpPr>
        <xdr:cNvPr id="24" name="正方形/長方形 23">
          <a:extLst>
            <a:ext uri="{FF2B5EF4-FFF2-40B4-BE49-F238E27FC236}">
              <a16:creationId xmlns:a16="http://schemas.microsoft.com/office/drawing/2014/main" id="{00000000-0008-0000-0900-000018000000}"/>
            </a:ext>
          </a:extLst>
        </xdr:cNvPr>
        <xdr:cNvSpPr/>
      </xdr:nvSpPr>
      <xdr:spPr>
        <a:xfrm>
          <a:off x="1972235" y="3721127"/>
          <a:ext cx="1655109" cy="144902"/>
        </a:xfrm>
        <a:prstGeom prst="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627529</xdr:colOff>
      <xdr:row>15</xdr:row>
      <xdr:rowOff>38100</xdr:rowOff>
    </xdr:from>
    <xdr:to>
      <xdr:col>6</xdr:col>
      <xdr:colOff>347382</xdr:colOff>
      <xdr:row>16</xdr:row>
      <xdr:rowOff>33617</xdr:rowOff>
    </xdr:to>
    <xdr:sp macro="" textlink="">
      <xdr:nvSpPr>
        <xdr:cNvPr id="25" name="正方形/長方形 24">
          <a:extLst>
            <a:ext uri="{FF2B5EF4-FFF2-40B4-BE49-F238E27FC236}">
              <a16:creationId xmlns:a16="http://schemas.microsoft.com/office/drawing/2014/main" id="{00000000-0008-0000-0900-000019000000}"/>
            </a:ext>
          </a:extLst>
        </xdr:cNvPr>
        <xdr:cNvSpPr/>
      </xdr:nvSpPr>
      <xdr:spPr>
        <a:xfrm>
          <a:off x="1994647" y="2559424"/>
          <a:ext cx="2454088" cy="163605"/>
        </a:xfrm>
        <a:prstGeom prst="rect">
          <a:avLst/>
        </a:prstGeom>
        <a:noFill/>
        <a:ln w="1905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495302</xdr:colOff>
      <xdr:row>25</xdr:row>
      <xdr:rowOff>133910</xdr:rowOff>
    </xdr:from>
    <xdr:to>
      <xdr:col>4</xdr:col>
      <xdr:colOff>638737</xdr:colOff>
      <xdr:row>27</xdr:row>
      <xdr:rowOff>44824</xdr:rowOff>
    </xdr:to>
    <xdr:sp macro="" textlink="">
      <xdr:nvSpPr>
        <xdr:cNvPr id="27" name="正方形/長方形 26">
          <a:extLst>
            <a:ext uri="{FF2B5EF4-FFF2-40B4-BE49-F238E27FC236}">
              <a16:creationId xmlns:a16="http://schemas.microsoft.com/office/drawing/2014/main" id="{00000000-0008-0000-0900-00001B000000}"/>
            </a:ext>
          </a:extLst>
        </xdr:cNvPr>
        <xdr:cNvSpPr/>
      </xdr:nvSpPr>
      <xdr:spPr>
        <a:xfrm>
          <a:off x="2545978" y="4336116"/>
          <a:ext cx="826994" cy="247090"/>
        </a:xfrm>
        <a:prstGeom prst="rect">
          <a:avLst/>
        </a:prstGeom>
        <a:noFill/>
        <a:ln w="1905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415737</xdr:colOff>
      <xdr:row>43</xdr:row>
      <xdr:rowOff>40341</xdr:rowOff>
    </xdr:from>
    <xdr:to>
      <xdr:col>3</xdr:col>
      <xdr:colOff>539562</xdr:colOff>
      <xdr:row>45</xdr:row>
      <xdr:rowOff>11765</xdr:rowOff>
    </xdr:to>
    <xdr:sp macro="" textlink="">
      <xdr:nvSpPr>
        <xdr:cNvPr id="28" name="吹き出し: 四角形 27">
          <a:extLst>
            <a:ext uri="{FF2B5EF4-FFF2-40B4-BE49-F238E27FC236}">
              <a16:creationId xmlns:a16="http://schemas.microsoft.com/office/drawing/2014/main" id="{00000000-0008-0000-0900-00001C000000}"/>
            </a:ext>
          </a:extLst>
        </xdr:cNvPr>
        <xdr:cNvSpPr/>
      </xdr:nvSpPr>
      <xdr:spPr>
        <a:xfrm>
          <a:off x="1099296" y="7268135"/>
          <a:ext cx="1490942" cy="307601"/>
        </a:xfrm>
        <a:prstGeom prst="wedgeRectCallout">
          <a:avLst>
            <a:gd name="adj1" fmla="val 57511"/>
            <a:gd name="adj2" fmla="val -25379"/>
          </a:avLst>
        </a:prstGeom>
        <a:solidFill>
          <a:srgbClr val="632D0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t>整備士合格証書番号</a:t>
          </a:r>
        </a:p>
      </xdr:txBody>
    </xdr:sp>
    <xdr:clientData/>
  </xdr:twoCellAnchor>
  <xdr:twoCellAnchor>
    <xdr:from>
      <xdr:col>10</xdr:col>
      <xdr:colOff>202266</xdr:colOff>
      <xdr:row>49</xdr:row>
      <xdr:rowOff>10083</xdr:rowOff>
    </xdr:from>
    <xdr:to>
      <xdr:col>12</xdr:col>
      <xdr:colOff>326091</xdr:colOff>
      <xdr:row>50</xdr:row>
      <xdr:rowOff>149597</xdr:rowOff>
    </xdr:to>
    <xdr:sp macro="" textlink="">
      <xdr:nvSpPr>
        <xdr:cNvPr id="29" name="吹き出し: 四角形 28">
          <a:extLst>
            <a:ext uri="{FF2B5EF4-FFF2-40B4-BE49-F238E27FC236}">
              <a16:creationId xmlns:a16="http://schemas.microsoft.com/office/drawing/2014/main" id="{00000000-0008-0000-0900-00001D000000}"/>
            </a:ext>
          </a:extLst>
        </xdr:cNvPr>
        <xdr:cNvSpPr/>
      </xdr:nvSpPr>
      <xdr:spPr>
        <a:xfrm>
          <a:off x="7037854" y="8246407"/>
          <a:ext cx="1490943" cy="307602"/>
        </a:xfrm>
        <a:prstGeom prst="wedgeRectCallout">
          <a:avLst>
            <a:gd name="adj1" fmla="val -44133"/>
            <a:gd name="adj2" fmla="val -66710"/>
          </a:avLst>
        </a:prstGeom>
        <a:solidFill>
          <a:srgbClr val="632D0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t>整備士合格証書番号</a:t>
          </a:r>
        </a:p>
      </xdr:txBody>
    </xdr:sp>
    <xdr:clientData/>
  </xdr:twoCellAnchor>
  <xdr:twoCellAnchor>
    <xdr:from>
      <xdr:col>3</xdr:col>
      <xdr:colOff>95811</xdr:colOff>
      <xdr:row>27</xdr:row>
      <xdr:rowOff>87966</xdr:rowOff>
    </xdr:from>
    <xdr:to>
      <xdr:col>4</xdr:col>
      <xdr:colOff>445994</xdr:colOff>
      <xdr:row>29</xdr:row>
      <xdr:rowOff>57789</xdr:rowOff>
    </xdr:to>
    <xdr:sp macro="" textlink="">
      <xdr:nvSpPr>
        <xdr:cNvPr id="31" name="吹き出し: 四角形 30">
          <a:extLst>
            <a:ext uri="{FF2B5EF4-FFF2-40B4-BE49-F238E27FC236}">
              <a16:creationId xmlns:a16="http://schemas.microsoft.com/office/drawing/2014/main" id="{00000000-0008-0000-0900-00001F000000}"/>
            </a:ext>
          </a:extLst>
        </xdr:cNvPr>
        <xdr:cNvSpPr/>
      </xdr:nvSpPr>
      <xdr:spPr>
        <a:xfrm>
          <a:off x="2146487" y="4626348"/>
          <a:ext cx="1033742" cy="306000"/>
        </a:xfrm>
        <a:prstGeom prst="wedgeRectCallout">
          <a:avLst>
            <a:gd name="adj1" fmla="val 17285"/>
            <a:gd name="adj2" fmla="val -89016"/>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t>管轄運輸局</a:t>
          </a:r>
        </a:p>
      </xdr:txBody>
    </xdr:sp>
    <xdr:clientData/>
  </xdr:twoCellAnchor>
  <xdr:twoCellAnchor>
    <xdr:from>
      <xdr:col>17</xdr:col>
      <xdr:colOff>53229</xdr:colOff>
      <xdr:row>44</xdr:row>
      <xdr:rowOff>166969</xdr:rowOff>
    </xdr:from>
    <xdr:to>
      <xdr:col>18</xdr:col>
      <xdr:colOff>377079</xdr:colOff>
      <xdr:row>46</xdr:row>
      <xdr:rowOff>138393</xdr:rowOff>
    </xdr:to>
    <xdr:sp macro="" textlink="">
      <xdr:nvSpPr>
        <xdr:cNvPr id="32" name="吹き出し: 四角形 31">
          <a:extLst>
            <a:ext uri="{FF2B5EF4-FFF2-40B4-BE49-F238E27FC236}">
              <a16:creationId xmlns:a16="http://schemas.microsoft.com/office/drawing/2014/main" id="{00000000-0008-0000-0900-000020000000}"/>
            </a:ext>
          </a:extLst>
        </xdr:cNvPr>
        <xdr:cNvSpPr/>
      </xdr:nvSpPr>
      <xdr:spPr>
        <a:xfrm>
          <a:off x="11673729" y="7562851"/>
          <a:ext cx="1007409" cy="307601"/>
        </a:xfrm>
        <a:prstGeom prst="wedgeRectCallout">
          <a:avLst>
            <a:gd name="adj1" fmla="val -58413"/>
            <a:gd name="adj2" fmla="val -1136"/>
          </a:avLst>
        </a:prstGeom>
        <a:solidFill>
          <a:srgbClr val="5843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t>事業場名</a:t>
          </a:r>
        </a:p>
      </xdr:txBody>
    </xdr:sp>
    <xdr:clientData/>
  </xdr:twoCellAnchor>
  <xdr:twoCellAnchor>
    <xdr:from>
      <xdr:col>6</xdr:col>
      <xdr:colOff>435349</xdr:colOff>
      <xdr:row>14</xdr:row>
      <xdr:rowOff>94689</xdr:rowOff>
    </xdr:from>
    <xdr:to>
      <xdr:col>8</xdr:col>
      <xdr:colOff>358588</xdr:colOff>
      <xdr:row>16</xdr:row>
      <xdr:rowOff>66114</xdr:rowOff>
    </xdr:to>
    <xdr:sp macro="" textlink="">
      <xdr:nvSpPr>
        <xdr:cNvPr id="33" name="吹き出し: 四角形 32">
          <a:extLst>
            <a:ext uri="{FF2B5EF4-FFF2-40B4-BE49-F238E27FC236}">
              <a16:creationId xmlns:a16="http://schemas.microsoft.com/office/drawing/2014/main" id="{00000000-0008-0000-0900-000021000000}"/>
            </a:ext>
          </a:extLst>
        </xdr:cNvPr>
        <xdr:cNvSpPr/>
      </xdr:nvSpPr>
      <xdr:spPr>
        <a:xfrm>
          <a:off x="4536702" y="2447924"/>
          <a:ext cx="1290357" cy="307602"/>
        </a:xfrm>
        <a:prstGeom prst="wedgeRectCallout">
          <a:avLst>
            <a:gd name="adj1" fmla="val -63975"/>
            <a:gd name="adj2" fmla="val -4779"/>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t>事業場名</a:t>
          </a:r>
        </a:p>
      </xdr:txBody>
    </xdr:sp>
    <xdr:clientData/>
  </xdr:twoCellAnchor>
  <xdr:twoCellAnchor>
    <xdr:from>
      <xdr:col>2</xdr:col>
      <xdr:colOff>16193</xdr:colOff>
      <xdr:row>39</xdr:row>
      <xdr:rowOff>59811</xdr:rowOff>
    </xdr:from>
    <xdr:to>
      <xdr:col>6</xdr:col>
      <xdr:colOff>181448</xdr:colOff>
      <xdr:row>41</xdr:row>
      <xdr:rowOff>34597</xdr:rowOff>
    </xdr:to>
    <xdr:sp macro="" textlink="">
      <xdr:nvSpPr>
        <xdr:cNvPr id="35" name="四角形: 角を丸くする 34">
          <a:extLst>
            <a:ext uri="{FF2B5EF4-FFF2-40B4-BE49-F238E27FC236}">
              <a16:creationId xmlns:a16="http://schemas.microsoft.com/office/drawing/2014/main" id="{00000000-0008-0000-0900-000023000000}"/>
            </a:ext>
          </a:extLst>
        </xdr:cNvPr>
        <xdr:cNvSpPr/>
      </xdr:nvSpPr>
      <xdr:spPr>
        <a:xfrm>
          <a:off x="1383311" y="6615252"/>
          <a:ext cx="2899490" cy="310963"/>
        </a:xfrm>
        <a:prstGeom prst="roundRect">
          <a:avLst/>
        </a:prstGeom>
        <a:solidFill>
          <a:schemeClr val="bg1"/>
        </a:solidFill>
        <a:ln w="28575">
          <a:solidFill>
            <a:schemeClr val="accent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solidFill>
                <a:sysClr val="windowText" lastClr="000000"/>
              </a:solidFill>
            </a:rPr>
            <a:t>自動車整備士技能検定合格証明書</a:t>
          </a:r>
        </a:p>
      </xdr:txBody>
    </xdr:sp>
    <xdr:clientData/>
  </xdr:twoCellAnchor>
  <xdr:twoCellAnchor>
    <xdr:from>
      <xdr:col>7</xdr:col>
      <xdr:colOff>431427</xdr:colOff>
      <xdr:row>39</xdr:row>
      <xdr:rowOff>59811</xdr:rowOff>
    </xdr:from>
    <xdr:to>
      <xdr:col>11</xdr:col>
      <xdr:colOff>593912</xdr:colOff>
      <xdr:row>41</xdr:row>
      <xdr:rowOff>34597</xdr:rowOff>
    </xdr:to>
    <xdr:sp macro="" textlink="">
      <xdr:nvSpPr>
        <xdr:cNvPr id="36" name="四角形: 角を丸くする 35">
          <a:extLst>
            <a:ext uri="{FF2B5EF4-FFF2-40B4-BE49-F238E27FC236}">
              <a16:creationId xmlns:a16="http://schemas.microsoft.com/office/drawing/2014/main" id="{00000000-0008-0000-0900-000024000000}"/>
            </a:ext>
          </a:extLst>
        </xdr:cNvPr>
        <xdr:cNvSpPr/>
      </xdr:nvSpPr>
      <xdr:spPr>
        <a:xfrm>
          <a:off x="5216339" y="6615252"/>
          <a:ext cx="2896720" cy="310963"/>
        </a:xfrm>
        <a:prstGeom prst="roundRect">
          <a:avLst/>
        </a:prstGeom>
        <a:solidFill>
          <a:schemeClr val="bg1"/>
        </a:solidFill>
        <a:ln w="28575">
          <a:solidFill>
            <a:schemeClr val="accent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solidFill>
                <a:sysClr val="windowText" lastClr="000000"/>
              </a:solidFill>
            </a:rPr>
            <a:t>自動車整備技能者手帳</a:t>
          </a:r>
        </a:p>
      </xdr:txBody>
    </xdr:sp>
    <xdr:clientData/>
  </xdr:twoCellAnchor>
  <xdr:twoCellAnchor>
    <xdr:from>
      <xdr:col>5</xdr:col>
      <xdr:colOff>662268</xdr:colOff>
      <xdr:row>48</xdr:row>
      <xdr:rowOff>61772</xdr:rowOff>
    </xdr:from>
    <xdr:to>
      <xdr:col>7</xdr:col>
      <xdr:colOff>309843</xdr:colOff>
      <xdr:row>51</xdr:row>
      <xdr:rowOff>128447</xdr:rowOff>
    </xdr:to>
    <xdr:sp macro="" textlink="">
      <xdr:nvSpPr>
        <xdr:cNvPr id="39" name="四角形: 角を丸くする 38">
          <a:extLst>
            <a:ext uri="{FF2B5EF4-FFF2-40B4-BE49-F238E27FC236}">
              <a16:creationId xmlns:a16="http://schemas.microsoft.com/office/drawing/2014/main" id="{00000000-0008-0000-0900-000027000000}"/>
            </a:ext>
          </a:extLst>
        </xdr:cNvPr>
        <xdr:cNvSpPr/>
      </xdr:nvSpPr>
      <xdr:spPr>
        <a:xfrm>
          <a:off x="4080062" y="8130007"/>
          <a:ext cx="1014693" cy="570940"/>
        </a:xfrm>
        <a:prstGeom prst="round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en-US" altLang="ja-JP" sz="3600" b="1">
              <a:solidFill>
                <a:sysClr val="windowText" lastClr="000000"/>
              </a:solidFill>
            </a:rPr>
            <a:t>OR</a:t>
          </a:r>
          <a:endParaRPr kumimoji="1" lang="ja-JP" altLang="en-US" sz="3600" b="1">
            <a:solidFill>
              <a:sysClr val="windowText" lastClr="000000"/>
            </a:solidFill>
          </a:endParaRPr>
        </a:p>
      </xdr:txBody>
    </xdr:sp>
    <xdr:clientData/>
  </xdr:twoCellAnchor>
  <xdr:twoCellAnchor>
    <xdr:from>
      <xdr:col>9</xdr:col>
      <xdr:colOff>588306</xdr:colOff>
      <xdr:row>8</xdr:row>
      <xdr:rowOff>164168</xdr:rowOff>
    </xdr:from>
    <xdr:to>
      <xdr:col>18</xdr:col>
      <xdr:colOff>324970</xdr:colOff>
      <xdr:row>22</xdr:row>
      <xdr:rowOff>22412</xdr:rowOff>
    </xdr:to>
    <xdr:sp macro="" textlink="">
      <xdr:nvSpPr>
        <xdr:cNvPr id="22" name="正方形/長方形 21">
          <a:extLst>
            <a:ext uri="{FF2B5EF4-FFF2-40B4-BE49-F238E27FC236}">
              <a16:creationId xmlns:a16="http://schemas.microsoft.com/office/drawing/2014/main" id="{00000000-0008-0000-0900-000016000000}"/>
            </a:ext>
          </a:extLst>
        </xdr:cNvPr>
        <xdr:cNvSpPr/>
      </xdr:nvSpPr>
      <xdr:spPr>
        <a:xfrm>
          <a:off x="6740335" y="1508874"/>
          <a:ext cx="5888694" cy="221147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Ins="0" rtlCol="0" anchor="ctr"/>
        <a:lstStyle/>
        <a:p>
          <a:pPr algn="l"/>
          <a:r>
            <a:rPr kumimoji="1" lang="ja-JP" altLang="en-US" sz="2000">
              <a:solidFill>
                <a:sysClr val="windowText" lastClr="000000"/>
              </a:solidFill>
              <a:latin typeface="+mj-ea"/>
              <a:ea typeface="+mj-ea"/>
            </a:rPr>
            <a:t>　</a:t>
          </a:r>
          <a:r>
            <a:rPr kumimoji="1" lang="en-US" altLang="ja-JP" sz="2000">
              <a:solidFill>
                <a:sysClr val="windowText" lastClr="000000"/>
              </a:solidFill>
              <a:latin typeface="+mj-ea"/>
              <a:ea typeface="+mj-ea"/>
            </a:rPr>
            <a:t>※</a:t>
          </a:r>
          <a:r>
            <a:rPr kumimoji="1" lang="ja-JP" altLang="en-US" sz="2000">
              <a:solidFill>
                <a:sysClr val="windowText" lastClr="000000"/>
              </a:solidFill>
              <a:latin typeface="+mj-ea"/>
              <a:ea typeface="+mj-ea"/>
            </a:rPr>
            <a:t>認証書・指定書・認定書の</a:t>
          </a:r>
          <a:endParaRPr kumimoji="1" lang="en-US" altLang="ja-JP" sz="2000">
            <a:solidFill>
              <a:sysClr val="windowText" lastClr="000000"/>
            </a:solidFill>
            <a:latin typeface="+mj-ea"/>
            <a:ea typeface="+mj-ea"/>
          </a:endParaRPr>
        </a:p>
        <a:p>
          <a:pPr algn="l"/>
          <a:r>
            <a:rPr kumimoji="1" lang="ja-JP" altLang="en-US" sz="2000">
              <a:solidFill>
                <a:sysClr val="windowText" lastClr="000000"/>
              </a:solidFill>
              <a:latin typeface="+mj-ea"/>
              <a:ea typeface="+mj-ea"/>
            </a:rPr>
            <a:t>　　</a:t>
          </a:r>
          <a:r>
            <a:rPr kumimoji="1" lang="ja-JP" altLang="en-US" sz="2000" baseline="0">
              <a:solidFill>
                <a:sysClr val="windowText" lastClr="000000"/>
              </a:solidFill>
              <a:latin typeface="+mj-ea"/>
              <a:ea typeface="+mj-ea"/>
            </a:rPr>
            <a:t> </a:t>
          </a:r>
          <a:r>
            <a:rPr kumimoji="1" lang="ja-JP" altLang="en-US" sz="2000">
              <a:solidFill>
                <a:sysClr val="windowText" lastClr="000000"/>
              </a:solidFill>
              <a:latin typeface="+mj-ea"/>
              <a:ea typeface="+mj-ea"/>
            </a:rPr>
            <a:t>情報が古い場合は、</a:t>
          </a:r>
          <a:endParaRPr kumimoji="1" lang="en-US" altLang="ja-JP" sz="2000">
            <a:solidFill>
              <a:sysClr val="windowText" lastClr="000000"/>
            </a:solidFill>
            <a:latin typeface="+mj-ea"/>
            <a:ea typeface="+mj-ea"/>
          </a:endParaRPr>
        </a:p>
        <a:p>
          <a:pPr algn="l"/>
          <a:r>
            <a:rPr kumimoji="1" lang="ja-JP" altLang="en-US" sz="2000">
              <a:solidFill>
                <a:sysClr val="windowText" lastClr="000000"/>
              </a:solidFill>
              <a:latin typeface="+mj-ea"/>
              <a:ea typeface="+mj-ea"/>
            </a:rPr>
            <a:t>　　</a:t>
          </a:r>
          <a:r>
            <a:rPr kumimoji="1" lang="ja-JP" altLang="en-US" sz="2000" baseline="0">
              <a:solidFill>
                <a:sysClr val="windowText" lastClr="000000"/>
              </a:solidFill>
              <a:latin typeface="+mj-ea"/>
              <a:ea typeface="+mj-ea"/>
            </a:rPr>
            <a:t> </a:t>
          </a:r>
          <a:r>
            <a:rPr kumimoji="1" lang="ja-JP" altLang="en-US" sz="2000">
              <a:solidFill>
                <a:sysClr val="windowText" lastClr="000000"/>
              </a:solidFill>
              <a:latin typeface="+mj-ea"/>
              <a:ea typeface="+mj-ea"/>
            </a:rPr>
            <a:t>変更届や証明願に記載されている</a:t>
          </a:r>
          <a:endParaRPr kumimoji="1" lang="en-US" altLang="ja-JP" sz="2000">
            <a:solidFill>
              <a:sysClr val="windowText" lastClr="000000"/>
            </a:solidFill>
            <a:latin typeface="+mj-ea"/>
            <a:ea typeface="+mj-ea"/>
          </a:endParaRPr>
        </a:p>
        <a:p>
          <a:pPr algn="l"/>
          <a:r>
            <a:rPr kumimoji="1" lang="ja-JP" altLang="en-US" sz="2000">
              <a:solidFill>
                <a:sysClr val="windowText" lastClr="000000"/>
              </a:solidFill>
              <a:latin typeface="+mj-ea"/>
              <a:ea typeface="+mj-ea"/>
            </a:rPr>
            <a:t>　　 </a:t>
          </a:r>
          <a:r>
            <a:rPr kumimoji="1" lang="ja-JP" altLang="en-US" sz="2000" b="1">
              <a:solidFill>
                <a:srgbClr val="FF0000"/>
              </a:solidFill>
              <a:latin typeface="+mj-ea"/>
              <a:ea typeface="+mj-ea"/>
            </a:rPr>
            <a:t>最新の情報</a:t>
          </a:r>
          <a:r>
            <a:rPr kumimoji="1" lang="ja-JP" altLang="en-US" sz="2000">
              <a:solidFill>
                <a:sysClr val="windowText" lastClr="000000"/>
              </a:solidFill>
              <a:latin typeface="+mj-ea"/>
              <a:ea typeface="+mj-ea"/>
            </a:rPr>
            <a:t>を入力してください。</a:t>
          </a:r>
          <a:endParaRPr kumimoji="1" lang="en-US" altLang="ja-JP" sz="2000">
            <a:solidFill>
              <a:sysClr val="windowText" lastClr="000000"/>
            </a:solidFill>
            <a:latin typeface="+mj-ea"/>
            <a:ea typeface="+mj-ea"/>
          </a:endParaRPr>
        </a:p>
      </xdr:txBody>
    </xdr:sp>
    <xdr:clientData/>
  </xdr:twoCellAnchor>
  <xdr:twoCellAnchor>
    <xdr:from>
      <xdr:col>5</xdr:col>
      <xdr:colOff>375957</xdr:colOff>
      <xdr:row>21</xdr:row>
      <xdr:rowOff>109818</xdr:rowOff>
    </xdr:from>
    <xdr:to>
      <xdr:col>9</xdr:col>
      <xdr:colOff>56030</xdr:colOff>
      <xdr:row>23</xdr:row>
      <xdr:rowOff>81243</xdr:rowOff>
    </xdr:to>
    <xdr:sp macro="" textlink="">
      <xdr:nvSpPr>
        <xdr:cNvPr id="30" name="吹き出し: 四角形 29">
          <a:extLst>
            <a:ext uri="{FF2B5EF4-FFF2-40B4-BE49-F238E27FC236}">
              <a16:creationId xmlns:a16="http://schemas.microsoft.com/office/drawing/2014/main" id="{00000000-0008-0000-0900-00001E000000}"/>
            </a:ext>
          </a:extLst>
        </xdr:cNvPr>
        <xdr:cNvSpPr/>
      </xdr:nvSpPr>
      <xdr:spPr>
        <a:xfrm>
          <a:off x="3793751" y="3639671"/>
          <a:ext cx="2414308" cy="307601"/>
        </a:xfrm>
        <a:prstGeom prst="wedgeRectCallout">
          <a:avLst>
            <a:gd name="adj1" fmla="val -58744"/>
            <a:gd name="adj2" fmla="val 5537"/>
          </a:avLst>
        </a:prstGeom>
        <a:solidFill>
          <a:schemeClr val="accent5">
            <a:lumMod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100"/>
            <a:t>認証番号・指定番号・認定番号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ACE71-D8F0-44FD-A6F6-AB5D6E5F8A6D}">
  <sheetPr codeName="Sheet1">
    <pageSetUpPr fitToPage="1"/>
  </sheetPr>
  <dimension ref="A1:AA296"/>
  <sheetViews>
    <sheetView showGridLines="0" tabSelected="1" workbookViewId="0">
      <selection activeCell="F12" sqref="F12:H12"/>
    </sheetView>
  </sheetViews>
  <sheetFormatPr defaultRowHeight="13.5" x14ac:dyDescent="0.15"/>
  <cols>
    <col min="1" max="2" width="0.875" style="151" customWidth="1"/>
    <col min="3" max="3" width="3.625" style="151" customWidth="1"/>
    <col min="4" max="4" width="12.625" style="151" customWidth="1"/>
    <col min="5" max="5" width="2.625" style="151" customWidth="1"/>
    <col min="6" max="6" width="12.625" style="151" customWidth="1"/>
    <col min="7" max="7" width="2.625" style="151" customWidth="1"/>
    <col min="8" max="8" width="12.625" style="151" customWidth="1"/>
    <col min="9" max="9" width="2.625" style="151" customWidth="1"/>
    <col min="10" max="10" width="12.625" style="151" customWidth="1"/>
    <col min="11" max="11" width="2.625" style="151" customWidth="1"/>
    <col min="12" max="12" width="12.625" style="151" customWidth="1"/>
    <col min="13" max="13" width="2.625" style="151" customWidth="1"/>
    <col min="14" max="14" width="12.625" style="151" customWidth="1"/>
    <col min="15" max="15" width="2.625" style="151" customWidth="1"/>
    <col min="16" max="16" width="12.625" style="151" customWidth="1"/>
    <col min="17" max="17" width="2.625" style="151" customWidth="1"/>
    <col min="18" max="18" width="12.625" style="151" customWidth="1"/>
    <col min="19" max="19" width="2.625" style="151" customWidth="1"/>
    <col min="20" max="20" width="12.625" style="151" customWidth="1"/>
    <col min="21" max="21" width="2.625" style="151" customWidth="1"/>
    <col min="22" max="22" width="12.625" style="151" customWidth="1"/>
    <col min="23" max="23" width="2.625" style="151" customWidth="1"/>
    <col min="24" max="24" width="2.375" style="151" customWidth="1"/>
    <col min="25" max="25" width="8.375" style="152" hidden="1" customWidth="1"/>
    <col min="26" max="26" width="9" style="152" hidden="1" customWidth="1"/>
    <col min="27" max="27" width="87.5" style="295" customWidth="1"/>
    <col min="28" max="28" width="9.5" style="151" bestFit="1" customWidth="1"/>
    <col min="29" max="16384" width="9" style="151"/>
  </cols>
  <sheetData>
    <row r="1" spans="2:27" x14ac:dyDescent="0.15">
      <c r="B1" s="151">
        <v>1</v>
      </c>
    </row>
    <row r="2" spans="2:27" ht="30" customHeight="1" x14ac:dyDescent="0.15">
      <c r="B2" s="1" t="s">
        <v>0</v>
      </c>
      <c r="C2" s="1"/>
      <c r="D2" s="1"/>
      <c r="E2" s="1"/>
      <c r="F2" s="1"/>
      <c r="G2" s="1"/>
      <c r="H2" s="1"/>
      <c r="I2" s="1"/>
      <c r="J2" s="1"/>
      <c r="K2" s="1"/>
      <c r="L2" s="1"/>
      <c r="M2" s="1"/>
      <c r="N2" s="1"/>
      <c r="O2" s="1"/>
      <c r="P2" s="1"/>
      <c r="Q2" s="1"/>
      <c r="R2" s="1"/>
      <c r="S2" s="1"/>
      <c r="T2" s="1"/>
      <c r="U2" s="1"/>
      <c r="V2" s="1"/>
      <c r="W2" s="1"/>
      <c r="Y2" s="153" t="s">
        <v>1</v>
      </c>
      <c r="Z2" s="153"/>
    </row>
    <row r="3" spans="2:27" x14ac:dyDescent="0.15">
      <c r="W3" s="162" t="s">
        <v>2</v>
      </c>
      <c r="Y3" s="152" t="s">
        <v>3</v>
      </c>
    </row>
    <row r="4" spans="2:27" hidden="1" x14ac:dyDescent="0.15">
      <c r="D4" s="154" t="s">
        <v>4</v>
      </c>
    </row>
    <row r="5" spans="2:27" s="148" customFormat="1" ht="5.0999999999999996" hidden="1" customHeight="1" x14ac:dyDescent="0.15">
      <c r="D5" s="155"/>
      <c r="Y5" s="152"/>
      <c r="Z5" s="152"/>
      <c r="AA5" s="295"/>
    </row>
    <row r="6" spans="2:27" hidden="1" x14ac:dyDescent="0.15">
      <c r="D6" s="154" t="s">
        <v>5</v>
      </c>
    </row>
    <row r="7" spans="2:27" hidden="1" x14ac:dyDescent="0.15"/>
    <row r="9" spans="2:27" x14ac:dyDescent="0.15">
      <c r="B9" s="156"/>
      <c r="C9" s="156"/>
      <c r="D9" s="156"/>
      <c r="E9" s="156"/>
      <c r="F9" s="156"/>
      <c r="G9" s="156"/>
      <c r="H9" s="156"/>
      <c r="I9" s="156"/>
      <c r="J9" s="156"/>
      <c r="K9" s="156"/>
      <c r="L9" s="156"/>
      <c r="M9" s="156"/>
      <c r="N9" s="156"/>
      <c r="O9" s="156"/>
      <c r="P9" s="156"/>
      <c r="Q9" s="156"/>
      <c r="R9" s="156"/>
      <c r="S9" s="156"/>
      <c r="T9" s="156"/>
      <c r="U9" s="156"/>
      <c r="V9" s="156"/>
      <c r="W9" s="156"/>
    </row>
    <row r="10" spans="2:27" x14ac:dyDescent="0.15">
      <c r="B10" s="156"/>
      <c r="C10" s="156" t="s">
        <v>6</v>
      </c>
      <c r="D10" s="156"/>
      <c r="E10" s="156"/>
      <c r="F10" s="156"/>
      <c r="G10" s="156"/>
      <c r="H10" s="156"/>
      <c r="I10" s="156"/>
      <c r="J10" s="156"/>
      <c r="K10" s="156"/>
      <c r="L10" s="156"/>
      <c r="M10" s="156"/>
      <c r="N10" s="156"/>
      <c r="O10" s="156"/>
      <c r="P10" s="156"/>
      <c r="Q10" s="156"/>
      <c r="R10" s="156"/>
      <c r="S10" s="156"/>
      <c r="T10" s="156"/>
      <c r="U10" s="156"/>
      <c r="V10" s="156"/>
      <c r="W10" s="156"/>
    </row>
    <row r="11" spans="2:27" ht="14.25" thickBot="1" x14ac:dyDescent="0.2">
      <c r="B11" s="156"/>
      <c r="C11" s="156"/>
      <c r="D11" s="156"/>
      <c r="E11" s="156"/>
      <c r="F11" s="156"/>
      <c r="G11" s="156"/>
      <c r="H11" s="156"/>
      <c r="I11" s="156"/>
      <c r="J11" s="156"/>
      <c r="K11" s="156"/>
      <c r="L11" s="156"/>
      <c r="M11" s="156"/>
      <c r="N11" s="156"/>
      <c r="O11" s="156"/>
      <c r="P11" s="156"/>
      <c r="Q11" s="156"/>
      <c r="R11" s="156"/>
      <c r="S11" s="156"/>
      <c r="T11" s="156"/>
      <c r="U11" s="156"/>
      <c r="V11" s="156"/>
      <c r="W11" s="156"/>
    </row>
    <row r="12" spans="2:27" ht="18" customHeight="1" thickBot="1" x14ac:dyDescent="0.2">
      <c r="B12" s="156"/>
      <c r="C12" s="157" t="s">
        <v>7</v>
      </c>
      <c r="D12" s="156" t="s">
        <v>8</v>
      </c>
      <c r="E12" s="156"/>
      <c r="F12" s="318"/>
      <c r="G12" s="319"/>
      <c r="H12" s="320"/>
      <c r="I12" s="156"/>
      <c r="J12" s="156"/>
      <c r="K12" s="156"/>
      <c r="L12" s="156" t="s">
        <v>9</v>
      </c>
      <c r="M12" s="156"/>
      <c r="N12" s="156"/>
      <c r="O12" s="156"/>
      <c r="P12" s="156"/>
      <c r="Q12" s="156"/>
      <c r="R12" s="156"/>
      <c r="S12" s="156"/>
      <c r="T12" s="156"/>
      <c r="U12" s="156"/>
      <c r="V12" s="156"/>
      <c r="W12" s="156"/>
      <c r="Y12" s="152">
        <f>IF(F12="法人",1,IF(F12="個人事業主",2,0))</f>
        <v>0</v>
      </c>
      <c r="AA12" s="295" t="str">
        <f ca="1">中間シート!X3</f>
        <v>どちらかを選択してください。</v>
      </c>
    </row>
    <row r="13" spans="2:27" x14ac:dyDescent="0.15">
      <c r="B13" s="156"/>
      <c r="C13" s="156"/>
      <c r="D13" s="156"/>
      <c r="E13" s="156"/>
      <c r="F13" s="156"/>
      <c r="G13" s="156"/>
      <c r="H13" s="156"/>
      <c r="I13" s="156"/>
      <c r="J13" s="156"/>
      <c r="K13" s="156"/>
      <c r="L13" s="156"/>
      <c r="M13" s="156"/>
      <c r="N13" s="156"/>
      <c r="O13" s="156"/>
      <c r="P13" s="156"/>
      <c r="Q13" s="156"/>
      <c r="R13" s="156"/>
      <c r="S13" s="156"/>
      <c r="T13" s="156"/>
      <c r="U13" s="156"/>
      <c r="V13" s="156"/>
      <c r="W13" s="156"/>
    </row>
    <row r="14" spans="2:27" x14ac:dyDescent="0.15">
      <c r="B14" s="156"/>
      <c r="C14" s="156"/>
      <c r="D14" s="156"/>
      <c r="E14" s="156"/>
      <c r="F14" s="156"/>
      <c r="G14" s="156"/>
      <c r="H14" s="156"/>
      <c r="I14" s="156"/>
      <c r="J14" s="156"/>
      <c r="K14" s="156"/>
      <c r="L14" s="156" t="s">
        <v>10</v>
      </c>
      <c r="M14" s="156"/>
      <c r="N14" s="156"/>
      <c r="O14" s="156"/>
      <c r="P14" s="156"/>
      <c r="Q14" s="156"/>
      <c r="R14" s="156"/>
      <c r="S14" s="156"/>
      <c r="T14" s="156"/>
      <c r="U14" s="156"/>
      <c r="V14" s="156"/>
      <c r="W14" s="156"/>
    </row>
    <row r="15" spans="2:27" x14ac:dyDescent="0.15">
      <c r="B15" s="156"/>
      <c r="C15" s="156"/>
      <c r="D15" s="156"/>
      <c r="E15" s="156"/>
      <c r="F15" s="156"/>
      <c r="G15" s="156"/>
      <c r="H15" s="156"/>
      <c r="I15" s="156"/>
      <c r="J15" s="156"/>
      <c r="K15" s="156"/>
      <c r="L15" s="156"/>
      <c r="M15" s="156"/>
      <c r="N15" s="156"/>
      <c r="O15" s="156"/>
      <c r="P15" s="156"/>
      <c r="Q15" s="156"/>
      <c r="R15" s="156"/>
      <c r="S15" s="156"/>
      <c r="T15" s="156"/>
      <c r="U15" s="156"/>
      <c r="V15" s="156"/>
      <c r="W15" s="156"/>
    </row>
    <row r="17" spans="1:27" s="158" customFormat="1" x14ac:dyDescent="0.15">
      <c r="C17" s="158" t="s">
        <v>11</v>
      </c>
      <c r="Y17" s="152"/>
      <c r="Z17" s="152"/>
      <c r="AA17" s="300"/>
    </row>
    <row r="18" spans="1:27" s="148" customFormat="1" ht="5.0999999999999996" customHeight="1" x14ac:dyDescent="0.15">
      <c r="Y18" s="152"/>
      <c r="Z18" s="152"/>
      <c r="AA18" s="295"/>
    </row>
    <row r="19" spans="1:27" x14ac:dyDescent="0.15">
      <c r="C19" s="151" t="s">
        <v>12</v>
      </c>
    </row>
    <row r="20" spans="1:27" ht="14.25" thickBot="1" x14ac:dyDescent="0.2"/>
    <row r="21" spans="1:27" ht="14.25" thickBot="1" x14ac:dyDescent="0.2">
      <c r="C21" s="344"/>
      <c r="D21" s="345"/>
      <c r="F21" s="151" t="s">
        <v>13</v>
      </c>
    </row>
    <row r="22" spans="1:27" s="148" customFormat="1" ht="5.0999999999999996" customHeight="1" thickBot="1" x14ac:dyDescent="0.2">
      <c r="Y22" s="152"/>
      <c r="Z22" s="152"/>
      <c r="AA22" s="295"/>
    </row>
    <row r="23" spans="1:27" ht="14.25" thickBot="1" x14ac:dyDescent="0.2">
      <c r="C23" s="346"/>
      <c r="D23" s="347"/>
      <c r="F23" s="151" t="s">
        <v>14</v>
      </c>
    </row>
    <row r="24" spans="1:27" s="148" customFormat="1" ht="5.0999999999999996" customHeight="1" x14ac:dyDescent="0.15">
      <c r="Y24" s="152"/>
      <c r="Z24" s="152"/>
      <c r="AA24" s="295"/>
    </row>
    <row r="26" spans="1:27" s="148" customFormat="1" ht="5.0999999999999996" customHeight="1" x14ac:dyDescent="0.15">
      <c r="B26" s="159"/>
      <c r="C26" s="159"/>
      <c r="D26" s="159"/>
      <c r="E26" s="159"/>
      <c r="F26" s="159"/>
      <c r="G26" s="159"/>
      <c r="H26" s="159"/>
      <c r="I26" s="159"/>
      <c r="J26" s="159"/>
      <c r="K26" s="159"/>
      <c r="L26" s="159"/>
      <c r="M26" s="159"/>
      <c r="N26" s="159"/>
      <c r="O26" s="159"/>
      <c r="P26" s="159"/>
      <c r="Q26" s="159"/>
      <c r="R26" s="159"/>
      <c r="S26" s="159"/>
      <c r="T26" s="159"/>
      <c r="U26" s="159"/>
      <c r="V26" s="159"/>
      <c r="W26" s="159"/>
      <c r="Y26" s="160"/>
      <c r="Z26" s="160"/>
      <c r="AA26" s="295"/>
    </row>
    <row r="27" spans="1:27" x14ac:dyDescent="0.15">
      <c r="B27" s="161"/>
      <c r="C27" s="161" t="s">
        <v>15</v>
      </c>
      <c r="D27" s="161"/>
      <c r="E27" s="161"/>
      <c r="F27" s="161"/>
      <c r="G27" s="161"/>
      <c r="H27" s="161"/>
      <c r="I27" s="161"/>
      <c r="J27" s="161"/>
      <c r="K27" s="161"/>
      <c r="L27" s="161"/>
      <c r="M27" s="161"/>
      <c r="N27" s="161"/>
      <c r="O27" s="161"/>
      <c r="P27" s="161"/>
      <c r="Q27" s="161"/>
      <c r="R27" s="161"/>
      <c r="S27" s="161"/>
      <c r="T27" s="161"/>
      <c r="U27" s="161"/>
      <c r="V27" s="161"/>
      <c r="W27" s="161"/>
    </row>
    <row r="28" spans="1:27" s="148" customFormat="1" ht="5.0999999999999996" customHeight="1" x14ac:dyDescent="0.15">
      <c r="B28" s="159"/>
      <c r="C28" s="159"/>
      <c r="D28" s="159"/>
      <c r="E28" s="159"/>
      <c r="F28" s="159"/>
      <c r="G28" s="159"/>
      <c r="H28" s="159"/>
      <c r="I28" s="159"/>
      <c r="J28" s="159"/>
      <c r="K28" s="159"/>
      <c r="L28" s="159"/>
      <c r="M28" s="159"/>
      <c r="N28" s="159"/>
      <c r="O28" s="159"/>
      <c r="P28" s="159"/>
      <c r="Q28" s="159"/>
      <c r="R28" s="159"/>
      <c r="S28" s="159"/>
      <c r="T28" s="159"/>
      <c r="U28" s="159"/>
      <c r="V28" s="159"/>
      <c r="W28" s="159"/>
      <c r="Y28" s="160"/>
      <c r="Z28" s="160"/>
      <c r="AA28" s="295"/>
    </row>
    <row r="29" spans="1:27" ht="14.25" thickBot="1" x14ac:dyDescent="0.2">
      <c r="A29" s="162"/>
      <c r="B29" s="161"/>
      <c r="C29" s="163"/>
      <c r="D29" s="163"/>
      <c r="E29" s="163"/>
      <c r="F29" s="161"/>
      <c r="G29" s="161"/>
      <c r="H29" s="161"/>
      <c r="I29" s="161"/>
      <c r="J29" s="161"/>
      <c r="K29" s="161"/>
      <c r="L29" s="161"/>
      <c r="M29" s="161"/>
      <c r="N29" s="161"/>
      <c r="O29" s="161"/>
      <c r="P29" s="161"/>
      <c r="Q29" s="161"/>
      <c r="R29" s="161"/>
      <c r="S29" s="161"/>
      <c r="T29" s="161"/>
      <c r="U29" s="161"/>
      <c r="V29" s="161"/>
      <c r="W29" s="161"/>
    </row>
    <row r="30" spans="1:27" ht="18" customHeight="1" thickBot="1" x14ac:dyDescent="0.2">
      <c r="B30" s="161"/>
      <c r="C30" s="161"/>
      <c r="D30" s="164" t="s">
        <v>16</v>
      </c>
      <c r="E30" s="161"/>
      <c r="F30" s="348"/>
      <c r="G30" s="349"/>
      <c r="H30" s="350"/>
      <c r="I30" s="161"/>
      <c r="J30" s="161" t="s">
        <v>17</v>
      </c>
      <c r="K30" s="161"/>
      <c r="L30" s="161" t="s">
        <v>18</v>
      </c>
      <c r="M30" s="161"/>
      <c r="N30" s="161"/>
      <c r="O30" s="161"/>
      <c r="P30" s="161"/>
      <c r="Q30" s="161"/>
      <c r="R30" s="161"/>
      <c r="S30" s="161"/>
      <c r="T30" s="161"/>
      <c r="U30" s="161"/>
      <c r="V30" s="161"/>
      <c r="W30" s="161"/>
    </row>
    <row r="31" spans="1:27" s="148" customFormat="1" ht="5.0999999999999996" customHeight="1" x14ac:dyDescent="0.15">
      <c r="B31" s="159"/>
      <c r="C31" s="159"/>
      <c r="D31" s="159"/>
      <c r="E31" s="159"/>
      <c r="F31" s="159"/>
      <c r="G31" s="159"/>
      <c r="H31" s="159"/>
      <c r="I31" s="159"/>
      <c r="J31" s="159"/>
      <c r="K31" s="159"/>
      <c r="L31" s="159"/>
      <c r="M31" s="159"/>
      <c r="N31" s="159"/>
      <c r="O31" s="159"/>
      <c r="P31" s="159"/>
      <c r="Q31" s="159"/>
      <c r="R31" s="159"/>
      <c r="S31" s="159"/>
      <c r="T31" s="159"/>
      <c r="U31" s="159"/>
      <c r="V31" s="159"/>
      <c r="W31" s="159"/>
      <c r="Y31" s="160"/>
      <c r="Z31" s="160"/>
      <c r="AA31" s="295"/>
    </row>
    <row r="32" spans="1:27" s="148" customFormat="1" ht="5.0999999999999996" customHeight="1" x14ac:dyDescent="0.15">
      <c r="B32" s="159"/>
      <c r="C32" s="159"/>
      <c r="D32" s="159"/>
      <c r="E32" s="159"/>
      <c r="F32" s="159"/>
      <c r="G32" s="159"/>
      <c r="H32" s="159"/>
      <c r="I32" s="159"/>
      <c r="J32" s="159"/>
      <c r="K32" s="159"/>
      <c r="L32" s="159"/>
      <c r="M32" s="159"/>
      <c r="N32" s="159"/>
      <c r="O32" s="159"/>
      <c r="P32" s="159"/>
      <c r="Q32" s="159"/>
      <c r="R32" s="159"/>
      <c r="S32" s="159"/>
      <c r="T32" s="159"/>
      <c r="U32" s="159"/>
      <c r="V32" s="159"/>
      <c r="W32" s="159"/>
      <c r="Y32" s="160"/>
      <c r="Z32" s="160"/>
      <c r="AA32" s="295"/>
    </row>
    <row r="34" spans="1:27" s="148" customFormat="1" ht="5.0999999999999996" customHeight="1" x14ac:dyDescent="0.15">
      <c r="B34" s="165"/>
      <c r="C34" s="165"/>
      <c r="D34" s="165"/>
      <c r="E34" s="165"/>
      <c r="F34" s="165"/>
      <c r="G34" s="165"/>
      <c r="H34" s="165"/>
      <c r="I34" s="165"/>
      <c r="J34" s="165"/>
      <c r="K34" s="165"/>
      <c r="L34" s="165"/>
      <c r="M34" s="165"/>
      <c r="N34" s="165"/>
      <c r="O34" s="165"/>
      <c r="P34" s="165"/>
      <c r="Q34" s="165"/>
      <c r="R34" s="165"/>
      <c r="S34" s="165"/>
      <c r="T34" s="165"/>
      <c r="U34" s="165"/>
      <c r="V34" s="165"/>
      <c r="W34" s="165"/>
      <c r="Y34" s="160"/>
      <c r="Z34" s="160"/>
      <c r="AA34" s="295"/>
    </row>
    <row r="35" spans="1:27" x14ac:dyDescent="0.15">
      <c r="B35" s="166"/>
      <c r="C35" s="166" t="s">
        <v>19</v>
      </c>
      <c r="D35" s="166"/>
      <c r="E35" s="166"/>
      <c r="F35" s="166"/>
      <c r="G35" s="166"/>
      <c r="H35" s="166"/>
      <c r="I35" s="166"/>
      <c r="J35" s="166"/>
      <c r="K35" s="166"/>
      <c r="L35" s="166"/>
      <c r="M35" s="166"/>
      <c r="N35" s="166"/>
      <c r="O35" s="166"/>
      <c r="P35" s="166"/>
      <c r="Q35" s="166"/>
      <c r="R35" s="166"/>
      <c r="S35" s="166"/>
      <c r="T35" s="166"/>
      <c r="U35" s="166"/>
      <c r="V35" s="166"/>
      <c r="W35" s="166"/>
      <c r="AA35" s="307" t="str">
        <f ca="1">中間シート!X5</f>
        <v>文書作成日を入力してください。</v>
      </c>
    </row>
    <row r="36" spans="1:27" s="148" customFormat="1" ht="5.0999999999999996" customHeight="1" x14ac:dyDescent="0.15">
      <c r="B36" s="165"/>
      <c r="C36" s="165"/>
      <c r="D36" s="165"/>
      <c r="E36" s="165"/>
      <c r="F36" s="165"/>
      <c r="G36" s="165"/>
      <c r="H36" s="165"/>
      <c r="I36" s="165"/>
      <c r="J36" s="165"/>
      <c r="K36" s="165"/>
      <c r="L36" s="165"/>
      <c r="M36" s="165"/>
      <c r="N36" s="165"/>
      <c r="O36" s="165"/>
      <c r="P36" s="165"/>
      <c r="Q36" s="165"/>
      <c r="R36" s="165"/>
      <c r="S36" s="165"/>
      <c r="T36" s="165"/>
      <c r="U36" s="165"/>
      <c r="V36" s="165"/>
      <c r="W36" s="165"/>
      <c r="Y36" s="160"/>
      <c r="Z36" s="160"/>
      <c r="AA36" s="307"/>
    </row>
    <row r="37" spans="1:27" ht="14.25" thickBot="1" x14ac:dyDescent="0.2">
      <c r="B37" s="166"/>
      <c r="C37" s="165"/>
      <c r="D37" s="167"/>
      <c r="E37" s="166"/>
      <c r="F37" s="166"/>
      <c r="G37" s="166"/>
      <c r="H37" s="166"/>
      <c r="I37" s="166"/>
      <c r="J37" s="166"/>
      <c r="K37" s="166"/>
      <c r="L37" s="166"/>
      <c r="M37" s="166"/>
      <c r="N37" s="166"/>
      <c r="O37" s="166"/>
      <c r="P37" s="166"/>
      <c r="Q37" s="166"/>
      <c r="R37" s="166"/>
      <c r="S37" s="166"/>
      <c r="T37" s="166"/>
      <c r="U37" s="166"/>
      <c r="V37" s="166"/>
      <c r="W37" s="166"/>
      <c r="AA37" s="307"/>
    </row>
    <row r="38" spans="1:27" ht="18" customHeight="1" thickBot="1" x14ac:dyDescent="0.2">
      <c r="B38" s="166"/>
      <c r="C38" s="168" t="s">
        <v>7</v>
      </c>
      <c r="D38" s="166" t="s">
        <v>20</v>
      </c>
      <c r="E38" s="166"/>
      <c r="F38" s="324"/>
      <c r="G38" s="325"/>
      <c r="H38" s="326"/>
      <c r="I38" s="166"/>
      <c r="J38" s="166" t="str">
        <f ca="1">"　例）"&amp;TEXT(TODAY(),"ggge年m月d日")&amp;"の場合、【"&amp;TEXT(TODAY(),"YYYY/M/D")&amp;"】と入力"</f>
        <v>　例）令和4年9月1日の場合、【2022/9/1】と入力</v>
      </c>
      <c r="K38" s="166"/>
      <c r="L38" s="166"/>
      <c r="M38" s="166"/>
      <c r="N38" s="166"/>
      <c r="O38" s="166"/>
      <c r="P38" s="166"/>
      <c r="Q38" s="166"/>
      <c r="R38" s="166"/>
      <c r="S38" s="166"/>
      <c r="T38" s="166"/>
      <c r="U38" s="166"/>
      <c r="V38" s="166"/>
      <c r="W38" s="166"/>
      <c r="AA38" s="307"/>
    </row>
    <row r="39" spans="1:27" s="148" customFormat="1" ht="5.0999999999999996" customHeight="1" x14ac:dyDescent="0.15">
      <c r="B39" s="165"/>
      <c r="C39" s="165"/>
      <c r="D39" s="165"/>
      <c r="E39" s="165"/>
      <c r="F39" s="165"/>
      <c r="G39" s="165"/>
      <c r="H39" s="165"/>
      <c r="I39" s="165"/>
      <c r="J39" s="165"/>
      <c r="K39" s="165"/>
      <c r="L39" s="165"/>
      <c r="M39" s="165"/>
      <c r="N39" s="165"/>
      <c r="O39" s="165"/>
      <c r="P39" s="165"/>
      <c r="Q39" s="165"/>
      <c r="R39" s="165"/>
      <c r="S39" s="165"/>
      <c r="T39" s="165"/>
      <c r="U39" s="165"/>
      <c r="V39" s="165"/>
      <c r="W39" s="165"/>
      <c r="Y39" s="152"/>
      <c r="Z39" s="160"/>
      <c r="AA39" s="307"/>
    </row>
    <row r="40" spans="1:27" x14ac:dyDescent="0.15">
      <c r="B40" s="166"/>
      <c r="C40" s="166"/>
      <c r="D40" s="166" t="s">
        <v>21</v>
      </c>
      <c r="E40" s="166"/>
      <c r="F40" s="166"/>
      <c r="G40" s="166"/>
      <c r="H40" s="166"/>
      <c r="I40" s="166"/>
      <c r="J40" s="166"/>
      <c r="K40" s="166"/>
      <c r="L40" s="166"/>
      <c r="M40" s="166"/>
      <c r="N40" s="166"/>
      <c r="O40" s="166"/>
      <c r="P40" s="166"/>
      <c r="Q40" s="166"/>
      <c r="R40" s="166"/>
      <c r="S40" s="166"/>
      <c r="T40" s="166"/>
      <c r="U40" s="166"/>
      <c r="V40" s="166"/>
      <c r="W40" s="166"/>
      <c r="AA40" s="307"/>
    </row>
    <row r="41" spans="1:27" s="148" customFormat="1" ht="5.0999999999999996" customHeight="1" x14ac:dyDescent="0.15">
      <c r="B41" s="165"/>
      <c r="C41" s="165"/>
      <c r="D41" s="165"/>
      <c r="E41" s="165"/>
      <c r="F41" s="165"/>
      <c r="G41" s="165"/>
      <c r="H41" s="165"/>
      <c r="I41" s="165"/>
      <c r="J41" s="165"/>
      <c r="K41" s="165"/>
      <c r="L41" s="165"/>
      <c r="M41" s="165"/>
      <c r="N41" s="165"/>
      <c r="O41" s="165"/>
      <c r="P41" s="165"/>
      <c r="Q41" s="165"/>
      <c r="R41" s="165"/>
      <c r="S41" s="165"/>
      <c r="T41" s="165"/>
      <c r="U41" s="165"/>
      <c r="V41" s="165"/>
      <c r="W41" s="165"/>
      <c r="Y41" s="160"/>
      <c r="Z41" s="160"/>
      <c r="AA41" s="295"/>
    </row>
    <row r="43" spans="1:27" s="148" customFormat="1" ht="5.0999999999999996" customHeight="1" x14ac:dyDescent="0.15">
      <c r="B43" s="159"/>
      <c r="C43" s="159"/>
      <c r="D43" s="159"/>
      <c r="E43" s="159"/>
      <c r="F43" s="159"/>
      <c r="G43" s="159"/>
      <c r="H43" s="159"/>
      <c r="I43" s="159"/>
      <c r="J43" s="159"/>
      <c r="K43" s="159"/>
      <c r="L43" s="159"/>
      <c r="M43" s="159"/>
      <c r="N43" s="159"/>
      <c r="O43" s="159"/>
      <c r="P43" s="159"/>
      <c r="Q43" s="159"/>
      <c r="R43" s="159"/>
      <c r="S43" s="159"/>
      <c r="T43" s="159"/>
      <c r="U43" s="159"/>
      <c r="V43" s="159"/>
      <c r="W43" s="159"/>
      <c r="Y43" s="160"/>
      <c r="Z43" s="160"/>
      <c r="AA43" s="295"/>
    </row>
    <row r="44" spans="1:27" x14ac:dyDescent="0.15">
      <c r="B44" s="161"/>
      <c r="C44" s="161" t="str">
        <f>IF(Y12=2,"３．申請者の自宅住所、商号・屋号等、氏名、生年月日、性別を入力してください。","３．会社所在地、法人名、代表者の役職名、氏名、生年月日、性別を入力してください。")</f>
        <v>３．会社所在地、法人名、代表者の役職名、氏名、生年月日、性別を入力してください。</v>
      </c>
      <c r="D44" s="161"/>
      <c r="E44" s="161"/>
      <c r="F44" s="161"/>
      <c r="G44" s="161"/>
      <c r="H44" s="161"/>
      <c r="I44" s="161"/>
      <c r="J44" s="161"/>
      <c r="K44" s="161"/>
      <c r="L44" s="161"/>
      <c r="M44" s="161"/>
      <c r="N44" s="161"/>
      <c r="O44" s="161"/>
      <c r="P44" s="161"/>
      <c r="Q44" s="161"/>
      <c r="R44" s="161"/>
      <c r="S44" s="161"/>
      <c r="T44" s="161"/>
      <c r="U44" s="161"/>
      <c r="V44" s="161"/>
      <c r="W44" s="161"/>
    </row>
    <row r="45" spans="1:27" s="148" customFormat="1" ht="5.0999999999999996" customHeight="1" x14ac:dyDescent="0.15">
      <c r="B45" s="159"/>
      <c r="C45" s="159"/>
      <c r="D45" s="159"/>
      <c r="E45" s="159"/>
      <c r="F45" s="159"/>
      <c r="G45" s="159"/>
      <c r="H45" s="159"/>
      <c r="I45" s="159"/>
      <c r="J45" s="159"/>
      <c r="K45" s="159"/>
      <c r="L45" s="159"/>
      <c r="M45" s="159"/>
      <c r="N45" s="159"/>
      <c r="O45" s="159"/>
      <c r="P45" s="159"/>
      <c r="Q45" s="159"/>
      <c r="R45" s="159"/>
      <c r="S45" s="159"/>
      <c r="T45" s="159"/>
      <c r="U45" s="159"/>
      <c r="V45" s="159"/>
      <c r="W45" s="159"/>
      <c r="Y45" s="160"/>
      <c r="Z45" s="160"/>
      <c r="AA45" s="295"/>
    </row>
    <row r="46" spans="1:27" hidden="1" x14ac:dyDescent="0.15">
      <c r="B46" s="161"/>
      <c r="C46" s="161"/>
      <c r="D46" s="169" t="s">
        <v>22</v>
      </c>
      <c r="E46" s="161"/>
      <c r="F46" s="161"/>
      <c r="G46" s="161"/>
      <c r="H46" s="161"/>
      <c r="I46" s="161"/>
      <c r="J46" s="161"/>
      <c r="K46" s="161"/>
      <c r="L46" s="161"/>
      <c r="M46" s="161"/>
      <c r="N46" s="161"/>
      <c r="O46" s="161"/>
      <c r="P46" s="161"/>
      <c r="Q46" s="161"/>
      <c r="R46" s="161"/>
      <c r="S46" s="161"/>
      <c r="T46" s="161"/>
      <c r="U46" s="161"/>
      <c r="V46" s="161"/>
      <c r="W46" s="161"/>
    </row>
    <row r="47" spans="1:27" s="148" customFormat="1" ht="13.5" hidden="1" customHeight="1" x14ac:dyDescent="0.15">
      <c r="B47" s="161"/>
      <c r="C47" s="159"/>
      <c r="D47" s="294" t="s">
        <v>23</v>
      </c>
      <c r="E47" s="159"/>
      <c r="F47" s="159"/>
      <c r="G47" s="159"/>
      <c r="H47" s="159"/>
      <c r="I47" s="159"/>
      <c r="J47" s="159"/>
      <c r="K47" s="159"/>
      <c r="L47" s="159"/>
      <c r="M47" s="159"/>
      <c r="N47" s="159"/>
      <c r="O47" s="159"/>
      <c r="P47" s="161"/>
      <c r="Q47" s="161"/>
      <c r="R47" s="161"/>
      <c r="S47" s="161"/>
      <c r="T47" s="161"/>
      <c r="U47" s="161"/>
      <c r="V47" s="161"/>
      <c r="W47" s="161"/>
      <c r="Y47" s="160"/>
      <c r="Z47" s="160"/>
      <c r="AA47" s="295"/>
    </row>
    <row r="48" spans="1:27" x14ac:dyDescent="0.15">
      <c r="A48" s="162"/>
      <c r="B48" s="161"/>
      <c r="C48" s="163"/>
      <c r="D48" s="163"/>
      <c r="E48" s="163"/>
      <c r="F48" s="161"/>
      <c r="G48" s="161"/>
      <c r="H48" s="161"/>
      <c r="I48" s="161"/>
      <c r="J48" s="161"/>
      <c r="K48" s="161"/>
      <c r="L48" s="161"/>
      <c r="M48" s="161"/>
      <c r="N48" s="161"/>
      <c r="O48" s="161"/>
      <c r="P48" s="161"/>
      <c r="Q48" s="161"/>
      <c r="R48" s="161"/>
      <c r="S48" s="161"/>
      <c r="T48" s="161"/>
      <c r="U48" s="161"/>
      <c r="V48" s="161"/>
      <c r="W48" s="161"/>
    </row>
    <row r="49" spans="1:27" x14ac:dyDescent="0.15">
      <c r="B49" s="161"/>
      <c r="C49" s="161" t="str">
        <f>IF(Y12=1,"■会社所在地","■住所")</f>
        <v>■住所</v>
      </c>
      <c r="D49" s="163"/>
      <c r="E49" s="161"/>
      <c r="F49" s="161"/>
      <c r="G49" s="161"/>
      <c r="H49" s="161"/>
      <c r="I49" s="161"/>
      <c r="J49" s="161"/>
      <c r="K49" s="161"/>
      <c r="L49" s="161"/>
      <c r="M49" s="161"/>
      <c r="N49" s="161"/>
      <c r="O49" s="161"/>
      <c r="P49" s="159"/>
      <c r="Q49" s="161"/>
      <c r="R49" s="161"/>
      <c r="S49" s="161"/>
      <c r="T49" s="161"/>
      <c r="U49" s="161"/>
      <c r="V49" s="161"/>
      <c r="W49" s="161"/>
    </row>
    <row r="50" spans="1:27" s="148" customFormat="1" ht="5.0999999999999996" customHeight="1" thickBot="1" x14ac:dyDescent="0.2">
      <c r="B50" s="161"/>
      <c r="C50" s="159"/>
      <c r="D50" s="159"/>
      <c r="E50" s="159"/>
      <c r="F50" s="159"/>
      <c r="G50" s="159"/>
      <c r="H50" s="159"/>
      <c r="I50" s="159"/>
      <c r="J50" s="159"/>
      <c r="K50" s="159"/>
      <c r="L50" s="159"/>
      <c r="M50" s="159"/>
      <c r="N50" s="159"/>
      <c r="O50" s="159"/>
      <c r="P50" s="159"/>
      <c r="Q50" s="161"/>
      <c r="R50" s="161"/>
      <c r="S50" s="161"/>
      <c r="T50" s="161"/>
      <c r="U50" s="161"/>
      <c r="V50" s="161"/>
      <c r="W50" s="161"/>
      <c r="Y50" s="160"/>
      <c r="Z50" s="160"/>
      <c r="AA50" s="295"/>
    </row>
    <row r="51" spans="1:27" ht="18" customHeight="1" thickBot="1" x14ac:dyDescent="0.2">
      <c r="A51" s="162"/>
      <c r="B51" s="161"/>
      <c r="C51" s="170" t="s">
        <v>7</v>
      </c>
      <c r="D51" s="161" t="s">
        <v>24</v>
      </c>
      <c r="E51" s="161"/>
      <c r="F51" s="225"/>
      <c r="G51" s="172" t="s">
        <v>25</v>
      </c>
      <c r="H51" s="225"/>
      <c r="I51" s="161"/>
      <c r="J51" s="159"/>
      <c r="K51" s="161"/>
      <c r="L51" s="161"/>
      <c r="M51" s="161"/>
      <c r="N51" s="161"/>
      <c r="O51" s="161"/>
      <c r="P51" s="161"/>
      <c r="Q51" s="161"/>
      <c r="R51" s="161"/>
      <c r="S51" s="161"/>
      <c r="T51" s="161"/>
      <c r="U51" s="161"/>
      <c r="V51" s="161"/>
      <c r="W51" s="161"/>
      <c r="AA51" s="295" t="str">
        <f ca="1">中間シート!X7</f>
        <v>郵便番号を入力してください。</v>
      </c>
    </row>
    <row r="52" spans="1:27" s="148" customFormat="1" ht="5.0999999999999996" customHeight="1" thickBot="1" x14ac:dyDescent="0.2">
      <c r="A52" s="173"/>
      <c r="B52" s="161"/>
      <c r="C52" s="174"/>
      <c r="D52" s="159"/>
      <c r="E52" s="159"/>
      <c r="F52" s="159"/>
      <c r="G52" s="159"/>
      <c r="H52" s="159"/>
      <c r="I52" s="159"/>
      <c r="J52" s="159"/>
      <c r="K52" s="159"/>
      <c r="L52" s="159"/>
      <c r="M52" s="159"/>
      <c r="N52" s="159"/>
      <c r="O52" s="159"/>
      <c r="P52" s="159"/>
      <c r="Q52" s="161"/>
      <c r="R52" s="161"/>
      <c r="S52" s="161"/>
      <c r="T52" s="161"/>
      <c r="U52" s="161"/>
      <c r="V52" s="161"/>
      <c r="W52" s="161"/>
      <c r="Y52" s="160"/>
      <c r="Z52" s="160"/>
      <c r="AA52" s="295"/>
    </row>
    <row r="53" spans="1:27" ht="18" customHeight="1" thickBot="1" x14ac:dyDescent="0.2">
      <c r="A53" s="162"/>
      <c r="B53" s="161"/>
      <c r="C53" s="170" t="s">
        <v>7</v>
      </c>
      <c r="D53" s="161" t="s">
        <v>26</v>
      </c>
      <c r="E53" s="161"/>
      <c r="F53" s="80"/>
      <c r="G53" s="161"/>
      <c r="H53" s="161" t="s">
        <v>27</v>
      </c>
      <c r="I53" s="161"/>
      <c r="J53" s="161"/>
      <c r="K53" s="161"/>
      <c r="L53" s="161" t="s">
        <v>28</v>
      </c>
      <c r="M53" s="161"/>
      <c r="N53" s="161"/>
      <c r="O53" s="161"/>
      <c r="P53" s="161"/>
      <c r="Q53" s="161"/>
      <c r="R53" s="161"/>
      <c r="S53" s="161"/>
      <c r="T53" s="161"/>
      <c r="U53" s="161"/>
      <c r="V53" s="161"/>
      <c r="W53" s="161"/>
      <c r="AA53" s="295" t="str">
        <f ca="1">中間シート!X8</f>
        <v>都道府県を選択してください。</v>
      </c>
    </row>
    <row r="54" spans="1:27" s="148" customFormat="1" ht="5.0999999999999996" customHeight="1" thickBot="1" x14ac:dyDescent="0.2">
      <c r="A54" s="173"/>
      <c r="B54" s="161"/>
      <c r="C54" s="174"/>
      <c r="D54" s="159"/>
      <c r="E54" s="159"/>
      <c r="F54" s="159"/>
      <c r="G54" s="159"/>
      <c r="H54" s="159"/>
      <c r="I54" s="159"/>
      <c r="J54" s="159"/>
      <c r="K54" s="161"/>
      <c r="L54" s="159"/>
      <c r="M54" s="159"/>
      <c r="N54" s="159"/>
      <c r="O54" s="159"/>
      <c r="P54" s="159"/>
      <c r="Q54" s="161"/>
      <c r="R54" s="161"/>
      <c r="S54" s="161"/>
      <c r="T54" s="161"/>
      <c r="U54" s="161"/>
      <c r="V54" s="161"/>
      <c r="W54" s="161"/>
      <c r="Y54" s="160"/>
      <c r="Z54" s="160"/>
      <c r="AA54" s="295"/>
    </row>
    <row r="55" spans="1:27" ht="18" customHeight="1" thickBot="1" x14ac:dyDescent="0.2">
      <c r="A55" s="162"/>
      <c r="B55" s="161"/>
      <c r="C55" s="170" t="s">
        <v>7</v>
      </c>
      <c r="D55" s="161" t="s">
        <v>29</v>
      </c>
      <c r="E55" s="161"/>
      <c r="F55" s="315"/>
      <c r="G55" s="316"/>
      <c r="H55" s="316"/>
      <c r="I55" s="316"/>
      <c r="J55" s="317"/>
      <c r="K55" s="161"/>
      <c r="L55" s="161" t="s">
        <v>30</v>
      </c>
      <c r="M55" s="161"/>
      <c r="N55" s="161"/>
      <c r="O55" s="161"/>
      <c r="P55" s="161"/>
      <c r="Q55" s="161"/>
      <c r="R55" s="161"/>
      <c r="S55" s="161"/>
      <c r="T55" s="161"/>
      <c r="U55" s="161"/>
      <c r="V55" s="161"/>
      <c r="W55" s="161"/>
      <c r="AA55" s="295" t="str">
        <f ca="1">中間シート!X9</f>
        <v>市区町村を入力してください。</v>
      </c>
    </row>
    <row r="56" spans="1:27" s="148" customFormat="1" ht="5.0999999999999996" customHeight="1" thickBot="1" x14ac:dyDescent="0.2">
      <c r="A56" s="173"/>
      <c r="B56" s="161"/>
      <c r="C56" s="174"/>
      <c r="D56" s="159"/>
      <c r="E56" s="159"/>
      <c r="F56" s="159"/>
      <c r="G56" s="159"/>
      <c r="H56" s="159"/>
      <c r="I56" s="159"/>
      <c r="J56" s="159"/>
      <c r="K56" s="159"/>
      <c r="L56" s="159"/>
      <c r="M56" s="159"/>
      <c r="N56" s="159"/>
      <c r="O56" s="159"/>
      <c r="P56" s="159"/>
      <c r="Q56" s="161"/>
      <c r="R56" s="161"/>
      <c r="S56" s="161"/>
      <c r="T56" s="161"/>
      <c r="U56" s="161"/>
      <c r="V56" s="161"/>
      <c r="W56" s="161"/>
      <c r="Y56" s="160"/>
      <c r="Z56" s="160"/>
      <c r="AA56" s="295"/>
    </row>
    <row r="57" spans="1:27" ht="18" customHeight="1" thickBot="1" x14ac:dyDescent="0.2">
      <c r="A57" s="162"/>
      <c r="B57" s="161"/>
      <c r="C57" s="170" t="s">
        <v>7</v>
      </c>
      <c r="D57" s="161" t="s">
        <v>31</v>
      </c>
      <c r="E57" s="161"/>
      <c r="F57" s="318"/>
      <c r="G57" s="319"/>
      <c r="H57" s="319"/>
      <c r="I57" s="319"/>
      <c r="J57" s="320"/>
      <c r="K57" s="161"/>
      <c r="L57" s="161" t="s">
        <v>32</v>
      </c>
      <c r="M57" s="161"/>
      <c r="N57" s="161"/>
      <c r="O57" s="161" t="s">
        <v>33</v>
      </c>
      <c r="P57" s="159"/>
      <c r="Q57" s="161"/>
      <c r="R57" s="161"/>
      <c r="S57" s="161"/>
      <c r="T57" s="161"/>
      <c r="U57" s="161"/>
      <c r="V57" s="161"/>
      <c r="W57" s="161"/>
      <c r="AA57" s="295" t="str">
        <f ca="1">中間シート!X10</f>
        <v>町名地番を入力してください。</v>
      </c>
    </row>
    <row r="58" spans="1:27" s="148" customFormat="1" ht="5.0999999999999996" customHeight="1" thickBot="1" x14ac:dyDescent="0.2">
      <c r="A58" s="173"/>
      <c r="B58" s="161"/>
      <c r="C58" s="174"/>
      <c r="D58" s="159"/>
      <c r="E58" s="159"/>
      <c r="F58" s="159"/>
      <c r="G58" s="159"/>
      <c r="H58" s="159"/>
      <c r="I58" s="159"/>
      <c r="J58" s="159"/>
      <c r="K58" s="159"/>
      <c r="L58" s="159"/>
      <c r="M58" s="159"/>
      <c r="N58" s="159"/>
      <c r="O58" s="159"/>
      <c r="P58" s="159"/>
      <c r="Q58" s="161"/>
      <c r="R58" s="161"/>
      <c r="S58" s="161"/>
      <c r="T58" s="161"/>
      <c r="U58" s="161"/>
      <c r="V58" s="161"/>
      <c r="W58" s="161"/>
      <c r="Y58" s="160"/>
      <c r="Z58" s="160"/>
      <c r="AA58" s="295"/>
    </row>
    <row r="59" spans="1:27" ht="18" customHeight="1" thickBot="1" x14ac:dyDescent="0.2">
      <c r="A59" s="162"/>
      <c r="B59" s="161"/>
      <c r="C59" s="176"/>
      <c r="D59" s="161" t="s">
        <v>34</v>
      </c>
      <c r="E59" s="161"/>
      <c r="F59" s="318"/>
      <c r="G59" s="319"/>
      <c r="H59" s="319"/>
      <c r="I59" s="319"/>
      <c r="J59" s="320"/>
      <c r="K59" s="161"/>
      <c r="L59" s="161" t="s">
        <v>35</v>
      </c>
      <c r="M59" s="161"/>
      <c r="N59" s="161"/>
      <c r="O59" s="161" t="s">
        <v>36</v>
      </c>
      <c r="P59" s="159"/>
      <c r="Q59" s="161"/>
      <c r="R59" s="161"/>
      <c r="S59" s="161"/>
      <c r="T59" s="161"/>
      <c r="U59" s="161"/>
      <c r="V59" s="161"/>
      <c r="W59" s="161"/>
    </row>
    <row r="60" spans="1:27" s="148" customFormat="1" ht="5.0999999999999996" customHeight="1" thickBot="1" x14ac:dyDescent="0.2">
      <c r="A60" s="173"/>
      <c r="B60" s="161"/>
      <c r="C60" s="174"/>
      <c r="D60" s="159"/>
      <c r="E60" s="159"/>
      <c r="F60" s="159"/>
      <c r="G60" s="159"/>
      <c r="H60" s="159"/>
      <c r="I60" s="159"/>
      <c r="J60" s="159"/>
      <c r="K60" s="159"/>
      <c r="L60" s="159"/>
      <c r="M60" s="159"/>
      <c r="N60" s="159"/>
      <c r="O60" s="159"/>
      <c r="P60" s="159"/>
      <c r="Q60" s="161"/>
      <c r="R60" s="161"/>
      <c r="S60" s="161"/>
      <c r="T60" s="161"/>
      <c r="U60" s="161"/>
      <c r="V60" s="161"/>
      <c r="W60" s="161"/>
      <c r="Y60" s="160"/>
      <c r="Z60" s="160"/>
      <c r="AA60" s="295"/>
    </row>
    <row r="61" spans="1:27" ht="18" customHeight="1" thickBot="1" x14ac:dyDescent="0.2">
      <c r="A61" s="162"/>
      <c r="B61" s="161"/>
      <c r="C61" s="170" t="s">
        <v>7</v>
      </c>
      <c r="D61" s="161" t="str">
        <f>IF(Y12=2,"商号・屋号等","法人名")</f>
        <v>法人名</v>
      </c>
      <c r="E61" s="161"/>
      <c r="F61" s="318"/>
      <c r="G61" s="319"/>
      <c r="H61" s="319"/>
      <c r="I61" s="319"/>
      <c r="J61" s="320"/>
      <c r="K61" s="161"/>
      <c r="L61" s="161" t="str">
        <f>IF(Y12=1,"　例）○〇自動車株式会社","")</f>
        <v/>
      </c>
      <c r="M61" s="161"/>
      <c r="N61" s="161"/>
      <c r="O61" s="161"/>
      <c r="P61" s="161" t="str">
        <f>IF(Y12=1,"法人格の略称（株）（有）は不可","")</f>
        <v/>
      </c>
      <c r="Q61" s="161"/>
      <c r="R61" s="161"/>
      <c r="S61" s="161"/>
      <c r="T61" s="161"/>
      <c r="U61" s="161"/>
      <c r="V61" s="161"/>
      <c r="W61" s="161"/>
      <c r="AA61" s="295" t="str">
        <f ca="1">中間シート!X12</f>
        <v>法人名・商号・屋号等を入力してください。</v>
      </c>
    </row>
    <row r="62" spans="1:27" s="148" customFormat="1" ht="5.0999999999999996" customHeight="1" x14ac:dyDescent="0.15">
      <c r="A62" s="173"/>
      <c r="B62" s="161"/>
      <c r="C62" s="177"/>
      <c r="D62" s="159"/>
      <c r="E62" s="159"/>
      <c r="F62" s="159"/>
      <c r="G62" s="159"/>
      <c r="H62" s="159"/>
      <c r="I62" s="159"/>
      <c r="J62" s="159"/>
      <c r="K62" s="159"/>
      <c r="L62" s="159"/>
      <c r="M62" s="159"/>
      <c r="N62" s="159"/>
      <c r="O62" s="159"/>
      <c r="P62" s="159"/>
      <c r="Q62" s="161"/>
      <c r="R62" s="161"/>
      <c r="S62" s="161"/>
      <c r="T62" s="161"/>
      <c r="U62" s="161"/>
      <c r="V62" s="161"/>
      <c r="W62" s="161"/>
      <c r="Y62" s="160"/>
      <c r="Z62" s="160"/>
      <c r="AA62" s="295"/>
    </row>
    <row r="63" spans="1:27" x14ac:dyDescent="0.15">
      <c r="A63" s="162"/>
      <c r="B63" s="161"/>
      <c r="C63" s="163"/>
      <c r="D63" s="163"/>
      <c r="E63" s="163"/>
      <c r="F63" s="161"/>
      <c r="G63" s="161"/>
      <c r="H63" s="161"/>
      <c r="I63" s="161"/>
      <c r="J63" s="161"/>
      <c r="K63" s="161"/>
      <c r="L63" s="161"/>
      <c r="M63" s="161"/>
      <c r="N63" s="161"/>
      <c r="O63" s="161"/>
      <c r="P63" s="161"/>
      <c r="Q63" s="161"/>
      <c r="R63" s="161"/>
      <c r="S63" s="161"/>
      <c r="T63" s="161"/>
      <c r="U63" s="161"/>
      <c r="V63" s="161"/>
      <c r="W63" s="161"/>
    </row>
    <row r="64" spans="1:27" x14ac:dyDescent="0.15">
      <c r="A64" s="162"/>
      <c r="B64" s="161"/>
      <c r="C64" s="161" t="s">
        <v>37</v>
      </c>
      <c r="D64" s="163"/>
      <c r="E64" s="161"/>
      <c r="F64" s="161"/>
      <c r="G64" s="161"/>
      <c r="H64" s="161"/>
      <c r="I64" s="161"/>
      <c r="J64" s="161"/>
      <c r="K64" s="161"/>
      <c r="L64" s="161"/>
      <c r="M64" s="161"/>
      <c r="N64" s="161"/>
      <c r="O64" s="161"/>
      <c r="P64" s="161"/>
      <c r="Q64" s="161"/>
      <c r="R64" s="161"/>
      <c r="S64" s="161"/>
      <c r="T64" s="161"/>
      <c r="U64" s="161"/>
      <c r="V64" s="161"/>
      <c r="W64" s="161"/>
    </row>
    <row r="65" spans="1:27" s="148" customFormat="1" ht="5.0999999999999996" customHeight="1" thickBot="1" x14ac:dyDescent="0.2">
      <c r="A65" s="173"/>
      <c r="B65" s="159"/>
      <c r="C65" s="177"/>
      <c r="D65" s="159"/>
      <c r="E65" s="159"/>
      <c r="F65" s="159"/>
      <c r="G65" s="159"/>
      <c r="H65" s="159"/>
      <c r="I65" s="159"/>
      <c r="J65" s="159"/>
      <c r="K65" s="159"/>
      <c r="L65" s="159"/>
      <c r="M65" s="159"/>
      <c r="N65" s="159"/>
      <c r="O65" s="159"/>
      <c r="P65" s="159"/>
      <c r="Q65" s="159"/>
      <c r="R65" s="159"/>
      <c r="S65" s="159"/>
      <c r="T65" s="159"/>
      <c r="U65" s="159"/>
      <c r="V65" s="159"/>
      <c r="W65" s="159"/>
      <c r="Y65" s="160"/>
      <c r="Z65" s="160"/>
      <c r="AA65" s="295"/>
    </row>
    <row r="66" spans="1:27" ht="18" customHeight="1" thickBot="1" x14ac:dyDescent="0.2">
      <c r="A66" s="162"/>
      <c r="B66" s="161"/>
      <c r="C66" s="170" t="str">
        <f>IF(Y12=1,"※","")</f>
        <v/>
      </c>
      <c r="D66" s="161" t="s">
        <v>38</v>
      </c>
      <c r="E66" s="161"/>
      <c r="F66" s="315"/>
      <c r="G66" s="316"/>
      <c r="H66" s="316"/>
      <c r="I66" s="316"/>
      <c r="J66" s="317"/>
      <c r="K66" s="161"/>
      <c r="L66" s="161" t="s">
        <v>39</v>
      </c>
      <c r="M66" s="161"/>
      <c r="N66" s="161"/>
      <c r="O66" s="161"/>
      <c r="P66" s="161"/>
      <c r="Q66" s="161"/>
      <c r="R66" s="161"/>
      <c r="S66" s="161"/>
      <c r="T66" s="161"/>
      <c r="U66" s="161"/>
      <c r="V66" s="161"/>
      <c r="W66" s="161"/>
      <c r="AA66" s="295" t="str">
        <f>IF(Y12=1,中間シート!X13,"")</f>
        <v/>
      </c>
    </row>
    <row r="67" spans="1:27" s="148" customFormat="1" ht="5.0999999999999996" customHeight="1" thickBot="1" x14ac:dyDescent="0.2">
      <c r="A67" s="173"/>
      <c r="B67" s="159"/>
      <c r="C67" s="177"/>
      <c r="D67" s="159"/>
      <c r="E67" s="159"/>
      <c r="F67" s="159"/>
      <c r="G67" s="159"/>
      <c r="H67" s="159"/>
      <c r="I67" s="159"/>
      <c r="J67" s="159"/>
      <c r="K67" s="159"/>
      <c r="L67" s="159"/>
      <c r="M67" s="159"/>
      <c r="N67" s="159"/>
      <c r="O67" s="159"/>
      <c r="P67" s="159"/>
      <c r="Q67" s="159"/>
      <c r="R67" s="159"/>
      <c r="S67" s="159"/>
      <c r="T67" s="159"/>
      <c r="U67" s="159"/>
      <c r="V67" s="159"/>
      <c r="W67" s="159"/>
      <c r="Y67" s="160"/>
      <c r="Z67" s="160"/>
      <c r="AA67" s="295"/>
    </row>
    <row r="68" spans="1:27" ht="18" customHeight="1" thickBot="1" x14ac:dyDescent="0.2">
      <c r="A68" s="162"/>
      <c r="B68" s="161"/>
      <c r="C68" s="170" t="s">
        <v>7</v>
      </c>
      <c r="D68" s="161" t="s">
        <v>40</v>
      </c>
      <c r="E68" s="161"/>
      <c r="F68" s="315"/>
      <c r="G68" s="316"/>
      <c r="H68" s="316"/>
      <c r="I68" s="316"/>
      <c r="J68" s="317"/>
      <c r="K68" s="161"/>
      <c r="L68" s="161"/>
      <c r="M68" s="161"/>
      <c r="N68" s="161"/>
      <c r="O68" s="161"/>
      <c r="P68" s="161"/>
      <c r="Q68" s="161"/>
      <c r="R68" s="161"/>
      <c r="S68" s="161"/>
      <c r="T68" s="161"/>
      <c r="U68" s="161"/>
      <c r="V68" s="161"/>
      <c r="W68" s="161"/>
      <c r="AA68" s="295" t="str">
        <f ca="1">中間シート!X14</f>
        <v>代表者の姓を入力してください。</v>
      </c>
    </row>
    <row r="69" spans="1:27" s="148" customFormat="1" ht="5.0999999999999996" customHeight="1" thickBot="1" x14ac:dyDescent="0.2">
      <c r="A69" s="173"/>
      <c r="B69" s="159"/>
      <c r="C69" s="174"/>
      <c r="D69" s="159"/>
      <c r="E69" s="159"/>
      <c r="F69" s="159"/>
      <c r="G69" s="159"/>
      <c r="H69" s="159"/>
      <c r="I69" s="159"/>
      <c r="J69" s="159"/>
      <c r="K69" s="159"/>
      <c r="L69" s="159"/>
      <c r="M69" s="159"/>
      <c r="N69" s="159"/>
      <c r="O69" s="159"/>
      <c r="P69" s="159"/>
      <c r="Q69" s="159"/>
      <c r="R69" s="159"/>
      <c r="S69" s="159"/>
      <c r="T69" s="159"/>
      <c r="U69" s="159"/>
      <c r="V69" s="159"/>
      <c r="W69" s="159"/>
      <c r="Y69" s="160"/>
      <c r="Z69" s="160"/>
      <c r="AA69" s="295"/>
    </row>
    <row r="70" spans="1:27" ht="18" customHeight="1" thickBot="1" x14ac:dyDescent="0.2">
      <c r="A70" s="162"/>
      <c r="B70" s="161"/>
      <c r="C70" s="170" t="s">
        <v>7</v>
      </c>
      <c r="D70" s="161" t="s">
        <v>41</v>
      </c>
      <c r="E70" s="161"/>
      <c r="F70" s="315"/>
      <c r="G70" s="316"/>
      <c r="H70" s="316"/>
      <c r="I70" s="316"/>
      <c r="J70" s="317"/>
      <c r="K70" s="161"/>
      <c r="L70" s="161"/>
      <c r="M70" s="161"/>
      <c r="N70" s="161"/>
      <c r="O70" s="161"/>
      <c r="P70" s="161"/>
      <c r="Q70" s="161"/>
      <c r="R70" s="161"/>
      <c r="S70" s="161"/>
      <c r="T70" s="161"/>
      <c r="U70" s="161"/>
      <c r="V70" s="161"/>
      <c r="W70" s="161"/>
      <c r="AA70" s="295" t="str">
        <f ca="1">中間シート!X15</f>
        <v>代表者の名を入力してください。</v>
      </c>
    </row>
    <row r="71" spans="1:27" s="148" customFormat="1" ht="5.0999999999999996" customHeight="1" thickBot="1" x14ac:dyDescent="0.2">
      <c r="A71" s="173"/>
      <c r="B71" s="159"/>
      <c r="C71" s="174"/>
      <c r="D71" s="159"/>
      <c r="E71" s="159"/>
      <c r="F71" s="159"/>
      <c r="G71" s="159"/>
      <c r="H71" s="159"/>
      <c r="I71" s="159"/>
      <c r="J71" s="159"/>
      <c r="K71" s="159"/>
      <c r="L71" s="159"/>
      <c r="M71" s="159"/>
      <c r="N71" s="159"/>
      <c r="O71" s="159"/>
      <c r="P71" s="159"/>
      <c r="Q71" s="159"/>
      <c r="R71" s="159"/>
      <c r="S71" s="159"/>
      <c r="T71" s="159"/>
      <c r="U71" s="159"/>
      <c r="V71" s="159"/>
      <c r="W71" s="159"/>
      <c r="Y71" s="160"/>
      <c r="Z71" s="160"/>
      <c r="AA71" s="295"/>
    </row>
    <row r="72" spans="1:27" ht="18" customHeight="1" thickBot="1" x14ac:dyDescent="0.2">
      <c r="A72" s="162"/>
      <c r="B72" s="161"/>
      <c r="C72" s="170" t="s">
        <v>7</v>
      </c>
      <c r="D72" s="161" t="s">
        <v>42</v>
      </c>
      <c r="E72" s="161"/>
      <c r="F72" s="315"/>
      <c r="G72" s="316"/>
      <c r="H72" s="316"/>
      <c r="I72" s="316"/>
      <c r="J72" s="317"/>
      <c r="K72" s="161"/>
      <c r="L72" s="161"/>
      <c r="M72" s="161"/>
      <c r="N72" s="161"/>
      <c r="O72" s="161"/>
      <c r="P72" s="161"/>
      <c r="Q72" s="161"/>
      <c r="R72" s="161"/>
      <c r="S72" s="161"/>
      <c r="T72" s="161"/>
      <c r="U72" s="161"/>
      <c r="V72" s="161"/>
      <c r="W72" s="161"/>
      <c r="AA72" s="295" t="str">
        <f ca="1">中間シート!X16</f>
        <v>セイ（全角）を入力してください。</v>
      </c>
    </row>
    <row r="73" spans="1:27" s="148" customFormat="1" ht="5.0999999999999996" customHeight="1" thickBot="1" x14ac:dyDescent="0.2">
      <c r="A73" s="173"/>
      <c r="B73" s="159"/>
      <c r="C73" s="174"/>
      <c r="D73" s="159"/>
      <c r="E73" s="159"/>
      <c r="F73" s="159"/>
      <c r="G73" s="159"/>
      <c r="H73" s="159"/>
      <c r="I73" s="159"/>
      <c r="J73" s="159"/>
      <c r="K73" s="159"/>
      <c r="L73" s="159"/>
      <c r="M73" s="159"/>
      <c r="N73" s="159"/>
      <c r="O73" s="159"/>
      <c r="P73" s="159"/>
      <c r="Q73" s="159"/>
      <c r="R73" s="159"/>
      <c r="S73" s="159"/>
      <c r="T73" s="159"/>
      <c r="U73" s="159"/>
      <c r="V73" s="159"/>
      <c r="W73" s="159"/>
      <c r="Y73" s="160"/>
      <c r="Z73" s="160"/>
      <c r="AA73" s="295"/>
    </row>
    <row r="74" spans="1:27" ht="18" customHeight="1" thickBot="1" x14ac:dyDescent="0.2">
      <c r="A74" s="162"/>
      <c r="B74" s="161"/>
      <c r="C74" s="170" t="s">
        <v>7</v>
      </c>
      <c r="D74" s="161" t="s">
        <v>43</v>
      </c>
      <c r="E74" s="161"/>
      <c r="F74" s="315"/>
      <c r="G74" s="316"/>
      <c r="H74" s="316"/>
      <c r="I74" s="316"/>
      <c r="J74" s="317"/>
      <c r="K74" s="161"/>
      <c r="L74" s="161"/>
      <c r="M74" s="161"/>
      <c r="N74" s="161"/>
      <c r="O74" s="161"/>
      <c r="P74" s="161"/>
      <c r="Q74" s="161"/>
      <c r="R74" s="161"/>
      <c r="S74" s="161"/>
      <c r="T74" s="161"/>
      <c r="U74" s="161"/>
      <c r="V74" s="161"/>
      <c r="W74" s="161"/>
      <c r="AA74" s="295" t="str">
        <f ca="1">中間シート!X17</f>
        <v>メイ（全角）を入力してください。</v>
      </c>
    </row>
    <row r="75" spans="1:27" s="148" customFormat="1" ht="5.0999999999999996" customHeight="1" thickBot="1" x14ac:dyDescent="0.2">
      <c r="A75" s="173"/>
      <c r="B75" s="159"/>
      <c r="C75" s="174"/>
      <c r="D75" s="159"/>
      <c r="E75" s="159"/>
      <c r="F75" s="159"/>
      <c r="G75" s="159"/>
      <c r="H75" s="159"/>
      <c r="I75" s="159"/>
      <c r="J75" s="159"/>
      <c r="K75" s="159"/>
      <c r="L75" s="159"/>
      <c r="M75" s="159"/>
      <c r="N75" s="159"/>
      <c r="O75" s="159"/>
      <c r="P75" s="159"/>
      <c r="Q75" s="159"/>
      <c r="R75" s="159"/>
      <c r="S75" s="159"/>
      <c r="T75" s="159"/>
      <c r="U75" s="159"/>
      <c r="V75" s="159"/>
      <c r="W75" s="159"/>
      <c r="Y75" s="160"/>
      <c r="Z75" s="160"/>
      <c r="AA75" s="295"/>
    </row>
    <row r="76" spans="1:27" ht="18" customHeight="1" thickBot="1" x14ac:dyDescent="0.2">
      <c r="A76" s="162"/>
      <c r="B76" s="161"/>
      <c r="C76" s="170" t="s">
        <v>7</v>
      </c>
      <c r="D76" s="161" t="s">
        <v>44</v>
      </c>
      <c r="E76" s="161"/>
      <c r="F76" s="324"/>
      <c r="G76" s="325"/>
      <c r="H76" s="326"/>
      <c r="I76" s="161" t="s">
        <v>45</v>
      </c>
      <c r="J76" s="159"/>
      <c r="K76" s="161"/>
      <c r="L76" s="161"/>
      <c r="M76" s="161"/>
      <c r="N76" s="161"/>
      <c r="O76" s="161"/>
      <c r="P76" s="161"/>
      <c r="Q76" s="161"/>
      <c r="R76" s="161"/>
      <c r="S76" s="161"/>
      <c r="T76" s="161"/>
      <c r="U76" s="161"/>
      <c r="V76" s="161"/>
      <c r="W76" s="161"/>
      <c r="AA76" s="295" t="str">
        <f ca="1">中間シート!X18</f>
        <v>生年月日を入力してください。</v>
      </c>
    </row>
    <row r="77" spans="1:27" s="148" customFormat="1" ht="5.0999999999999996" customHeight="1" thickBot="1" x14ac:dyDescent="0.2">
      <c r="A77" s="173"/>
      <c r="B77" s="159"/>
      <c r="C77" s="174"/>
      <c r="D77" s="159"/>
      <c r="E77" s="159"/>
      <c r="F77" s="159"/>
      <c r="G77" s="159"/>
      <c r="H77" s="159"/>
      <c r="I77" s="159"/>
      <c r="J77" s="159"/>
      <c r="K77" s="159"/>
      <c r="L77" s="159"/>
      <c r="M77" s="159"/>
      <c r="N77" s="159"/>
      <c r="O77" s="159"/>
      <c r="P77" s="159"/>
      <c r="Q77" s="159"/>
      <c r="R77" s="159"/>
      <c r="S77" s="159"/>
      <c r="T77" s="159"/>
      <c r="U77" s="159"/>
      <c r="V77" s="159"/>
      <c r="W77" s="159"/>
      <c r="Y77" s="160"/>
      <c r="Z77" s="160"/>
      <c r="AA77" s="295"/>
    </row>
    <row r="78" spans="1:27" ht="18" customHeight="1" thickBot="1" x14ac:dyDescent="0.2">
      <c r="A78" s="162"/>
      <c r="B78" s="161"/>
      <c r="C78" s="170" t="s">
        <v>7</v>
      </c>
      <c r="D78" s="161" t="s">
        <v>46</v>
      </c>
      <c r="E78" s="161"/>
      <c r="F78" s="80"/>
      <c r="G78" s="161" t="s">
        <v>47</v>
      </c>
      <c r="H78" s="161"/>
      <c r="I78" s="161"/>
      <c r="J78" s="161"/>
      <c r="K78" s="161"/>
      <c r="L78" s="161"/>
      <c r="M78" s="161"/>
      <c r="N78" s="161"/>
      <c r="O78" s="161"/>
      <c r="P78" s="161"/>
      <c r="Q78" s="161"/>
      <c r="R78" s="161"/>
      <c r="S78" s="161"/>
      <c r="T78" s="161"/>
      <c r="U78" s="161"/>
      <c r="V78" s="161"/>
      <c r="W78" s="161"/>
      <c r="Y78" s="152">
        <f>IF(F78="男",1,IF(F78="女",2,0))</f>
        <v>0</v>
      </c>
      <c r="AA78" s="295" t="str">
        <f ca="1">中間シート!X19</f>
        <v>性別を選択してください。</v>
      </c>
    </row>
    <row r="79" spans="1:27" s="148" customFormat="1" ht="5.0999999999999996" customHeight="1" x14ac:dyDescent="0.15">
      <c r="A79" s="173"/>
      <c r="B79" s="159"/>
      <c r="C79" s="177"/>
      <c r="D79" s="159"/>
      <c r="E79" s="159"/>
      <c r="F79" s="159"/>
      <c r="G79" s="159"/>
      <c r="H79" s="159"/>
      <c r="I79" s="159"/>
      <c r="J79" s="159"/>
      <c r="K79" s="159"/>
      <c r="L79" s="159"/>
      <c r="M79" s="159"/>
      <c r="N79" s="159"/>
      <c r="O79" s="159"/>
      <c r="P79" s="159"/>
      <c r="Q79" s="159"/>
      <c r="R79" s="159"/>
      <c r="S79" s="159"/>
      <c r="T79" s="159"/>
      <c r="U79" s="159"/>
      <c r="V79" s="159"/>
      <c r="W79" s="159"/>
      <c r="Y79" s="160"/>
      <c r="Z79" s="160"/>
      <c r="AA79" s="295"/>
    </row>
    <row r="81" spans="2:27" s="148" customFormat="1" ht="5.0999999999999996" customHeight="1" x14ac:dyDescent="0.15">
      <c r="B81" s="165"/>
      <c r="C81" s="165"/>
      <c r="D81" s="165"/>
      <c r="E81" s="165"/>
      <c r="F81" s="165"/>
      <c r="G81" s="165"/>
      <c r="H81" s="165"/>
      <c r="I81" s="165"/>
      <c r="J81" s="165"/>
      <c r="K81" s="165"/>
      <c r="L81" s="165"/>
      <c r="M81" s="165"/>
      <c r="N81" s="165"/>
      <c r="O81" s="165"/>
      <c r="P81" s="165"/>
      <c r="Q81" s="165"/>
      <c r="R81" s="165"/>
      <c r="S81" s="165"/>
      <c r="T81" s="165"/>
      <c r="U81" s="165"/>
      <c r="V81" s="165"/>
      <c r="W81" s="165"/>
      <c r="Y81" s="160"/>
      <c r="Z81" s="160"/>
      <c r="AA81" s="295"/>
    </row>
    <row r="82" spans="2:27" x14ac:dyDescent="0.15">
      <c r="B82" s="166"/>
      <c r="C82" s="166" t="s">
        <v>48</v>
      </c>
      <c r="D82" s="166"/>
      <c r="E82" s="166"/>
      <c r="F82" s="166"/>
      <c r="G82" s="166"/>
      <c r="H82" s="166"/>
      <c r="I82" s="166"/>
      <c r="J82" s="166"/>
      <c r="K82" s="166"/>
      <c r="L82" s="166"/>
      <c r="M82" s="166"/>
      <c r="N82" s="166"/>
      <c r="O82" s="166"/>
      <c r="P82" s="166"/>
      <c r="Q82" s="166"/>
      <c r="R82" s="166"/>
      <c r="S82" s="166"/>
      <c r="T82" s="166"/>
      <c r="U82" s="166"/>
      <c r="V82" s="166"/>
      <c r="W82" s="166"/>
    </row>
    <row r="83" spans="2:27" s="148" customFormat="1" ht="5.0999999999999996" customHeight="1" x14ac:dyDescent="0.15">
      <c r="B83" s="165"/>
      <c r="C83" s="165"/>
      <c r="D83" s="165"/>
      <c r="E83" s="165"/>
      <c r="F83" s="165"/>
      <c r="G83" s="165"/>
      <c r="H83" s="165"/>
      <c r="I83" s="165"/>
      <c r="J83" s="165"/>
      <c r="K83" s="165"/>
      <c r="L83" s="165"/>
      <c r="M83" s="165"/>
      <c r="N83" s="165"/>
      <c r="O83" s="165"/>
      <c r="P83" s="165"/>
      <c r="Q83" s="165"/>
      <c r="R83" s="165"/>
      <c r="S83" s="165"/>
      <c r="T83" s="165"/>
      <c r="U83" s="165"/>
      <c r="V83" s="165"/>
      <c r="W83" s="165"/>
      <c r="Y83" s="160"/>
      <c r="Z83" s="160"/>
      <c r="AA83" s="295"/>
    </row>
    <row r="84" spans="2:27" ht="14.25" thickBot="1" x14ac:dyDescent="0.2">
      <c r="B84" s="166"/>
      <c r="C84" s="165"/>
      <c r="D84" s="167"/>
      <c r="E84" s="166"/>
      <c r="F84" s="166"/>
      <c r="G84" s="166"/>
      <c r="H84" s="166"/>
      <c r="I84" s="166"/>
      <c r="J84" s="166"/>
      <c r="K84" s="166"/>
      <c r="L84" s="166"/>
      <c r="M84" s="166"/>
      <c r="N84" s="166"/>
      <c r="O84" s="166"/>
      <c r="P84" s="166"/>
      <c r="Q84" s="166"/>
      <c r="R84" s="166"/>
      <c r="S84" s="166"/>
      <c r="T84" s="166"/>
      <c r="U84" s="166"/>
      <c r="V84" s="166"/>
      <c r="W84" s="166"/>
    </row>
    <row r="85" spans="2:27" ht="18" customHeight="1" thickBot="1" x14ac:dyDescent="0.2">
      <c r="B85" s="166"/>
      <c r="C85" s="168" t="s">
        <v>7</v>
      </c>
      <c r="D85" s="166" t="s">
        <v>49</v>
      </c>
      <c r="E85" s="166"/>
      <c r="F85" s="224"/>
      <c r="G85" s="166"/>
      <c r="H85" s="166" t="s">
        <v>27</v>
      </c>
      <c r="I85" s="166"/>
      <c r="J85" s="166"/>
      <c r="K85" s="166"/>
      <c r="L85" s="166"/>
      <c r="M85" s="166"/>
      <c r="N85" s="166"/>
      <c r="O85" s="166"/>
      <c r="P85" s="166"/>
      <c r="Q85" s="166"/>
      <c r="R85" s="166"/>
      <c r="S85" s="166"/>
      <c r="T85" s="166"/>
      <c r="U85" s="166"/>
      <c r="V85" s="166"/>
      <c r="W85" s="166"/>
      <c r="AA85" s="295" t="str">
        <f ca="1">中間シート!X60</f>
        <v>事業場数を選択してください。</v>
      </c>
    </row>
    <row r="86" spans="2:27" x14ac:dyDescent="0.15">
      <c r="B86" s="166"/>
      <c r="C86" s="165"/>
      <c r="D86" s="167"/>
      <c r="E86" s="166"/>
      <c r="F86" s="166"/>
      <c r="G86" s="166"/>
      <c r="H86" s="166"/>
      <c r="I86" s="166"/>
      <c r="J86" s="166"/>
      <c r="K86" s="166"/>
      <c r="L86" s="166"/>
      <c r="M86" s="166"/>
      <c r="N86" s="166"/>
      <c r="O86" s="166"/>
      <c r="P86" s="166"/>
      <c r="Q86" s="166"/>
      <c r="R86" s="166"/>
      <c r="S86" s="166"/>
      <c r="T86" s="166"/>
      <c r="U86" s="166"/>
      <c r="V86" s="166"/>
      <c r="W86" s="166"/>
    </row>
    <row r="88" spans="2:27" s="148" customFormat="1" ht="5.0999999999999996" customHeight="1" x14ac:dyDescent="0.15">
      <c r="B88" s="159"/>
      <c r="C88" s="159"/>
      <c r="D88" s="159"/>
      <c r="E88" s="159"/>
      <c r="F88" s="159"/>
      <c r="G88" s="159"/>
      <c r="H88" s="159"/>
      <c r="I88" s="159"/>
      <c r="J88" s="159"/>
      <c r="K88" s="159"/>
      <c r="L88" s="159"/>
      <c r="M88" s="159"/>
      <c r="N88" s="159"/>
      <c r="O88" s="159"/>
      <c r="P88" s="159"/>
      <c r="Q88" s="159"/>
      <c r="R88" s="159"/>
      <c r="S88" s="159"/>
      <c r="T88" s="159"/>
      <c r="U88" s="159"/>
      <c r="V88" s="159"/>
      <c r="W88" s="159"/>
      <c r="Y88" s="160"/>
      <c r="Z88" s="160"/>
      <c r="AA88" s="295"/>
    </row>
    <row r="89" spans="2:27" x14ac:dyDescent="0.15">
      <c r="B89" s="161"/>
      <c r="C89" s="161" t="s">
        <v>50</v>
      </c>
      <c r="D89" s="161"/>
      <c r="E89" s="161"/>
      <c r="F89" s="161"/>
      <c r="G89" s="161"/>
      <c r="H89" s="161"/>
      <c r="I89" s="161"/>
      <c r="J89" s="159"/>
      <c r="K89" s="161"/>
      <c r="L89" s="161"/>
      <c r="M89" s="161"/>
      <c r="N89" s="161"/>
      <c r="O89" s="161"/>
      <c r="P89" s="161"/>
      <c r="Q89" s="161"/>
      <c r="R89" s="161"/>
      <c r="S89" s="161"/>
      <c r="T89" s="161"/>
      <c r="U89" s="161"/>
      <c r="V89" s="161"/>
      <c r="W89" s="161"/>
    </row>
    <row r="90" spans="2:27" s="148" customFormat="1" ht="5.0999999999999996" customHeight="1" x14ac:dyDescent="0.15">
      <c r="B90" s="159"/>
      <c r="C90" s="159"/>
      <c r="D90" s="159"/>
      <c r="E90" s="159"/>
      <c r="F90" s="159"/>
      <c r="G90" s="159"/>
      <c r="H90" s="159"/>
      <c r="I90" s="159"/>
      <c r="J90" s="159"/>
      <c r="K90" s="159"/>
      <c r="L90" s="161"/>
      <c r="M90" s="159"/>
      <c r="N90" s="159"/>
      <c r="O90" s="159"/>
      <c r="P90" s="159"/>
      <c r="Q90" s="159"/>
      <c r="R90" s="159"/>
      <c r="S90" s="159"/>
      <c r="T90" s="159"/>
      <c r="U90" s="159"/>
      <c r="V90" s="159"/>
      <c r="W90" s="159"/>
      <c r="Y90" s="160"/>
      <c r="Z90" s="160"/>
      <c r="AA90" s="295"/>
    </row>
    <row r="91" spans="2:27" x14ac:dyDescent="0.15">
      <c r="B91" s="161"/>
      <c r="C91" s="161"/>
      <c r="D91" s="161"/>
      <c r="E91" s="161"/>
      <c r="F91" s="161"/>
      <c r="G91" s="161"/>
      <c r="H91" s="161"/>
      <c r="I91" s="161"/>
      <c r="J91" s="161"/>
      <c r="K91" s="161"/>
      <c r="L91" s="161"/>
      <c r="M91" s="161"/>
      <c r="N91" s="161"/>
      <c r="O91" s="161"/>
      <c r="P91" s="161"/>
      <c r="Q91" s="161"/>
      <c r="R91" s="161"/>
      <c r="S91" s="161"/>
      <c r="T91" s="161"/>
      <c r="U91" s="161"/>
      <c r="V91" s="161"/>
      <c r="W91" s="161"/>
    </row>
    <row r="92" spans="2:27" x14ac:dyDescent="0.15">
      <c r="B92" s="161"/>
      <c r="C92" s="161" t="s">
        <v>51</v>
      </c>
      <c r="D92" s="161"/>
      <c r="E92" s="161"/>
      <c r="F92" s="161"/>
      <c r="G92" s="161"/>
      <c r="H92" s="161"/>
      <c r="I92" s="161"/>
      <c r="J92" s="161"/>
      <c r="K92" s="161"/>
      <c r="L92" s="161"/>
      <c r="M92" s="161"/>
      <c r="N92" s="161"/>
      <c r="O92" s="161"/>
      <c r="P92" s="161"/>
      <c r="Q92" s="161"/>
      <c r="R92" s="161"/>
      <c r="S92" s="161"/>
      <c r="T92" s="161"/>
      <c r="U92" s="161"/>
      <c r="V92" s="161"/>
      <c r="W92" s="161"/>
    </row>
    <row r="93" spans="2:27" s="148" customFormat="1" ht="5.0999999999999996" customHeight="1" thickBot="1" x14ac:dyDescent="0.2">
      <c r="B93" s="159"/>
      <c r="C93" s="159"/>
      <c r="D93" s="159"/>
      <c r="E93" s="159"/>
      <c r="F93" s="159"/>
      <c r="G93" s="159"/>
      <c r="H93" s="159"/>
      <c r="I93" s="159"/>
      <c r="J93" s="159"/>
      <c r="K93" s="159"/>
      <c r="L93" s="159"/>
      <c r="M93" s="161"/>
      <c r="N93" s="161"/>
      <c r="O93" s="159"/>
      <c r="P93" s="330" t="s">
        <v>52</v>
      </c>
      <c r="Q93" s="331"/>
      <c r="R93" s="332"/>
      <c r="S93" s="159"/>
      <c r="T93" s="159"/>
      <c r="U93" s="159"/>
      <c r="V93" s="159"/>
      <c r="W93" s="159"/>
      <c r="Y93" s="160"/>
      <c r="Z93" s="160"/>
      <c r="AA93" s="295"/>
    </row>
    <row r="94" spans="2:27" ht="18" customHeight="1" thickBot="1" x14ac:dyDescent="0.2">
      <c r="B94" s="161"/>
      <c r="C94" s="170" t="s">
        <v>7</v>
      </c>
      <c r="D94" s="161" t="s">
        <v>53</v>
      </c>
      <c r="E94" s="161"/>
      <c r="F94" s="315"/>
      <c r="G94" s="316"/>
      <c r="H94" s="317"/>
      <c r="I94" s="161"/>
      <c r="J94" s="161" t="s">
        <v>27</v>
      </c>
      <c r="K94" s="161"/>
      <c r="L94" s="161"/>
      <c r="M94" s="161"/>
      <c r="N94" s="161"/>
      <c r="O94" s="161"/>
      <c r="P94" s="333"/>
      <c r="Q94" s="334"/>
      <c r="R94" s="335"/>
      <c r="S94" s="159"/>
      <c r="T94" s="159"/>
      <c r="U94" s="159"/>
      <c r="V94" s="159"/>
      <c r="W94" s="159"/>
      <c r="Y94" s="152">
        <f>IF(F94="認証書",1,IF(F94="指定書",2,IF(F94="認定書",3,IF(F94="自動車整備士である証明",4,0))))</f>
        <v>0</v>
      </c>
      <c r="AA94" s="295" t="str">
        <f ca="1">中間シート!X61</f>
        <v>書類の種類を選択してください。</v>
      </c>
    </row>
    <row r="95" spans="2:27" s="148" customFormat="1" ht="5.0999999999999996" customHeight="1" thickBot="1" x14ac:dyDescent="0.2">
      <c r="B95" s="161"/>
      <c r="C95" s="174"/>
      <c r="D95" s="159"/>
      <c r="E95" s="159"/>
      <c r="F95" s="159"/>
      <c r="G95" s="159"/>
      <c r="H95" s="159"/>
      <c r="I95" s="159"/>
      <c r="J95" s="159"/>
      <c r="K95" s="159"/>
      <c r="L95" s="159"/>
      <c r="M95" s="159"/>
      <c r="N95" s="161"/>
      <c r="O95" s="159"/>
      <c r="P95" s="336"/>
      <c r="Q95" s="337"/>
      <c r="R95" s="338"/>
      <c r="S95" s="159"/>
      <c r="T95" s="159"/>
      <c r="U95" s="159"/>
      <c r="V95" s="159"/>
      <c r="W95" s="159"/>
      <c r="Y95" s="160"/>
      <c r="Z95" s="160"/>
      <c r="AA95" s="295"/>
    </row>
    <row r="96" spans="2:27" ht="18" customHeight="1" thickBot="1" x14ac:dyDescent="0.2">
      <c r="B96" s="161"/>
      <c r="C96" s="170" t="s">
        <v>7</v>
      </c>
      <c r="D96" s="178" t="str">
        <f>IF(F94="認定書","認定番号",IF(F94="指定書","指定番号",IF(F94="自動車整備士である証明","整備士合格証書番号","認証番号")))</f>
        <v>認証番号</v>
      </c>
      <c r="E96" s="161"/>
      <c r="F96" s="327"/>
      <c r="G96" s="328"/>
      <c r="H96" s="329"/>
      <c r="I96" s="159"/>
      <c r="J96" s="161" t="str">
        <f>IF(F94="自動車整備士である証明","　例)関東〇か第12345号","　例)○○第1234号、第1-1234号")</f>
        <v>　例)○○第1234号、第1-1234号</v>
      </c>
      <c r="K96" s="161"/>
      <c r="L96" s="161"/>
      <c r="M96" s="161"/>
      <c r="N96" s="161"/>
      <c r="O96" s="161"/>
      <c r="P96" s="161"/>
      <c r="Q96" s="159"/>
      <c r="R96" s="161"/>
      <c r="S96" s="161"/>
      <c r="T96" s="161"/>
      <c r="U96" s="161"/>
      <c r="V96" s="161"/>
      <c r="W96" s="161"/>
      <c r="AA96" s="295" t="str">
        <f ca="1">中間シート!X62</f>
        <v>認証・指定・認定番号または、整備士合格証書番号を入力してください。</v>
      </c>
    </row>
    <row r="97" spans="2:27" s="148" customFormat="1" ht="5.0999999999999996" customHeight="1" thickBot="1" x14ac:dyDescent="0.2">
      <c r="B97" s="161"/>
      <c r="C97" s="174"/>
      <c r="D97" s="159"/>
      <c r="E97" s="159"/>
      <c r="F97" s="159"/>
      <c r="G97" s="159"/>
      <c r="H97" s="159"/>
      <c r="I97" s="159"/>
      <c r="J97" s="159"/>
      <c r="K97" s="159"/>
      <c r="L97" s="159"/>
      <c r="M97" s="159"/>
      <c r="N97" s="159"/>
      <c r="O97" s="159"/>
      <c r="P97" s="159"/>
      <c r="Q97" s="159"/>
      <c r="R97" s="161"/>
      <c r="S97" s="161"/>
      <c r="T97" s="161"/>
      <c r="U97" s="161"/>
      <c r="V97" s="161"/>
      <c r="W97" s="161"/>
      <c r="Y97" s="160"/>
      <c r="Z97" s="160"/>
      <c r="AA97" s="295"/>
    </row>
    <row r="98" spans="2:27" ht="18" customHeight="1" thickBot="1" x14ac:dyDescent="0.2">
      <c r="B98" s="161"/>
      <c r="C98" s="170" t="str">
        <f>IF(F94="自動車整備士である証明","","※")</f>
        <v>※</v>
      </c>
      <c r="D98" s="161" t="s">
        <v>54</v>
      </c>
      <c r="E98" s="161"/>
      <c r="F98" s="315"/>
      <c r="G98" s="316"/>
      <c r="H98" s="317"/>
      <c r="I98" s="159"/>
      <c r="J98" s="161" t="s">
        <v>55</v>
      </c>
      <c r="K98" s="161"/>
      <c r="L98" s="161"/>
      <c r="M98" s="161"/>
      <c r="N98" s="161"/>
      <c r="O98" s="161"/>
      <c r="P98" s="161"/>
      <c r="Q98" s="161"/>
      <c r="R98" s="161"/>
      <c r="S98" s="161"/>
      <c r="T98" s="161"/>
      <c r="U98" s="161"/>
      <c r="V98" s="161"/>
      <c r="W98" s="161"/>
      <c r="AA98" s="295" t="str">
        <f ca="1">中間シート!X63</f>
        <v>管轄運輸局を入力してください。</v>
      </c>
    </row>
    <row r="99" spans="2:27" s="148" customFormat="1" ht="5.0999999999999996" customHeight="1" thickBot="1" x14ac:dyDescent="0.2">
      <c r="B99" s="161"/>
      <c r="C99" s="174"/>
      <c r="D99" s="159"/>
      <c r="E99" s="159"/>
      <c r="F99" s="159"/>
      <c r="G99" s="159"/>
      <c r="H99" s="159"/>
      <c r="I99" s="159"/>
      <c r="J99" s="159"/>
      <c r="K99" s="159"/>
      <c r="L99" s="159"/>
      <c r="M99" s="159"/>
      <c r="N99" s="159"/>
      <c r="O99" s="159"/>
      <c r="P99" s="159"/>
      <c r="Q99" s="161"/>
      <c r="R99" s="161"/>
      <c r="S99" s="161"/>
      <c r="T99" s="161"/>
      <c r="U99" s="161"/>
      <c r="V99" s="161"/>
      <c r="W99" s="161"/>
      <c r="Y99" s="160"/>
      <c r="Z99" s="160"/>
      <c r="AA99" s="295"/>
    </row>
    <row r="100" spans="2:27" ht="18" customHeight="1" thickBot="1" x14ac:dyDescent="0.2">
      <c r="B100" s="161"/>
      <c r="C100" s="170" t="s">
        <v>7</v>
      </c>
      <c r="D100" s="161" t="s">
        <v>56</v>
      </c>
      <c r="E100" s="161"/>
      <c r="F100" s="315"/>
      <c r="G100" s="316"/>
      <c r="H100" s="316"/>
      <c r="I100" s="316"/>
      <c r="J100" s="317"/>
      <c r="K100" s="161"/>
      <c r="L100" s="161"/>
      <c r="M100" s="161"/>
      <c r="N100" s="161"/>
      <c r="O100" s="161"/>
      <c r="P100" s="161"/>
      <c r="Q100" s="161"/>
      <c r="R100" s="161"/>
      <c r="S100" s="161"/>
      <c r="T100" s="161"/>
      <c r="U100" s="161"/>
      <c r="V100" s="161"/>
      <c r="W100" s="161"/>
      <c r="AA100" s="295" t="str">
        <f ca="1">中間シート!X64</f>
        <v>事業場名を入力してください。</v>
      </c>
    </row>
    <row r="101" spans="2:27" s="148" customFormat="1" ht="5.0999999999999996" customHeight="1" thickBot="1" x14ac:dyDescent="0.2">
      <c r="B101" s="161"/>
      <c r="C101" s="174"/>
      <c r="D101" s="159"/>
      <c r="E101" s="159"/>
      <c r="F101" s="159"/>
      <c r="G101" s="159"/>
      <c r="H101" s="159"/>
      <c r="I101" s="159"/>
      <c r="J101" s="159"/>
      <c r="K101" s="159"/>
      <c r="L101" s="159"/>
      <c r="M101" s="159"/>
      <c r="N101" s="159"/>
      <c r="O101" s="159"/>
      <c r="P101" s="159"/>
      <c r="Q101" s="161"/>
      <c r="R101" s="161"/>
      <c r="S101" s="161"/>
      <c r="T101" s="161"/>
      <c r="U101" s="161"/>
      <c r="V101" s="161"/>
      <c r="W101" s="161"/>
      <c r="Y101" s="160"/>
      <c r="Z101" s="160"/>
      <c r="AA101" s="295"/>
    </row>
    <row r="102" spans="2:27" ht="18" customHeight="1" thickBot="1" x14ac:dyDescent="0.2">
      <c r="B102" s="161"/>
      <c r="C102" s="170" t="s">
        <v>7</v>
      </c>
      <c r="D102" s="161" t="s">
        <v>24</v>
      </c>
      <c r="E102" s="161"/>
      <c r="F102" s="225"/>
      <c r="G102" s="172" t="s">
        <v>25</v>
      </c>
      <c r="H102" s="225"/>
      <c r="I102" s="161"/>
      <c r="J102" s="161"/>
      <c r="K102" s="161"/>
      <c r="L102" s="161"/>
      <c r="M102" s="161"/>
      <c r="N102" s="161"/>
      <c r="O102" s="161"/>
      <c r="P102" s="161"/>
      <c r="Q102" s="161"/>
      <c r="R102" s="161"/>
      <c r="S102" s="161"/>
      <c r="T102" s="161"/>
      <c r="U102" s="161"/>
      <c r="V102" s="161"/>
      <c r="W102" s="161"/>
      <c r="AA102" s="295" t="str">
        <f ca="1">中間シート!X65</f>
        <v>郵便番号を入力してください。</v>
      </c>
    </row>
    <row r="103" spans="2:27" s="148" customFormat="1" ht="5.0999999999999996" customHeight="1" thickBot="1" x14ac:dyDescent="0.2">
      <c r="B103" s="161"/>
      <c r="C103" s="174"/>
      <c r="D103" s="159"/>
      <c r="E103" s="159"/>
      <c r="F103" s="159"/>
      <c r="G103" s="159"/>
      <c r="H103" s="159"/>
      <c r="I103" s="159"/>
      <c r="J103" s="159"/>
      <c r="K103" s="159"/>
      <c r="L103" s="159"/>
      <c r="M103" s="159"/>
      <c r="N103" s="159"/>
      <c r="O103" s="159"/>
      <c r="P103" s="159"/>
      <c r="Q103" s="161"/>
      <c r="R103" s="161"/>
      <c r="S103" s="161"/>
      <c r="T103" s="161"/>
      <c r="U103" s="161"/>
      <c r="V103" s="161"/>
      <c r="W103" s="161"/>
      <c r="Y103" s="160"/>
      <c r="Z103" s="160"/>
      <c r="AA103" s="295"/>
    </row>
    <row r="104" spans="2:27" ht="18" customHeight="1" thickBot="1" x14ac:dyDescent="0.2">
      <c r="B104" s="161"/>
      <c r="C104" s="170" t="s">
        <v>7</v>
      </c>
      <c r="D104" s="161" t="s">
        <v>26</v>
      </c>
      <c r="E104" s="161"/>
      <c r="F104" s="80"/>
      <c r="G104" s="161"/>
      <c r="H104" s="161" t="s">
        <v>27</v>
      </c>
      <c r="I104" s="161"/>
      <c r="J104" s="161"/>
      <c r="K104" s="161"/>
      <c r="L104" s="161" t="s">
        <v>28</v>
      </c>
      <c r="M104" s="161"/>
      <c r="N104" s="161"/>
      <c r="O104" s="161"/>
      <c r="P104" s="161"/>
      <c r="Q104" s="161"/>
      <c r="R104" s="161"/>
      <c r="S104" s="161"/>
      <c r="T104" s="161"/>
      <c r="U104" s="161"/>
      <c r="V104" s="161"/>
      <c r="W104" s="161"/>
      <c r="AA104" s="295" t="str">
        <f ca="1">中間シート!X66</f>
        <v>都道府県を選択してください。</v>
      </c>
    </row>
    <row r="105" spans="2:27" s="148" customFormat="1" ht="5.0999999999999996" customHeight="1" thickBot="1" x14ac:dyDescent="0.2">
      <c r="B105" s="161"/>
      <c r="C105" s="174"/>
      <c r="D105" s="159"/>
      <c r="E105" s="159"/>
      <c r="F105" s="159"/>
      <c r="G105" s="159"/>
      <c r="H105" s="159"/>
      <c r="I105" s="159"/>
      <c r="J105" s="159"/>
      <c r="K105" s="159"/>
      <c r="L105" s="159"/>
      <c r="M105" s="159"/>
      <c r="N105" s="159"/>
      <c r="O105" s="159"/>
      <c r="P105" s="159"/>
      <c r="Q105" s="161"/>
      <c r="R105" s="161"/>
      <c r="S105" s="161"/>
      <c r="T105" s="161"/>
      <c r="U105" s="161"/>
      <c r="V105" s="161"/>
      <c r="W105" s="161"/>
      <c r="Y105" s="160"/>
      <c r="Z105" s="160"/>
      <c r="AA105" s="295"/>
    </row>
    <row r="106" spans="2:27" ht="18" customHeight="1" thickBot="1" x14ac:dyDescent="0.2">
      <c r="B106" s="161"/>
      <c r="C106" s="170" t="s">
        <v>7</v>
      </c>
      <c r="D106" s="161" t="s">
        <v>29</v>
      </c>
      <c r="E106" s="161"/>
      <c r="F106" s="315"/>
      <c r="G106" s="316"/>
      <c r="H106" s="316"/>
      <c r="I106" s="316"/>
      <c r="J106" s="317"/>
      <c r="K106" s="161"/>
      <c r="L106" s="161" t="s">
        <v>30</v>
      </c>
      <c r="M106" s="161"/>
      <c r="N106" s="161"/>
      <c r="O106" s="161"/>
      <c r="P106" s="161"/>
      <c r="Q106" s="161"/>
      <c r="R106" s="161"/>
      <c r="S106" s="161"/>
      <c r="T106" s="161"/>
      <c r="U106" s="161"/>
      <c r="V106" s="161"/>
      <c r="W106" s="161"/>
      <c r="AA106" s="295" t="str">
        <f ca="1">中間シート!X67</f>
        <v>市区町村を入力してください。</v>
      </c>
    </row>
    <row r="107" spans="2:27" s="148" customFormat="1" ht="5.0999999999999996" customHeight="1" thickBot="1" x14ac:dyDescent="0.2">
      <c r="B107" s="161"/>
      <c r="C107" s="174"/>
      <c r="D107" s="159"/>
      <c r="E107" s="159"/>
      <c r="F107" s="159"/>
      <c r="G107" s="159"/>
      <c r="H107" s="159"/>
      <c r="I107" s="159"/>
      <c r="J107" s="159"/>
      <c r="K107" s="159"/>
      <c r="L107" s="159"/>
      <c r="M107" s="159"/>
      <c r="N107" s="159"/>
      <c r="O107" s="159"/>
      <c r="P107" s="159"/>
      <c r="Q107" s="161"/>
      <c r="R107" s="161"/>
      <c r="S107" s="161"/>
      <c r="T107" s="161"/>
      <c r="U107" s="161"/>
      <c r="V107" s="161"/>
      <c r="W107" s="161"/>
      <c r="Y107" s="160"/>
      <c r="Z107" s="160"/>
      <c r="AA107" s="295"/>
    </row>
    <row r="108" spans="2:27" ht="18" customHeight="1" thickBot="1" x14ac:dyDescent="0.2">
      <c r="B108" s="161"/>
      <c r="C108" s="170" t="s">
        <v>7</v>
      </c>
      <c r="D108" s="161" t="s">
        <v>31</v>
      </c>
      <c r="E108" s="161"/>
      <c r="F108" s="318"/>
      <c r="G108" s="319"/>
      <c r="H108" s="319"/>
      <c r="I108" s="319"/>
      <c r="J108" s="320"/>
      <c r="K108" s="161"/>
      <c r="L108" s="161" t="s">
        <v>32</v>
      </c>
      <c r="M108" s="161"/>
      <c r="N108" s="161"/>
      <c r="O108" s="161"/>
      <c r="P108" s="161" t="s">
        <v>33</v>
      </c>
      <c r="Q108" s="161"/>
      <c r="R108" s="161"/>
      <c r="S108" s="161"/>
      <c r="T108" s="161"/>
      <c r="U108" s="161"/>
      <c r="V108" s="161"/>
      <c r="W108" s="161"/>
      <c r="AA108" s="295" t="str">
        <f ca="1">中間シート!X68</f>
        <v>町名地番を入力してください。</v>
      </c>
    </row>
    <row r="109" spans="2:27" s="148" customFormat="1" ht="5.0999999999999996" customHeight="1" thickBot="1" x14ac:dyDescent="0.2">
      <c r="B109" s="161"/>
      <c r="C109" s="179"/>
      <c r="D109" s="159"/>
      <c r="E109" s="159"/>
      <c r="F109" s="159"/>
      <c r="G109" s="159"/>
      <c r="H109" s="159"/>
      <c r="I109" s="159"/>
      <c r="J109" s="159"/>
      <c r="K109" s="159"/>
      <c r="L109" s="159"/>
      <c r="M109" s="159"/>
      <c r="N109" s="159"/>
      <c r="O109" s="159"/>
      <c r="P109" s="159"/>
      <c r="Q109" s="161"/>
      <c r="R109" s="161"/>
      <c r="S109" s="161"/>
      <c r="T109" s="161"/>
      <c r="U109" s="161"/>
      <c r="V109" s="161"/>
      <c r="W109" s="161"/>
      <c r="Y109" s="160"/>
      <c r="Z109" s="160"/>
      <c r="AA109" s="295"/>
    </row>
    <row r="110" spans="2:27" ht="18" customHeight="1" thickBot="1" x14ac:dyDescent="0.2">
      <c r="B110" s="161"/>
      <c r="C110" s="180"/>
      <c r="D110" s="161" t="s">
        <v>34</v>
      </c>
      <c r="E110" s="161"/>
      <c r="F110" s="318"/>
      <c r="G110" s="319"/>
      <c r="H110" s="319"/>
      <c r="I110" s="319"/>
      <c r="J110" s="320"/>
      <c r="K110" s="161"/>
      <c r="L110" s="161" t="s">
        <v>35</v>
      </c>
      <c r="M110" s="161"/>
      <c r="N110" s="161"/>
      <c r="O110" s="161"/>
      <c r="P110" s="161" t="s">
        <v>36</v>
      </c>
      <c r="Q110" s="161"/>
      <c r="R110" s="161"/>
      <c r="S110" s="161"/>
      <c r="T110" s="161"/>
      <c r="U110" s="161"/>
      <c r="V110" s="161"/>
      <c r="W110" s="161"/>
    </row>
    <row r="111" spans="2:27" s="148" customFormat="1" ht="5.0999999999999996" customHeight="1" x14ac:dyDescent="0.15">
      <c r="B111" s="159"/>
      <c r="C111" s="179"/>
      <c r="D111" s="159"/>
      <c r="E111" s="159"/>
      <c r="F111" s="159"/>
      <c r="G111" s="159"/>
      <c r="H111" s="159"/>
      <c r="I111" s="159"/>
      <c r="J111" s="159"/>
      <c r="K111" s="159"/>
      <c r="L111" s="159"/>
      <c r="M111" s="159"/>
      <c r="N111" s="159"/>
      <c r="O111" s="159"/>
      <c r="P111" s="159"/>
      <c r="Q111" s="159"/>
      <c r="R111" s="159"/>
      <c r="S111" s="159"/>
      <c r="T111" s="159"/>
      <c r="U111" s="159"/>
      <c r="V111" s="159"/>
      <c r="W111" s="159"/>
      <c r="Y111" s="160"/>
      <c r="Z111" s="160"/>
      <c r="AA111" s="295"/>
    </row>
    <row r="112" spans="2:27" x14ac:dyDescent="0.15">
      <c r="B112" s="161"/>
      <c r="C112" s="180"/>
      <c r="D112" s="161"/>
      <c r="E112" s="161"/>
      <c r="F112" s="161"/>
      <c r="G112" s="161"/>
      <c r="H112" s="161"/>
      <c r="I112" s="161"/>
      <c r="J112" s="161"/>
      <c r="K112" s="161"/>
      <c r="L112" s="161"/>
      <c r="M112" s="161"/>
      <c r="N112" s="161"/>
      <c r="O112" s="161"/>
      <c r="P112" s="161"/>
      <c r="Q112" s="161"/>
      <c r="R112" s="161"/>
      <c r="S112" s="161"/>
      <c r="T112" s="161"/>
      <c r="U112" s="161"/>
      <c r="V112" s="161"/>
      <c r="W112" s="161"/>
    </row>
    <row r="113" spans="2:27" x14ac:dyDescent="0.15">
      <c r="B113" s="161"/>
      <c r="C113" s="180"/>
      <c r="D113" s="161"/>
      <c r="E113" s="161"/>
      <c r="F113" s="161"/>
      <c r="G113" s="161"/>
      <c r="H113" s="161"/>
      <c r="I113" s="161"/>
      <c r="J113" s="161"/>
      <c r="K113" s="161"/>
      <c r="L113" s="161"/>
      <c r="M113" s="161"/>
      <c r="N113" s="161"/>
      <c r="O113" s="161"/>
      <c r="P113" s="161"/>
      <c r="Q113" s="161"/>
      <c r="R113" s="161"/>
      <c r="S113" s="161"/>
      <c r="T113" s="161"/>
      <c r="U113" s="161"/>
      <c r="V113" s="161"/>
      <c r="W113" s="161"/>
    </row>
    <row r="114" spans="2:27" x14ac:dyDescent="0.15">
      <c r="B114" s="161"/>
      <c r="C114" s="161" t="s">
        <v>57</v>
      </c>
      <c r="D114" s="161"/>
      <c r="E114" s="161"/>
      <c r="F114" s="161"/>
      <c r="G114" s="161"/>
      <c r="H114" s="161"/>
      <c r="I114" s="161"/>
      <c r="J114" s="161"/>
      <c r="K114" s="161"/>
      <c r="L114" s="161"/>
      <c r="M114" s="161"/>
      <c r="N114" s="161"/>
      <c r="O114" s="161"/>
      <c r="P114" s="161"/>
      <c r="Q114" s="161"/>
      <c r="R114" s="161"/>
      <c r="S114" s="161"/>
      <c r="T114" s="161"/>
      <c r="U114" s="161"/>
      <c r="V114" s="161"/>
      <c r="W114" s="161"/>
    </row>
    <row r="115" spans="2:27" s="148" customFormat="1" ht="5.0999999999999996" customHeight="1" x14ac:dyDescent="0.15">
      <c r="B115" s="159"/>
      <c r="C115" s="159"/>
      <c r="D115" s="159"/>
      <c r="E115" s="159"/>
      <c r="F115" s="159"/>
      <c r="G115" s="159"/>
      <c r="H115" s="159"/>
      <c r="I115" s="159"/>
      <c r="J115" s="159"/>
      <c r="K115" s="159"/>
      <c r="L115" s="159"/>
      <c r="M115" s="159"/>
      <c r="N115" s="159"/>
      <c r="O115" s="159"/>
      <c r="P115" s="159"/>
      <c r="Q115" s="159"/>
      <c r="R115" s="159"/>
      <c r="S115" s="159"/>
      <c r="T115" s="159"/>
      <c r="U115" s="159"/>
      <c r="V115" s="159"/>
      <c r="W115" s="159"/>
      <c r="Y115" s="160"/>
      <c r="Z115" s="160"/>
      <c r="AA115" s="295"/>
    </row>
    <row r="116" spans="2:27" x14ac:dyDescent="0.15">
      <c r="B116" s="161"/>
      <c r="C116" s="161"/>
      <c r="D116" s="169" t="s">
        <v>58</v>
      </c>
      <c r="E116" s="161"/>
      <c r="F116" s="161"/>
      <c r="G116" s="161"/>
      <c r="H116" s="161"/>
      <c r="I116" s="161"/>
      <c r="J116" s="161"/>
      <c r="K116" s="161"/>
      <c r="L116" s="161"/>
      <c r="M116" s="161"/>
      <c r="N116" s="161"/>
      <c r="O116" s="161"/>
      <c r="P116" s="161"/>
      <c r="Q116" s="161"/>
      <c r="R116" s="161"/>
      <c r="S116" s="161"/>
      <c r="T116" s="161"/>
      <c r="U116" s="161"/>
      <c r="V116" s="161"/>
      <c r="W116" s="161"/>
    </row>
    <row r="117" spans="2:27" x14ac:dyDescent="0.15">
      <c r="B117" s="161"/>
      <c r="C117" s="161"/>
      <c r="D117" s="79" t="s">
        <v>59</v>
      </c>
      <c r="E117" s="161"/>
      <c r="F117" s="161"/>
      <c r="G117" s="161"/>
      <c r="H117" s="161"/>
      <c r="I117" s="161"/>
      <c r="J117" s="161"/>
      <c r="K117" s="161"/>
      <c r="L117" s="161"/>
      <c r="M117" s="161"/>
      <c r="N117" s="161"/>
      <c r="O117" s="161"/>
      <c r="P117" s="161"/>
      <c r="Q117" s="161"/>
      <c r="R117" s="161"/>
      <c r="S117" s="161"/>
      <c r="T117" s="161"/>
      <c r="U117" s="161"/>
      <c r="V117" s="161"/>
      <c r="W117" s="161"/>
    </row>
    <row r="118" spans="2:27" x14ac:dyDescent="0.15">
      <c r="B118" s="161"/>
      <c r="C118" s="180"/>
      <c r="D118" s="161"/>
      <c r="E118" s="161"/>
      <c r="F118" s="161"/>
      <c r="G118" s="161"/>
      <c r="H118" s="161"/>
      <c r="I118" s="161"/>
      <c r="J118" s="161"/>
      <c r="K118" s="161"/>
      <c r="L118" s="161"/>
      <c r="M118" s="161"/>
      <c r="N118" s="161"/>
      <c r="O118" s="161"/>
      <c r="P118" s="161"/>
      <c r="Q118" s="161"/>
      <c r="R118" s="161"/>
      <c r="S118" s="161"/>
      <c r="T118" s="161"/>
      <c r="U118" s="161"/>
      <c r="V118" s="161"/>
      <c r="W118" s="161"/>
    </row>
    <row r="119" spans="2:27" x14ac:dyDescent="0.15">
      <c r="B119" s="161"/>
      <c r="C119" s="164" t="s">
        <v>60</v>
      </c>
      <c r="D119" s="161" t="s">
        <v>61</v>
      </c>
      <c r="E119" s="161"/>
      <c r="F119" s="161"/>
      <c r="G119" s="161"/>
      <c r="H119" s="161"/>
      <c r="I119" s="161"/>
      <c r="J119" s="161"/>
      <c r="K119" s="161"/>
      <c r="L119" s="161"/>
      <c r="M119" s="161"/>
      <c r="N119" s="161"/>
      <c r="O119" s="161"/>
      <c r="P119" s="161"/>
      <c r="Q119" s="161"/>
      <c r="R119" s="161"/>
      <c r="S119" s="161"/>
      <c r="T119" s="161"/>
      <c r="U119" s="161"/>
      <c r="V119" s="161"/>
      <c r="W119" s="161"/>
    </row>
    <row r="120" spans="2:27" s="148" customFormat="1" ht="5.0999999999999996" customHeight="1" x14ac:dyDescent="0.15">
      <c r="B120" s="159"/>
      <c r="C120" s="159"/>
      <c r="D120" s="159"/>
      <c r="E120" s="159"/>
      <c r="F120" s="159"/>
      <c r="G120" s="159"/>
      <c r="H120" s="159"/>
      <c r="I120" s="159"/>
      <c r="J120" s="159"/>
      <c r="K120" s="161"/>
      <c r="L120" s="159"/>
      <c r="M120" s="159"/>
      <c r="N120" s="159"/>
      <c r="O120" s="159"/>
      <c r="P120" s="159"/>
      <c r="Q120" s="159"/>
      <c r="R120" s="159"/>
      <c r="S120" s="159"/>
      <c r="T120" s="159"/>
      <c r="U120" s="159"/>
      <c r="V120" s="159"/>
      <c r="W120" s="159"/>
      <c r="Y120" s="160"/>
      <c r="Z120" s="160"/>
      <c r="AA120" s="295"/>
    </row>
    <row r="121" spans="2:27" ht="27" customHeight="1" x14ac:dyDescent="0.15">
      <c r="B121" s="161"/>
      <c r="C121" s="180"/>
      <c r="D121" s="342" t="s">
        <v>62</v>
      </c>
      <c r="E121" s="343"/>
      <c r="F121" s="343"/>
      <c r="G121" s="343"/>
      <c r="H121" s="343"/>
      <c r="I121" s="343"/>
      <c r="J121" s="343"/>
      <c r="K121" s="343"/>
      <c r="L121" s="343"/>
      <c r="M121" s="343"/>
      <c r="N121" s="343"/>
      <c r="O121" s="343"/>
      <c r="P121" s="343"/>
      <c r="Q121" s="343"/>
      <c r="R121" s="343"/>
      <c r="S121" s="343"/>
      <c r="T121" s="343"/>
      <c r="U121" s="343"/>
      <c r="V121" s="343"/>
      <c r="W121" s="161"/>
    </row>
    <row r="122" spans="2:27" ht="5.0999999999999996" customHeight="1" x14ac:dyDescent="0.15">
      <c r="B122" s="161"/>
      <c r="C122" s="180"/>
      <c r="D122" s="161"/>
      <c r="E122" s="180"/>
      <c r="F122" s="180"/>
      <c r="G122" s="161"/>
      <c r="H122" s="161"/>
      <c r="I122" s="161"/>
      <c r="J122" s="161"/>
      <c r="K122" s="161"/>
      <c r="L122" s="161"/>
      <c r="M122" s="161"/>
      <c r="N122" s="161"/>
      <c r="O122" s="161"/>
      <c r="P122" s="161"/>
      <c r="Q122" s="161"/>
      <c r="R122" s="161"/>
      <c r="S122" s="161"/>
      <c r="T122" s="161"/>
      <c r="U122" s="161"/>
      <c r="V122" s="161"/>
      <c r="W122" s="161"/>
    </row>
    <row r="123" spans="2:27" x14ac:dyDescent="0.15">
      <c r="B123" s="161"/>
      <c r="C123" s="180"/>
      <c r="D123" s="161" t="s">
        <v>63</v>
      </c>
      <c r="E123" s="180"/>
      <c r="F123" s="180"/>
      <c r="G123" s="161"/>
      <c r="H123" s="161"/>
      <c r="I123" s="161"/>
      <c r="J123" s="161"/>
      <c r="K123" s="161"/>
      <c r="L123" s="161"/>
      <c r="M123" s="161"/>
      <c r="N123" s="161"/>
      <c r="O123" s="161"/>
      <c r="P123" s="161"/>
      <c r="Q123" s="161"/>
      <c r="R123" s="161"/>
      <c r="S123" s="161"/>
      <c r="T123" s="161"/>
      <c r="U123" s="161"/>
      <c r="V123" s="161"/>
      <c r="W123" s="161"/>
    </row>
    <row r="124" spans="2:27" x14ac:dyDescent="0.15">
      <c r="B124" s="161"/>
      <c r="C124" s="180"/>
      <c r="D124" s="161" t="s">
        <v>64</v>
      </c>
      <c r="E124" s="180"/>
      <c r="F124" s="180"/>
      <c r="G124" s="161"/>
      <c r="H124" s="161"/>
      <c r="I124" s="161"/>
      <c r="J124" s="161"/>
      <c r="K124" s="161"/>
      <c r="L124" s="161"/>
      <c r="M124" s="161"/>
      <c r="N124" s="161"/>
      <c r="O124" s="161"/>
      <c r="P124" s="161"/>
      <c r="Q124" s="161"/>
      <c r="R124" s="161"/>
      <c r="S124" s="161"/>
      <c r="T124" s="161"/>
      <c r="U124" s="161"/>
      <c r="V124" s="161"/>
      <c r="W124" s="161"/>
    </row>
    <row r="125" spans="2:27" x14ac:dyDescent="0.15">
      <c r="B125" s="161"/>
      <c r="C125" s="180"/>
      <c r="D125" s="180"/>
      <c r="E125" s="180"/>
      <c r="F125" s="180"/>
      <c r="G125" s="161"/>
      <c r="H125" s="161"/>
      <c r="I125" s="161"/>
      <c r="J125" s="161"/>
      <c r="K125" s="161"/>
      <c r="L125" s="161"/>
      <c r="M125" s="161"/>
      <c r="N125" s="161"/>
      <c r="O125" s="161"/>
      <c r="P125" s="161"/>
      <c r="Q125" s="161"/>
      <c r="R125" s="161"/>
      <c r="S125" s="161"/>
      <c r="T125" s="161"/>
      <c r="U125" s="161"/>
      <c r="V125" s="161"/>
      <c r="W125" s="161"/>
    </row>
    <row r="126" spans="2:27" ht="31.5" customHeight="1" x14ac:dyDescent="0.15">
      <c r="B126" s="161"/>
      <c r="C126" s="180"/>
      <c r="D126" s="161"/>
      <c r="E126" s="180"/>
      <c r="F126" s="182" t="s">
        <v>65</v>
      </c>
      <c r="G126" s="161"/>
      <c r="H126" s="181" t="s">
        <v>66</v>
      </c>
      <c r="I126" s="161"/>
      <c r="J126" s="182" t="s">
        <v>67</v>
      </c>
      <c r="K126" s="161"/>
      <c r="L126" s="161"/>
      <c r="M126" s="161"/>
      <c r="N126" s="182" t="s">
        <v>68</v>
      </c>
      <c r="O126" s="161"/>
      <c r="P126" s="161"/>
      <c r="Q126" s="161"/>
      <c r="R126" s="182" t="s">
        <v>69</v>
      </c>
      <c r="S126" s="161"/>
      <c r="T126" s="161"/>
      <c r="U126" s="161"/>
      <c r="V126" s="183" t="s">
        <v>70</v>
      </c>
      <c r="W126" s="161"/>
    </row>
    <row r="127" spans="2:27" s="148" customFormat="1" ht="5.0999999999999996" customHeight="1" thickBot="1" x14ac:dyDescent="0.2">
      <c r="B127" s="159"/>
      <c r="C127" s="159"/>
      <c r="D127" s="159"/>
      <c r="E127" s="180"/>
      <c r="F127" s="159"/>
      <c r="G127" s="161"/>
      <c r="H127" s="159"/>
      <c r="I127" s="159"/>
      <c r="J127" s="159"/>
      <c r="K127" s="159"/>
      <c r="L127" s="159"/>
      <c r="M127" s="161"/>
      <c r="N127" s="159"/>
      <c r="O127" s="159"/>
      <c r="P127" s="159"/>
      <c r="Q127" s="159"/>
      <c r="R127" s="159"/>
      <c r="S127" s="159"/>
      <c r="T127" s="159"/>
      <c r="U127" s="159"/>
      <c r="V127" s="159"/>
      <c r="W127" s="161"/>
      <c r="Y127" s="152"/>
      <c r="Z127" s="160"/>
      <c r="AA127" s="295"/>
    </row>
    <row r="128" spans="2:27" ht="18" customHeight="1" thickBot="1" x14ac:dyDescent="0.2">
      <c r="B128" s="161"/>
      <c r="C128" s="184" t="s">
        <v>71</v>
      </c>
      <c r="D128" s="180" t="s">
        <v>72</v>
      </c>
      <c r="E128" s="180"/>
      <c r="F128" s="227"/>
      <c r="G128" s="183"/>
      <c r="H128" s="226"/>
      <c r="I128" s="183"/>
      <c r="J128" s="308" t="str">
        <f>IFERROR(VLOOKUP($F128,補助対象機器一覧20220831!$A$2:$K$200,2,FALSE),"")</f>
        <v/>
      </c>
      <c r="K128" s="309"/>
      <c r="L128" s="310"/>
      <c r="M128" s="178"/>
      <c r="N128" s="308" t="str">
        <f>IFERROR(VLOOKUP($F128,補助対象機器一覧20220831!$A$2:$K$200,7,FALSE),"")</f>
        <v/>
      </c>
      <c r="O128" s="309"/>
      <c r="P128" s="310"/>
      <c r="Q128" s="178"/>
      <c r="R128" s="308" t="str">
        <f>IFERROR(VLOOKUP($F128,補助対象機器一覧20220831!$A$2:$K$200,8,FALSE),"")</f>
        <v/>
      </c>
      <c r="S128" s="309"/>
      <c r="T128" s="310"/>
      <c r="U128" s="178"/>
      <c r="V128" s="185" t="str">
        <f>IFERROR(VLOOKUP($F128,補助対象機器一覧20220831!$A$2:$K$200,9,FALSE),"")</f>
        <v/>
      </c>
      <c r="W128" s="161"/>
      <c r="Y128" s="152">
        <f>IF(J128&lt;&gt;"",1,IF(H128="なし",2,0))</f>
        <v>0</v>
      </c>
      <c r="Z128" s="186" t="str">
        <f>中間シート!P514</f>
        <v/>
      </c>
      <c r="AA128" s="307" t="str">
        <f ca="1">中間シート!X514</f>
        <v>交付申請時のコード番号を選択してください。
申請するコード番号が選べなかった場合は、コード番号の有無で「なし」を選択してください。</v>
      </c>
    </row>
    <row r="129" spans="2:27" s="148" customFormat="1" ht="5.0999999999999996" customHeight="1" thickBot="1" x14ac:dyDescent="0.2">
      <c r="B129" s="159"/>
      <c r="C129" s="180"/>
      <c r="D129" s="180"/>
      <c r="E129" s="180"/>
      <c r="F129" s="187"/>
      <c r="G129" s="183"/>
      <c r="H129" s="183"/>
      <c r="I129" s="187"/>
      <c r="J129" s="297"/>
      <c r="K129" s="297"/>
      <c r="L129" s="297"/>
      <c r="M129" s="178"/>
      <c r="N129" s="297"/>
      <c r="O129" s="297"/>
      <c r="P129" s="297"/>
      <c r="Q129" s="297"/>
      <c r="R129" s="297"/>
      <c r="S129" s="297"/>
      <c r="T129" s="297"/>
      <c r="U129" s="297"/>
      <c r="V129" s="297"/>
      <c r="W129" s="161"/>
      <c r="Y129" s="160"/>
      <c r="Z129" s="160"/>
      <c r="AA129" s="307"/>
    </row>
    <row r="130" spans="2:27" ht="18" customHeight="1" thickBot="1" x14ac:dyDescent="0.2">
      <c r="B130" s="161"/>
      <c r="C130" s="180"/>
      <c r="D130" s="180"/>
      <c r="E130" s="180"/>
      <c r="F130" s="183"/>
      <c r="G130" s="183"/>
      <c r="H130" s="183"/>
      <c r="I130" s="188" t="str">
        <f>IF(Y128=2,"入力してください→",IF(Y128=1,"入力不要です→",""))</f>
        <v/>
      </c>
      <c r="J130" s="311"/>
      <c r="K130" s="312"/>
      <c r="L130" s="313"/>
      <c r="M130" s="178"/>
      <c r="N130" s="311"/>
      <c r="O130" s="312"/>
      <c r="P130" s="313"/>
      <c r="Q130" s="178"/>
      <c r="R130" s="311"/>
      <c r="S130" s="312"/>
      <c r="T130" s="313"/>
      <c r="U130" s="178"/>
      <c r="V130" s="298"/>
      <c r="W130" s="161"/>
      <c r="AA130" s="307"/>
    </row>
    <row r="131" spans="2:27" ht="14.25" thickBot="1" x14ac:dyDescent="0.2">
      <c r="B131" s="161"/>
      <c r="C131" s="180"/>
      <c r="D131" s="180"/>
      <c r="E131" s="180"/>
      <c r="F131" s="183"/>
      <c r="G131" s="183"/>
      <c r="H131" s="183"/>
      <c r="I131" s="164"/>
      <c r="J131" s="178"/>
      <c r="K131" s="178"/>
      <c r="L131" s="178"/>
      <c r="M131" s="178"/>
      <c r="N131" s="178"/>
      <c r="O131" s="178"/>
      <c r="P131" s="178"/>
      <c r="Q131" s="178"/>
      <c r="R131" s="178"/>
      <c r="S131" s="178"/>
      <c r="T131" s="178"/>
      <c r="U131" s="178"/>
      <c r="V131" s="178"/>
      <c r="W131" s="161"/>
    </row>
    <row r="132" spans="2:27" ht="18" customHeight="1" thickBot="1" x14ac:dyDescent="0.2">
      <c r="B132" s="161"/>
      <c r="C132" s="180"/>
      <c r="D132" s="180" t="s">
        <v>73</v>
      </c>
      <c r="E132" s="180"/>
      <c r="F132" s="227"/>
      <c r="G132" s="183"/>
      <c r="H132" s="226"/>
      <c r="I132" s="164"/>
      <c r="J132" s="308" t="str">
        <f>IFERROR(VLOOKUP($F132,補助対象機器一覧20220831!$A$2:$K$200,2,FALSE),"")</f>
        <v/>
      </c>
      <c r="K132" s="309"/>
      <c r="L132" s="310"/>
      <c r="M132" s="178"/>
      <c r="N132" s="308" t="str">
        <f>IFERROR(VLOOKUP($F132,補助対象機器一覧20220831!$A$2:$K$200,7,FALSE),"")</f>
        <v/>
      </c>
      <c r="O132" s="309"/>
      <c r="P132" s="310"/>
      <c r="Q132" s="178"/>
      <c r="R132" s="308" t="str">
        <f>IFERROR(VLOOKUP($F132,補助対象機器一覧20220831!$A$2:$K$200,8,FALSE),"")</f>
        <v/>
      </c>
      <c r="S132" s="309"/>
      <c r="T132" s="310"/>
      <c r="U132" s="178"/>
      <c r="V132" s="185" t="str">
        <f>IFERROR(VLOOKUP($F132,補助対象機器一覧20220831!$A$2:$K$200,9,FALSE),"")</f>
        <v/>
      </c>
      <c r="W132" s="161"/>
      <c r="Y132" s="152">
        <f>IF(J132&lt;&gt;"",1,IF(H132="なし",2,0))</f>
        <v>0</v>
      </c>
      <c r="Z132" s="186" t="str">
        <f>中間シート!P515</f>
        <v/>
      </c>
      <c r="AA132" s="307" t="str">
        <f ca="1">中間シート!X515</f>
        <v/>
      </c>
    </row>
    <row r="133" spans="2:27" s="148" customFormat="1" ht="5.0999999999999996" customHeight="1" thickBot="1" x14ac:dyDescent="0.2">
      <c r="B133" s="159"/>
      <c r="C133" s="180"/>
      <c r="D133" s="174"/>
      <c r="E133" s="180"/>
      <c r="F133" s="187"/>
      <c r="G133" s="187"/>
      <c r="H133" s="187"/>
      <c r="I133" s="177"/>
      <c r="J133" s="297"/>
      <c r="K133" s="297"/>
      <c r="L133" s="297"/>
      <c r="M133" s="178"/>
      <c r="N133" s="297"/>
      <c r="O133" s="297"/>
      <c r="P133" s="297"/>
      <c r="Q133" s="297"/>
      <c r="R133" s="297"/>
      <c r="S133" s="297"/>
      <c r="T133" s="297"/>
      <c r="U133" s="297"/>
      <c r="V133" s="297"/>
      <c r="W133" s="159"/>
      <c r="Y133" s="160"/>
      <c r="Z133" s="160"/>
      <c r="AA133" s="307"/>
    </row>
    <row r="134" spans="2:27" s="148" customFormat="1" ht="18" customHeight="1" thickBot="1" x14ac:dyDescent="0.2">
      <c r="B134" s="159"/>
      <c r="C134" s="159"/>
      <c r="D134" s="179"/>
      <c r="E134" s="180"/>
      <c r="F134" s="183"/>
      <c r="G134" s="187"/>
      <c r="H134" s="187"/>
      <c r="I134" s="188" t="str">
        <f>IF(Y132=2,"入力してください→",IF(Y132=1,"入力不要です→",""))</f>
        <v/>
      </c>
      <c r="J134" s="311"/>
      <c r="K134" s="312"/>
      <c r="L134" s="313"/>
      <c r="M134" s="178"/>
      <c r="N134" s="311"/>
      <c r="O134" s="312"/>
      <c r="P134" s="313"/>
      <c r="Q134" s="178"/>
      <c r="R134" s="311"/>
      <c r="S134" s="312"/>
      <c r="T134" s="313"/>
      <c r="U134" s="178"/>
      <c r="V134" s="298"/>
      <c r="W134" s="161"/>
      <c r="Y134" s="152"/>
      <c r="Z134" s="160"/>
      <c r="AA134" s="307"/>
    </row>
    <row r="135" spans="2:27" ht="14.25" thickBot="1" x14ac:dyDescent="0.2">
      <c r="B135" s="161"/>
      <c r="C135" s="180"/>
      <c r="D135" s="180"/>
      <c r="E135" s="180"/>
      <c r="F135" s="183"/>
      <c r="G135" s="183"/>
      <c r="H135" s="183"/>
      <c r="I135" s="164"/>
      <c r="J135" s="178"/>
      <c r="K135" s="178"/>
      <c r="L135" s="178"/>
      <c r="M135" s="178"/>
      <c r="N135" s="178"/>
      <c r="O135" s="178"/>
      <c r="P135" s="178"/>
      <c r="Q135" s="178"/>
      <c r="R135" s="178"/>
      <c r="S135" s="178"/>
      <c r="T135" s="178"/>
      <c r="U135" s="178"/>
      <c r="V135" s="178"/>
      <c r="W135" s="161"/>
    </row>
    <row r="136" spans="2:27" ht="18" customHeight="1" thickBot="1" x14ac:dyDescent="0.2">
      <c r="B136" s="161"/>
      <c r="C136" s="180"/>
      <c r="D136" s="189" t="s">
        <v>74</v>
      </c>
      <c r="E136" s="180"/>
      <c r="F136" s="227"/>
      <c r="G136" s="190"/>
      <c r="H136" s="226"/>
      <c r="I136" s="164"/>
      <c r="J136" s="308" t="str">
        <f>IFERROR(VLOOKUP($F136,補助対象機器一覧20220831!$A$2:$K$200,2,FALSE),"")</f>
        <v/>
      </c>
      <c r="K136" s="309"/>
      <c r="L136" s="310"/>
      <c r="M136" s="178"/>
      <c r="N136" s="308" t="str">
        <f>IFERROR(VLOOKUP($F136,補助対象機器一覧20220831!$A$2:$K$200,7,FALSE),"")</f>
        <v/>
      </c>
      <c r="O136" s="309"/>
      <c r="P136" s="310"/>
      <c r="Q136" s="178"/>
      <c r="R136" s="308" t="str">
        <f>IFERROR(VLOOKUP($F136,補助対象機器一覧20220831!$A$2:$K$200,8,FALSE),"")</f>
        <v/>
      </c>
      <c r="S136" s="309"/>
      <c r="T136" s="310"/>
      <c r="U136" s="178"/>
      <c r="V136" s="185" t="str">
        <f>IFERROR(VLOOKUP($F136,補助対象機器一覧20220831!$A$2:$K$200,9,FALSE),"")</f>
        <v/>
      </c>
      <c r="W136" s="161"/>
      <c r="Y136" s="152">
        <f>IF(J136&lt;&gt;"",1,IF(H136="なし",2,0))</f>
        <v>0</v>
      </c>
      <c r="Z136" s="186" t="str">
        <f>中間シート!P516</f>
        <v/>
      </c>
      <c r="AA136" s="307" t="str">
        <f ca="1">中間シート!X516</f>
        <v/>
      </c>
    </row>
    <row r="137" spans="2:27" s="148" customFormat="1" ht="5.0999999999999996" customHeight="1" thickBot="1" x14ac:dyDescent="0.2">
      <c r="B137" s="159"/>
      <c r="C137" s="191"/>
      <c r="D137" s="191"/>
      <c r="E137" s="180"/>
      <c r="F137" s="191"/>
      <c r="G137" s="191"/>
      <c r="H137" s="191"/>
      <c r="I137" s="192"/>
      <c r="J137" s="299"/>
      <c r="K137" s="299"/>
      <c r="L137" s="299"/>
      <c r="M137" s="299"/>
      <c r="N137" s="299"/>
      <c r="O137" s="299"/>
      <c r="P137" s="299"/>
      <c r="Q137" s="299"/>
      <c r="R137" s="299"/>
      <c r="S137" s="299"/>
      <c r="T137" s="299"/>
      <c r="U137" s="178"/>
      <c r="V137" s="178"/>
      <c r="W137" s="161"/>
      <c r="Y137" s="160"/>
      <c r="Z137" s="160"/>
      <c r="AA137" s="307"/>
    </row>
    <row r="138" spans="2:27" ht="18" customHeight="1" thickBot="1" x14ac:dyDescent="0.2">
      <c r="B138" s="161"/>
      <c r="C138" s="180"/>
      <c r="D138" s="180"/>
      <c r="E138" s="180"/>
      <c r="F138" s="190"/>
      <c r="G138" s="183"/>
      <c r="H138" s="183"/>
      <c r="I138" s="188" t="str">
        <f>IF(Y136=2,"入力してください→",IF(Y136=1,"入力不要です→",""))</f>
        <v/>
      </c>
      <c r="J138" s="311"/>
      <c r="K138" s="312"/>
      <c r="L138" s="313"/>
      <c r="M138" s="178"/>
      <c r="N138" s="311"/>
      <c r="O138" s="312"/>
      <c r="P138" s="313"/>
      <c r="Q138" s="178"/>
      <c r="R138" s="311"/>
      <c r="S138" s="312"/>
      <c r="T138" s="313"/>
      <c r="U138" s="178"/>
      <c r="V138" s="298"/>
      <c r="W138" s="161"/>
      <c r="AA138" s="307"/>
    </row>
    <row r="139" spans="2:27" ht="27" customHeight="1" x14ac:dyDescent="0.15">
      <c r="B139" s="161"/>
      <c r="C139" s="191"/>
      <c r="D139" s="161"/>
      <c r="E139" s="161"/>
      <c r="F139" s="161"/>
      <c r="G139" s="161"/>
      <c r="H139" s="161"/>
      <c r="I139" s="161"/>
      <c r="J139" s="161"/>
      <c r="K139" s="161"/>
      <c r="L139" s="161"/>
      <c r="M139" s="161"/>
      <c r="N139" s="161"/>
      <c r="O139" s="161"/>
      <c r="P139" s="161"/>
      <c r="Q139" s="161"/>
      <c r="R139" s="161"/>
      <c r="S139" s="161"/>
      <c r="T139" s="161"/>
      <c r="U139" s="161"/>
      <c r="V139" s="161"/>
      <c r="W139" s="161"/>
    </row>
    <row r="140" spans="2:27" x14ac:dyDescent="0.15">
      <c r="B140" s="161"/>
      <c r="C140" s="183" t="s">
        <v>75</v>
      </c>
      <c r="D140" s="161"/>
      <c r="E140" s="161"/>
      <c r="F140" s="161"/>
      <c r="G140" s="161"/>
      <c r="H140" s="161"/>
      <c r="I140" s="161"/>
      <c r="J140" s="161"/>
      <c r="K140" s="161"/>
      <c r="L140" s="161"/>
      <c r="M140" s="161"/>
      <c r="N140" s="161"/>
      <c r="O140" s="161"/>
      <c r="P140" s="161"/>
      <c r="Q140" s="161"/>
      <c r="R140" s="161"/>
      <c r="S140" s="161"/>
      <c r="T140" s="161"/>
      <c r="U140" s="161"/>
      <c r="V140" s="161"/>
      <c r="W140" s="161"/>
    </row>
    <row r="141" spans="2:27" ht="5.0999999999999996" customHeight="1" x14ac:dyDescent="0.15">
      <c r="B141" s="161"/>
      <c r="C141" s="161"/>
      <c r="D141" s="161"/>
      <c r="E141" s="161"/>
      <c r="F141" s="161"/>
      <c r="G141" s="161"/>
      <c r="H141" s="161"/>
      <c r="I141" s="161"/>
      <c r="J141" s="161"/>
      <c r="K141" s="161"/>
      <c r="L141" s="161"/>
      <c r="M141" s="161"/>
      <c r="N141" s="161"/>
      <c r="O141" s="161"/>
      <c r="P141" s="161"/>
      <c r="Q141" s="161"/>
      <c r="R141" s="161"/>
      <c r="S141" s="161"/>
      <c r="T141" s="161"/>
      <c r="U141" s="161"/>
      <c r="V141" s="161"/>
      <c r="W141" s="161"/>
    </row>
    <row r="142" spans="2:27" s="148" customFormat="1" ht="13.5" customHeight="1" x14ac:dyDescent="0.15">
      <c r="B142" s="159"/>
      <c r="C142" s="159"/>
      <c r="D142" s="161" t="s">
        <v>76</v>
      </c>
      <c r="E142" s="159"/>
      <c r="F142" s="159"/>
      <c r="G142" s="159"/>
      <c r="H142" s="159"/>
      <c r="I142" s="159"/>
      <c r="J142" s="159"/>
      <c r="K142" s="161"/>
      <c r="L142" s="159"/>
      <c r="M142" s="159"/>
      <c r="N142" s="159"/>
      <c r="O142" s="159"/>
      <c r="P142" s="159"/>
      <c r="Q142" s="159"/>
      <c r="R142" s="159"/>
      <c r="S142" s="159"/>
      <c r="T142" s="159"/>
      <c r="U142" s="159"/>
      <c r="V142" s="159"/>
      <c r="W142" s="159"/>
      <c r="Y142" s="160"/>
      <c r="Z142" s="160"/>
      <c r="AA142" s="295"/>
    </row>
    <row r="143" spans="2:27" x14ac:dyDescent="0.15">
      <c r="B143" s="161"/>
      <c r="C143" s="159"/>
      <c r="D143" s="161" t="s">
        <v>77</v>
      </c>
      <c r="E143" s="161"/>
      <c r="F143" s="161"/>
      <c r="G143" s="161"/>
      <c r="H143" s="161"/>
      <c r="I143" s="161"/>
      <c r="J143" s="161"/>
      <c r="K143" s="161"/>
      <c r="L143" s="161"/>
      <c r="M143" s="161"/>
      <c r="N143" s="161"/>
      <c r="O143" s="161"/>
      <c r="P143" s="161"/>
      <c r="Q143" s="161"/>
      <c r="R143" s="161"/>
      <c r="S143" s="161"/>
      <c r="T143" s="161"/>
      <c r="U143" s="161"/>
      <c r="V143" s="161"/>
      <c r="W143" s="161"/>
    </row>
    <row r="144" spans="2:27" x14ac:dyDescent="0.15">
      <c r="B144" s="161"/>
      <c r="C144" s="180"/>
      <c r="D144" s="161" t="s">
        <v>78</v>
      </c>
      <c r="E144" s="161"/>
      <c r="F144" s="161"/>
      <c r="G144" s="161"/>
      <c r="H144" s="161"/>
      <c r="I144" s="161"/>
      <c r="J144" s="161"/>
      <c r="K144" s="161"/>
      <c r="L144" s="161"/>
      <c r="M144" s="161"/>
      <c r="N144" s="161"/>
      <c r="O144" s="161"/>
      <c r="P144" s="161"/>
      <c r="Q144" s="161"/>
      <c r="R144" s="161"/>
      <c r="S144" s="161"/>
      <c r="T144" s="161"/>
      <c r="U144" s="161"/>
      <c r="V144" s="161"/>
      <c r="W144" s="161"/>
    </row>
    <row r="145" spans="2:27" x14ac:dyDescent="0.15">
      <c r="B145" s="161"/>
      <c r="C145" s="180"/>
      <c r="D145" s="161"/>
      <c r="E145" s="161"/>
      <c r="F145" s="161"/>
      <c r="G145" s="161"/>
      <c r="H145" s="161"/>
      <c r="I145" s="161"/>
      <c r="J145" s="161"/>
      <c r="K145" s="161"/>
      <c r="L145" s="161"/>
      <c r="M145" s="161"/>
      <c r="N145" s="161"/>
      <c r="O145" s="161"/>
      <c r="P145" s="161"/>
      <c r="Q145" s="161"/>
      <c r="R145" s="161"/>
      <c r="S145" s="161"/>
      <c r="T145" s="161"/>
      <c r="U145" s="161"/>
      <c r="V145" s="161"/>
      <c r="W145" s="161"/>
    </row>
    <row r="146" spans="2:27" x14ac:dyDescent="0.15">
      <c r="B146" s="161"/>
      <c r="C146" s="180"/>
      <c r="D146" s="161" t="s">
        <v>79</v>
      </c>
      <c r="E146" s="161"/>
      <c r="F146" s="161"/>
      <c r="G146" s="161"/>
      <c r="H146" s="161"/>
      <c r="I146" s="161"/>
      <c r="J146" s="161"/>
      <c r="K146" s="161"/>
      <c r="L146" s="161"/>
      <c r="M146" s="161"/>
      <c r="N146" s="161"/>
      <c r="O146" s="161"/>
      <c r="P146" s="161"/>
      <c r="Q146" s="161"/>
      <c r="R146" s="161"/>
      <c r="S146" s="161"/>
      <c r="T146" s="161"/>
      <c r="U146" s="161"/>
      <c r="V146" s="161"/>
      <c r="W146" s="161"/>
    </row>
    <row r="147" spans="2:27" x14ac:dyDescent="0.15">
      <c r="B147" s="161"/>
      <c r="C147" s="180"/>
      <c r="D147" s="161" t="s">
        <v>80</v>
      </c>
      <c r="E147" s="161"/>
      <c r="F147" s="161"/>
      <c r="G147" s="161"/>
      <c r="H147" s="161"/>
      <c r="I147" s="161"/>
      <c r="J147" s="161"/>
      <c r="K147" s="161"/>
      <c r="L147" s="161"/>
      <c r="M147" s="161"/>
      <c r="N147" s="161"/>
      <c r="O147" s="161"/>
      <c r="P147" s="161"/>
      <c r="Q147" s="161"/>
      <c r="R147" s="161"/>
      <c r="S147" s="161"/>
      <c r="T147" s="161"/>
      <c r="U147" s="161"/>
      <c r="V147" s="161"/>
      <c r="W147" s="161"/>
      <c r="AA147" s="307" t="str">
        <f ca="1">中間シート!X820</f>
        <v>機器毎に入力すると
補助事業に要する経費、スキャンツールの価格、情報端末価格の合計金額、
補助対象経費、補助金の額が自動で表示されます。</v>
      </c>
    </row>
    <row r="148" spans="2:27" x14ac:dyDescent="0.15">
      <c r="B148" s="161"/>
      <c r="C148" s="180"/>
      <c r="D148" s="180" t="s">
        <v>81</v>
      </c>
      <c r="E148" s="161"/>
      <c r="F148" s="161"/>
      <c r="G148" s="161"/>
      <c r="H148" s="161"/>
      <c r="I148" s="161"/>
      <c r="J148" s="161"/>
      <c r="K148" s="161"/>
      <c r="L148" s="161"/>
      <c r="M148" s="161"/>
      <c r="N148" s="161"/>
      <c r="O148" s="161"/>
      <c r="P148" s="161"/>
      <c r="Q148" s="161"/>
      <c r="R148" s="161"/>
      <c r="S148" s="161"/>
      <c r="T148" s="161"/>
      <c r="U148" s="161"/>
      <c r="V148" s="161"/>
      <c r="W148" s="161"/>
      <c r="AA148" s="307"/>
    </row>
    <row r="149" spans="2:27" ht="5.0999999999999996" customHeight="1" x14ac:dyDescent="0.15">
      <c r="B149" s="161"/>
      <c r="C149" s="180"/>
      <c r="D149" s="180"/>
      <c r="E149" s="161"/>
      <c r="F149" s="161"/>
      <c r="G149" s="161"/>
      <c r="H149" s="161"/>
      <c r="I149" s="161"/>
      <c r="J149" s="161"/>
      <c r="K149" s="161"/>
      <c r="L149" s="161"/>
      <c r="M149" s="161"/>
      <c r="N149" s="161"/>
      <c r="O149" s="161"/>
      <c r="P149" s="161"/>
      <c r="Q149" s="161"/>
      <c r="R149" s="161"/>
      <c r="S149" s="161"/>
      <c r="T149" s="161"/>
      <c r="U149" s="161"/>
      <c r="V149" s="161"/>
      <c r="W149" s="161"/>
      <c r="AA149" s="307"/>
    </row>
    <row r="150" spans="2:27" ht="13.5" customHeight="1" x14ac:dyDescent="0.15">
      <c r="B150" s="161"/>
      <c r="C150" s="180"/>
      <c r="D150" s="161" t="s">
        <v>82</v>
      </c>
      <c r="E150" s="161"/>
      <c r="F150" s="161"/>
      <c r="G150" s="161"/>
      <c r="H150" s="161"/>
      <c r="I150" s="193"/>
      <c r="J150" s="193"/>
      <c r="K150" s="193"/>
      <c r="L150" s="193"/>
      <c r="M150" s="194"/>
      <c r="N150" s="161"/>
      <c r="O150" s="161"/>
      <c r="P150" s="161"/>
      <c r="Q150" s="161"/>
      <c r="R150" s="161"/>
      <c r="S150" s="161"/>
      <c r="T150" s="161"/>
      <c r="U150" s="161"/>
      <c r="V150" s="161"/>
      <c r="W150" s="161"/>
      <c r="AA150" s="307"/>
    </row>
    <row r="151" spans="2:27" x14ac:dyDescent="0.15">
      <c r="B151" s="161"/>
      <c r="C151" s="161"/>
      <c r="D151" s="161" t="s">
        <v>83</v>
      </c>
      <c r="E151" s="161"/>
      <c r="F151" s="161"/>
      <c r="G151" s="161"/>
      <c r="H151" s="161"/>
      <c r="I151" s="161"/>
      <c r="J151" s="161"/>
      <c r="K151" s="161"/>
      <c r="L151" s="161"/>
      <c r="M151" s="161"/>
      <c r="N151" s="161"/>
      <c r="O151" s="161"/>
      <c r="P151" s="161"/>
      <c r="Q151" s="161"/>
      <c r="R151" s="161"/>
      <c r="S151" s="161"/>
      <c r="T151" s="161"/>
      <c r="U151" s="161"/>
      <c r="V151" s="161"/>
      <c r="W151" s="161"/>
      <c r="AA151" s="307"/>
    </row>
    <row r="152" spans="2:27" s="148" customFormat="1" ht="13.5" customHeight="1" x14ac:dyDescent="0.15">
      <c r="B152" s="159"/>
      <c r="C152" s="159"/>
      <c r="D152" s="169" t="s">
        <v>84</v>
      </c>
      <c r="E152" s="159"/>
      <c r="F152" s="159"/>
      <c r="G152" s="159"/>
      <c r="H152" s="159"/>
      <c r="I152" s="159"/>
      <c r="J152" s="159"/>
      <c r="K152" s="161"/>
      <c r="L152" s="161"/>
      <c r="M152" s="159"/>
      <c r="N152" s="159"/>
      <c r="O152" s="159"/>
      <c r="P152" s="159"/>
      <c r="Q152" s="159"/>
      <c r="R152" s="159"/>
      <c r="S152" s="159"/>
      <c r="T152" s="159"/>
      <c r="U152" s="159"/>
      <c r="V152" s="159"/>
      <c r="W152" s="159"/>
      <c r="Y152" s="160"/>
      <c r="Z152" s="160"/>
      <c r="AA152" s="307"/>
    </row>
    <row r="153" spans="2:27" x14ac:dyDescent="0.15">
      <c r="B153" s="161"/>
      <c r="C153" s="161"/>
      <c r="D153" s="161"/>
      <c r="E153" s="161"/>
      <c r="F153" s="161"/>
      <c r="G153" s="161"/>
      <c r="H153" s="161"/>
      <c r="I153" s="161"/>
      <c r="J153" s="161"/>
      <c r="K153" s="161"/>
      <c r="L153" s="161"/>
      <c r="M153" s="195"/>
      <c r="N153" s="195"/>
      <c r="O153" s="195"/>
      <c r="P153" s="195"/>
      <c r="Q153" s="195"/>
      <c r="R153" s="195"/>
      <c r="S153" s="161"/>
      <c r="T153" s="161"/>
      <c r="U153" s="161"/>
      <c r="V153" s="161"/>
      <c r="W153" s="161"/>
      <c r="AA153" s="307"/>
    </row>
    <row r="154" spans="2:27" s="201" customFormat="1" ht="31.5" customHeight="1" x14ac:dyDescent="0.15">
      <c r="B154" s="161"/>
      <c r="C154" s="196"/>
      <c r="D154" s="181"/>
      <c r="E154" s="197"/>
      <c r="F154" s="353" t="s">
        <v>85</v>
      </c>
      <c r="G154" s="353"/>
      <c r="H154" s="353"/>
      <c r="I154" s="181"/>
      <c r="J154" s="198" t="s">
        <v>86</v>
      </c>
      <c r="K154" s="198"/>
      <c r="L154" s="198" t="s">
        <v>87</v>
      </c>
      <c r="M154" s="198"/>
      <c r="N154" s="198" t="s">
        <v>88</v>
      </c>
      <c r="O154" s="198"/>
      <c r="P154" s="199" t="s">
        <v>89</v>
      </c>
      <c r="Q154" s="180"/>
      <c r="R154" s="199" t="s">
        <v>90</v>
      </c>
      <c r="S154" s="199"/>
      <c r="T154" s="200" t="s">
        <v>91</v>
      </c>
      <c r="U154" s="180"/>
      <c r="V154" s="199" t="s">
        <v>92</v>
      </c>
      <c r="W154" s="161"/>
      <c r="Y154" s="202" t="s">
        <v>93</v>
      </c>
      <c r="Z154" s="202" t="s">
        <v>94</v>
      </c>
      <c r="AA154" s="307"/>
    </row>
    <row r="155" spans="2:27" s="148" customFormat="1" ht="5.0999999999999996" customHeight="1" thickBot="1" x14ac:dyDescent="0.2">
      <c r="B155" s="161"/>
      <c r="C155" s="159"/>
      <c r="D155" s="159"/>
      <c r="E155" s="159"/>
      <c r="F155" s="159"/>
      <c r="G155" s="159"/>
      <c r="H155" s="159"/>
      <c r="I155" s="159"/>
      <c r="J155" s="159"/>
      <c r="K155" s="159"/>
      <c r="L155" s="159"/>
      <c r="M155" s="159"/>
      <c r="N155" s="159"/>
      <c r="O155" s="159"/>
      <c r="P155" s="159"/>
      <c r="Q155" s="161"/>
      <c r="R155" s="159"/>
      <c r="S155" s="159"/>
      <c r="T155" s="161"/>
      <c r="U155" s="161"/>
      <c r="V155" s="159"/>
      <c r="W155" s="161"/>
      <c r="Y155" s="160"/>
      <c r="Z155" s="160"/>
      <c r="AA155" s="151"/>
    </row>
    <row r="156" spans="2:27" ht="18" customHeight="1" thickBot="1" x14ac:dyDescent="0.2">
      <c r="B156" s="161"/>
      <c r="C156" s="170" t="s">
        <v>7</v>
      </c>
      <c r="D156" s="180" t="s">
        <v>72</v>
      </c>
      <c r="E156" s="161"/>
      <c r="F156" s="339"/>
      <c r="G156" s="340"/>
      <c r="H156" s="341"/>
      <c r="I156" s="161"/>
      <c r="J156" s="20"/>
      <c r="K156" s="203"/>
      <c r="L156" s="20"/>
      <c r="M156" s="203"/>
      <c r="N156" s="20"/>
      <c r="O156" s="203"/>
      <c r="P156" s="204">
        <f>中間シート!D820</f>
        <v>0</v>
      </c>
      <c r="Q156" s="161"/>
      <c r="R156" s="204">
        <f>中間シート!G820</f>
        <v>0</v>
      </c>
      <c r="S156" s="161"/>
      <c r="T156" s="205" t="s">
        <v>95</v>
      </c>
      <c r="U156" s="161"/>
      <c r="V156" s="204">
        <f>中間シート!H820</f>
        <v>0</v>
      </c>
      <c r="W156" s="161"/>
      <c r="Y156" s="152">
        <v>1</v>
      </c>
      <c r="Z156" s="152">
        <f>IF(F156="含まれている",1,IF(F156="含まれていない",2,0))</f>
        <v>0</v>
      </c>
      <c r="AA156" s="149" t="str">
        <f ca="1">中間シート!X668</f>
        <v>先に機器情報を入力してください。</v>
      </c>
    </row>
    <row r="157" spans="2:27" s="148" customFormat="1" ht="5.0999999999999996" customHeight="1" thickBot="1" x14ac:dyDescent="0.2">
      <c r="B157" s="161"/>
      <c r="C157" s="159"/>
      <c r="D157" s="179"/>
      <c r="E157" s="159"/>
      <c r="F157" s="159"/>
      <c r="G157" s="159"/>
      <c r="H157" s="159"/>
      <c r="I157" s="159"/>
      <c r="J157" s="206"/>
      <c r="K157" s="206"/>
      <c r="L157" s="206"/>
      <c r="M157" s="206"/>
      <c r="N157" s="206"/>
      <c r="O157" s="206"/>
      <c r="P157" s="161"/>
      <c r="Q157" s="159"/>
      <c r="R157" s="161"/>
      <c r="S157" s="161"/>
      <c r="T157" s="159"/>
      <c r="U157" s="161"/>
      <c r="V157" s="161"/>
      <c r="W157" s="161"/>
      <c r="Y157" s="160"/>
      <c r="Z157" s="152"/>
      <c r="AA157" s="149"/>
    </row>
    <row r="158" spans="2:27" ht="18" customHeight="1" thickBot="1" x14ac:dyDescent="0.2">
      <c r="B158" s="161"/>
      <c r="C158" s="161"/>
      <c r="D158" s="180" t="s">
        <v>73</v>
      </c>
      <c r="E158" s="161"/>
      <c r="F158" s="339"/>
      <c r="G158" s="340"/>
      <c r="H158" s="341"/>
      <c r="I158" s="161"/>
      <c r="J158" s="20"/>
      <c r="K158" s="203"/>
      <c r="L158" s="20"/>
      <c r="M158" s="203"/>
      <c r="N158" s="20"/>
      <c r="O158" s="203"/>
      <c r="P158" s="161"/>
      <c r="Q158" s="161"/>
      <c r="R158" s="161"/>
      <c r="S158" s="161"/>
      <c r="T158" s="159"/>
      <c r="U158" s="161"/>
      <c r="V158" s="161"/>
      <c r="W158" s="161"/>
      <c r="Y158" s="152">
        <f>中間シート!E669</f>
        <v>0</v>
      </c>
      <c r="Z158" s="152">
        <f t="shared" ref="Z158:Z160" si="0">IF(F158="含まれている",1,IF(F158="含まれていない",2,0))</f>
        <v>0</v>
      </c>
      <c r="AA158" s="149" t="str">
        <f ca="1">中間シート!X669</f>
        <v/>
      </c>
    </row>
    <row r="159" spans="2:27" s="148" customFormat="1" ht="5.0999999999999996" customHeight="1" thickBot="1" x14ac:dyDescent="0.2">
      <c r="B159" s="161"/>
      <c r="C159" s="159"/>
      <c r="D159" s="179"/>
      <c r="E159" s="159"/>
      <c r="F159" s="159"/>
      <c r="G159" s="159"/>
      <c r="H159" s="159"/>
      <c r="I159" s="159"/>
      <c r="J159" s="206"/>
      <c r="K159" s="206"/>
      <c r="L159" s="206"/>
      <c r="M159" s="206"/>
      <c r="N159" s="206"/>
      <c r="O159" s="206"/>
      <c r="P159" s="161"/>
      <c r="Q159" s="159"/>
      <c r="R159" s="161"/>
      <c r="S159" s="161"/>
      <c r="T159" s="159"/>
      <c r="U159" s="161"/>
      <c r="V159" s="161"/>
      <c r="W159" s="161"/>
      <c r="Y159" s="160"/>
      <c r="Z159" s="152"/>
      <c r="AA159" s="149"/>
    </row>
    <row r="160" spans="2:27" ht="18" customHeight="1" thickBot="1" x14ac:dyDescent="0.2">
      <c r="B160" s="161"/>
      <c r="C160" s="161"/>
      <c r="D160" s="189" t="s">
        <v>74</v>
      </c>
      <c r="E160" s="161"/>
      <c r="F160" s="339"/>
      <c r="G160" s="340"/>
      <c r="H160" s="341"/>
      <c r="I160" s="161"/>
      <c r="J160" s="20"/>
      <c r="K160" s="203"/>
      <c r="L160" s="20"/>
      <c r="M160" s="203"/>
      <c r="N160" s="20"/>
      <c r="O160" s="203"/>
      <c r="P160" s="161"/>
      <c r="Q160" s="161"/>
      <c r="R160" s="161"/>
      <c r="S160" s="161"/>
      <c r="T160" s="159"/>
      <c r="U160" s="161"/>
      <c r="V160" s="161"/>
      <c r="W160" s="161"/>
      <c r="Y160" s="152">
        <f>中間シート!E670</f>
        <v>0</v>
      </c>
      <c r="Z160" s="152">
        <f t="shared" si="0"/>
        <v>0</v>
      </c>
      <c r="AA160" s="149" t="str">
        <f ca="1">中間シート!X670</f>
        <v/>
      </c>
    </row>
    <row r="161" spans="2:27" s="148" customFormat="1" ht="5.0999999999999996" customHeight="1" x14ac:dyDescent="0.15">
      <c r="B161" s="161"/>
      <c r="C161" s="159"/>
      <c r="D161" s="159"/>
      <c r="E161" s="159"/>
      <c r="F161" s="206"/>
      <c r="G161" s="206"/>
      <c r="H161" s="206"/>
      <c r="I161" s="206"/>
      <c r="J161" s="206"/>
      <c r="K161" s="206"/>
      <c r="L161" s="206"/>
      <c r="M161" s="159"/>
      <c r="N161" s="161"/>
      <c r="O161" s="161"/>
      <c r="P161" s="206"/>
      <c r="Q161" s="161"/>
      <c r="R161" s="161"/>
      <c r="S161" s="161"/>
      <c r="T161" s="161"/>
      <c r="U161" s="161"/>
      <c r="V161" s="161"/>
      <c r="W161" s="161"/>
      <c r="Y161" s="160"/>
      <c r="Z161" s="160"/>
      <c r="AA161" s="149"/>
    </row>
    <row r="162" spans="2:27" x14ac:dyDescent="0.15">
      <c r="B162" s="161"/>
      <c r="C162" s="161"/>
      <c r="D162" s="161"/>
      <c r="E162" s="161"/>
      <c r="F162" s="161"/>
      <c r="G162" s="161"/>
      <c r="H162" s="161"/>
      <c r="I162" s="161"/>
      <c r="J162" s="161"/>
      <c r="K162" s="161"/>
      <c r="L162" s="161"/>
      <c r="M162" s="161"/>
      <c r="N162" s="161"/>
      <c r="O162" s="161"/>
      <c r="P162" s="161"/>
      <c r="Q162" s="161"/>
      <c r="R162" s="161"/>
      <c r="S162" s="161"/>
      <c r="T162" s="161"/>
      <c r="U162" s="161"/>
      <c r="V162" s="161"/>
      <c r="W162" s="161"/>
      <c r="AA162" s="149"/>
    </row>
    <row r="163" spans="2:27" x14ac:dyDescent="0.15">
      <c r="B163" s="161"/>
      <c r="C163" s="161"/>
      <c r="D163" s="161"/>
      <c r="E163" s="161"/>
      <c r="F163" s="161"/>
      <c r="G163" s="161"/>
      <c r="H163" s="161"/>
      <c r="I163" s="161"/>
      <c r="J163" s="161"/>
      <c r="K163" s="161"/>
      <c r="L163" s="161"/>
      <c r="M163" s="161"/>
      <c r="N163" s="161"/>
      <c r="O163" s="161"/>
      <c r="P163" s="161"/>
      <c r="Q163" s="161"/>
      <c r="R163" s="161"/>
      <c r="S163" s="161"/>
      <c r="T163" s="161"/>
      <c r="U163" s="161"/>
      <c r="V163" s="161"/>
      <c r="W163" s="161"/>
    </row>
    <row r="164" spans="2:27" x14ac:dyDescent="0.15">
      <c r="B164" s="161"/>
      <c r="C164" s="161"/>
      <c r="D164" s="161"/>
      <c r="E164" s="161"/>
      <c r="F164" s="161"/>
      <c r="G164" s="161"/>
      <c r="H164" s="161"/>
      <c r="I164" s="161"/>
      <c r="J164" s="161"/>
      <c r="K164" s="161"/>
      <c r="L164" s="161"/>
      <c r="M164" s="161"/>
      <c r="N164" s="161"/>
      <c r="O164" s="161"/>
      <c r="P164" s="161"/>
      <c r="Q164" s="161"/>
      <c r="R164" s="161"/>
      <c r="S164" s="161"/>
      <c r="T164" s="161"/>
      <c r="U164" s="161"/>
      <c r="V164" s="161"/>
      <c r="W164" s="161"/>
    </row>
    <row r="165" spans="2:27" x14ac:dyDescent="0.15">
      <c r="B165" s="161"/>
      <c r="C165" s="161"/>
      <c r="D165" s="161"/>
      <c r="E165" s="161"/>
      <c r="F165" s="161"/>
      <c r="G165" s="161"/>
      <c r="H165" s="161"/>
      <c r="I165" s="161"/>
      <c r="J165" s="161"/>
      <c r="K165" s="161"/>
      <c r="L165" s="161"/>
      <c r="M165" s="161"/>
      <c r="N165" s="161"/>
      <c r="O165" s="161"/>
      <c r="P165" s="161"/>
      <c r="Q165" s="161"/>
      <c r="R165" s="161"/>
      <c r="S165" s="161"/>
      <c r="T165" s="161"/>
      <c r="U165" s="161"/>
      <c r="V165" s="161"/>
      <c r="W165" s="161"/>
    </row>
    <row r="166" spans="2:27" s="148" customFormat="1" ht="5.0999999999999996" customHeight="1" x14ac:dyDescent="0.15">
      <c r="B166" s="354" t="s">
        <v>96</v>
      </c>
      <c r="C166" s="354"/>
      <c r="D166" s="354"/>
      <c r="E166" s="354"/>
      <c r="F166" s="354"/>
      <c r="G166" s="354"/>
      <c r="H166" s="354"/>
      <c r="I166" s="354"/>
      <c r="J166" s="354"/>
      <c r="K166" s="354"/>
      <c r="L166" s="354"/>
      <c r="M166" s="354"/>
      <c r="N166" s="354"/>
      <c r="O166" s="354"/>
      <c r="P166" s="354"/>
      <c r="Q166" s="354"/>
      <c r="R166" s="354"/>
      <c r="S166" s="354"/>
      <c r="T166" s="354"/>
      <c r="U166" s="354"/>
      <c r="V166" s="354"/>
      <c r="W166" s="354"/>
      <c r="Y166" s="160"/>
      <c r="Z166" s="160"/>
      <c r="AA166" s="295"/>
    </row>
    <row r="167" spans="2:27" x14ac:dyDescent="0.15">
      <c r="B167" s="354"/>
      <c r="C167" s="354"/>
      <c r="D167" s="354"/>
      <c r="E167" s="354"/>
      <c r="F167" s="354"/>
      <c r="G167" s="354"/>
      <c r="H167" s="354"/>
      <c r="I167" s="354"/>
      <c r="J167" s="354"/>
      <c r="K167" s="354"/>
      <c r="L167" s="354"/>
      <c r="M167" s="354"/>
      <c r="N167" s="354"/>
      <c r="O167" s="354"/>
      <c r="P167" s="354"/>
      <c r="Q167" s="354"/>
      <c r="R167" s="354"/>
      <c r="S167" s="354"/>
      <c r="T167" s="354"/>
      <c r="U167" s="354"/>
      <c r="V167" s="354"/>
      <c r="W167" s="354"/>
    </row>
    <row r="168" spans="2:27" s="148" customFormat="1" ht="5.0999999999999996" customHeight="1" x14ac:dyDescent="0.15">
      <c r="B168" s="354"/>
      <c r="C168" s="354"/>
      <c r="D168" s="354"/>
      <c r="E168" s="354"/>
      <c r="F168" s="354"/>
      <c r="G168" s="354"/>
      <c r="H168" s="354"/>
      <c r="I168" s="354"/>
      <c r="J168" s="354"/>
      <c r="K168" s="354"/>
      <c r="L168" s="354"/>
      <c r="M168" s="354"/>
      <c r="N168" s="354"/>
      <c r="O168" s="354"/>
      <c r="P168" s="354"/>
      <c r="Q168" s="354"/>
      <c r="R168" s="354"/>
      <c r="S168" s="354"/>
      <c r="T168" s="354"/>
      <c r="U168" s="354"/>
      <c r="V168" s="354"/>
      <c r="W168" s="354"/>
      <c r="Y168" s="160"/>
      <c r="Z168" s="160"/>
      <c r="AA168" s="295"/>
    </row>
    <row r="169" spans="2:27" x14ac:dyDescent="0.15">
      <c r="B169" s="161"/>
      <c r="C169" s="161"/>
      <c r="D169" s="161"/>
      <c r="E169" s="161"/>
      <c r="F169" s="161"/>
      <c r="G169" s="161"/>
      <c r="H169" s="161"/>
      <c r="I169" s="161"/>
      <c r="J169" s="161"/>
      <c r="K169" s="161"/>
      <c r="L169" s="161"/>
      <c r="M169" s="161"/>
      <c r="N169" s="161"/>
      <c r="O169" s="161"/>
      <c r="P169" s="161"/>
      <c r="Q169" s="161"/>
      <c r="R169" s="161"/>
      <c r="S169" s="161"/>
      <c r="T169" s="161"/>
      <c r="U169" s="161"/>
      <c r="V169" s="161"/>
      <c r="W169" s="161"/>
    </row>
    <row r="171" spans="2:27" s="148" customFormat="1" ht="5.0999999999999996" customHeight="1" x14ac:dyDescent="0.15">
      <c r="B171" s="165"/>
      <c r="C171" s="165"/>
      <c r="D171" s="165"/>
      <c r="E171" s="165"/>
      <c r="F171" s="165"/>
      <c r="G171" s="165"/>
      <c r="H171" s="165"/>
      <c r="I171" s="165"/>
      <c r="J171" s="165"/>
      <c r="K171" s="165"/>
      <c r="L171" s="165"/>
      <c r="M171" s="165"/>
      <c r="N171" s="165"/>
      <c r="O171" s="165"/>
      <c r="P171" s="165"/>
      <c r="Q171" s="165"/>
      <c r="R171" s="165"/>
      <c r="S171" s="165"/>
      <c r="T171" s="165"/>
      <c r="U171" s="165"/>
      <c r="V171" s="165"/>
      <c r="W171" s="165"/>
      <c r="Y171" s="160"/>
      <c r="Z171" s="160"/>
      <c r="AA171" s="295"/>
    </row>
    <row r="172" spans="2:27" x14ac:dyDescent="0.15">
      <c r="B172" s="166"/>
      <c r="C172" s="306" t="s">
        <v>97</v>
      </c>
      <c r="D172" s="166"/>
      <c r="E172" s="166"/>
      <c r="F172" s="166"/>
      <c r="G172" s="166"/>
      <c r="H172" s="166"/>
      <c r="I172" s="166"/>
      <c r="J172" s="166"/>
      <c r="K172" s="166"/>
      <c r="L172" s="166"/>
      <c r="M172" s="166"/>
      <c r="N172" s="166"/>
      <c r="O172" s="166"/>
      <c r="P172" s="166"/>
      <c r="Q172" s="166"/>
      <c r="R172" s="166"/>
      <c r="S172" s="166"/>
      <c r="T172" s="166"/>
      <c r="U172" s="166"/>
      <c r="V172" s="166"/>
      <c r="W172" s="166"/>
    </row>
    <row r="173" spans="2:27" s="148" customFormat="1" ht="5.0999999999999996" customHeight="1" x14ac:dyDescent="0.15">
      <c r="B173" s="165"/>
      <c r="C173" s="165"/>
      <c r="D173" s="165"/>
      <c r="E173" s="165"/>
      <c r="F173" s="165"/>
      <c r="G173" s="165"/>
      <c r="H173" s="165"/>
      <c r="I173" s="165"/>
      <c r="J173" s="165"/>
      <c r="K173" s="165"/>
      <c r="L173" s="165"/>
      <c r="M173" s="165"/>
      <c r="N173" s="165"/>
      <c r="O173" s="165"/>
      <c r="P173" s="165"/>
      <c r="Q173" s="165"/>
      <c r="R173" s="165"/>
      <c r="S173" s="165"/>
      <c r="T173" s="165"/>
      <c r="U173" s="165"/>
      <c r="V173" s="165"/>
      <c r="W173" s="165"/>
      <c r="Y173" s="160"/>
      <c r="Z173" s="160"/>
      <c r="AA173" s="295"/>
    </row>
    <row r="174" spans="2:27" ht="14.25" thickBot="1" x14ac:dyDescent="0.2">
      <c r="B174" s="166"/>
      <c r="C174" s="165"/>
      <c r="D174" s="167"/>
      <c r="E174" s="166"/>
      <c r="F174" s="166"/>
      <c r="G174" s="166"/>
      <c r="H174" s="166"/>
      <c r="I174" s="166"/>
      <c r="J174" s="166"/>
      <c r="K174" s="166"/>
      <c r="L174" s="166"/>
      <c r="M174" s="166"/>
      <c r="N174" s="166"/>
      <c r="O174" s="166"/>
      <c r="P174" s="166"/>
      <c r="Q174" s="166"/>
      <c r="R174" s="166"/>
      <c r="S174" s="166"/>
      <c r="T174" s="166"/>
      <c r="U174" s="166"/>
      <c r="V174" s="166"/>
      <c r="W174" s="166"/>
    </row>
    <row r="175" spans="2:27" ht="18" customHeight="1" thickBot="1" x14ac:dyDescent="0.2">
      <c r="B175" s="166"/>
      <c r="C175" s="168" t="s">
        <v>7</v>
      </c>
      <c r="D175" s="166" t="s">
        <v>98</v>
      </c>
      <c r="E175" s="166"/>
      <c r="F175" s="324"/>
      <c r="G175" s="325"/>
      <c r="H175" s="326"/>
      <c r="I175" s="166"/>
      <c r="J175" s="166" t="s">
        <v>99</v>
      </c>
      <c r="K175" s="166"/>
      <c r="L175" s="166"/>
      <c r="M175" s="166"/>
      <c r="N175" s="166"/>
      <c r="O175" s="166"/>
      <c r="P175" s="166"/>
      <c r="Q175" s="166"/>
      <c r="R175" s="166"/>
      <c r="S175" s="166"/>
      <c r="T175" s="166"/>
      <c r="U175" s="166"/>
      <c r="V175" s="166"/>
      <c r="W175" s="166"/>
      <c r="AA175" s="295" t="str">
        <f ca="1">中間シート!X6</f>
        <v>完了予定日を入力してください。</v>
      </c>
    </row>
    <row r="176" spans="2:27" s="148" customFormat="1" ht="5.0999999999999996" customHeight="1" x14ac:dyDescent="0.15">
      <c r="B176" s="165"/>
      <c r="C176" s="165"/>
      <c r="D176" s="165"/>
      <c r="E176" s="165"/>
      <c r="F176" s="165"/>
      <c r="G176" s="165"/>
      <c r="H176" s="165"/>
      <c r="I176" s="165"/>
      <c r="J176" s="165"/>
      <c r="K176" s="165"/>
      <c r="L176" s="165"/>
      <c r="M176" s="165"/>
      <c r="N176" s="165"/>
      <c r="O176" s="165"/>
      <c r="P176" s="165"/>
      <c r="Q176" s="165"/>
      <c r="R176" s="165"/>
      <c r="S176" s="165"/>
      <c r="T176" s="165"/>
      <c r="U176" s="165"/>
      <c r="V176" s="165"/>
      <c r="W176" s="165"/>
      <c r="Y176" s="160"/>
      <c r="Z176" s="160"/>
      <c r="AA176" s="295"/>
    </row>
    <row r="177" spans="2:27" x14ac:dyDescent="0.15">
      <c r="B177" s="166"/>
      <c r="C177" s="166"/>
      <c r="D177" s="166" t="s">
        <v>100</v>
      </c>
      <c r="E177" s="166"/>
      <c r="F177" s="166"/>
      <c r="G177" s="166"/>
      <c r="H177" s="166"/>
      <c r="I177" s="166"/>
      <c r="J177" s="166"/>
      <c r="K177" s="166"/>
      <c r="L177" s="166"/>
      <c r="M177" s="166"/>
      <c r="N177" s="166"/>
      <c r="O177" s="166"/>
      <c r="P177" s="166"/>
      <c r="Q177" s="166"/>
      <c r="R177" s="166"/>
      <c r="S177" s="166"/>
      <c r="T177" s="166"/>
      <c r="U177" s="166"/>
      <c r="V177" s="166"/>
      <c r="W177" s="166"/>
    </row>
    <row r="178" spans="2:27" s="148" customFormat="1" ht="5.0999999999999996" customHeight="1" x14ac:dyDescent="0.15">
      <c r="B178" s="165"/>
      <c r="C178" s="165"/>
      <c r="D178" s="165"/>
      <c r="E178" s="165"/>
      <c r="F178" s="165"/>
      <c r="G178" s="165"/>
      <c r="H178" s="165"/>
      <c r="I178" s="165"/>
      <c r="J178" s="165"/>
      <c r="K178" s="165"/>
      <c r="L178" s="165"/>
      <c r="M178" s="165"/>
      <c r="N178" s="165"/>
      <c r="O178" s="165"/>
      <c r="P178" s="165"/>
      <c r="Q178" s="165"/>
      <c r="R178" s="165"/>
      <c r="S178" s="165"/>
      <c r="T178" s="165"/>
      <c r="U178" s="165"/>
      <c r="V178" s="165"/>
      <c r="W178" s="165"/>
      <c r="Y178" s="160"/>
      <c r="Z178" s="160"/>
      <c r="AA178" s="295"/>
    </row>
    <row r="180" spans="2:27" s="148" customFormat="1" ht="5.0999999999999996" customHeight="1" x14ac:dyDescent="0.15">
      <c r="B180" s="159"/>
      <c r="C180" s="159"/>
      <c r="D180" s="159"/>
      <c r="E180" s="159"/>
      <c r="F180" s="159"/>
      <c r="G180" s="159"/>
      <c r="H180" s="159"/>
      <c r="I180" s="159"/>
      <c r="J180" s="159"/>
      <c r="K180" s="159"/>
      <c r="L180" s="159"/>
      <c r="M180" s="159"/>
      <c r="N180" s="159"/>
      <c r="O180" s="159"/>
      <c r="P180" s="159"/>
      <c r="Q180" s="159"/>
      <c r="R180" s="159"/>
      <c r="S180" s="159"/>
      <c r="T180" s="159"/>
      <c r="U180" s="159"/>
      <c r="V180" s="159"/>
      <c r="W180" s="159"/>
      <c r="Y180" s="160"/>
      <c r="Z180" s="160"/>
      <c r="AA180" s="295"/>
    </row>
    <row r="181" spans="2:27" x14ac:dyDescent="0.15">
      <c r="B181" s="161"/>
      <c r="C181" s="159" t="s">
        <v>101</v>
      </c>
      <c r="D181" s="161"/>
      <c r="E181" s="161"/>
      <c r="F181" s="161"/>
      <c r="G181" s="161"/>
      <c r="H181" s="161"/>
      <c r="I181" s="161"/>
      <c r="J181" s="161"/>
      <c r="K181" s="161"/>
      <c r="L181" s="161"/>
      <c r="M181" s="161"/>
      <c r="N181" s="161"/>
      <c r="O181" s="161"/>
      <c r="P181" s="161"/>
      <c r="Q181" s="161"/>
      <c r="R181" s="161"/>
      <c r="S181" s="161"/>
      <c r="T181" s="161"/>
      <c r="U181" s="161"/>
      <c r="V181" s="161"/>
      <c r="W181" s="161"/>
    </row>
    <row r="182" spans="2:27" ht="14.25" thickBot="1" x14ac:dyDescent="0.2">
      <c r="B182" s="161"/>
      <c r="C182" s="161"/>
      <c r="D182" s="161"/>
      <c r="E182" s="161"/>
      <c r="F182" s="159"/>
      <c r="G182" s="161"/>
      <c r="H182" s="161"/>
      <c r="I182" s="161"/>
      <c r="J182" s="161"/>
      <c r="K182" s="161"/>
      <c r="L182" s="161"/>
      <c r="M182" s="161"/>
      <c r="N182" s="161"/>
      <c r="O182" s="161"/>
      <c r="P182" s="161"/>
      <c r="Q182" s="161"/>
      <c r="R182" s="161"/>
      <c r="S182" s="161"/>
      <c r="T182" s="161"/>
      <c r="U182" s="161"/>
      <c r="V182" s="161"/>
      <c r="W182" s="161"/>
    </row>
    <row r="183" spans="2:27" ht="18" customHeight="1" thickBot="1" x14ac:dyDescent="0.2">
      <c r="B183" s="161"/>
      <c r="C183" s="159"/>
      <c r="D183" s="161" t="s">
        <v>102</v>
      </c>
      <c r="E183" s="161"/>
      <c r="F183" s="321"/>
      <c r="G183" s="322"/>
      <c r="H183" s="323"/>
      <c r="I183" s="161"/>
      <c r="J183" s="161" t="s">
        <v>27</v>
      </c>
      <c r="K183" s="161"/>
      <c r="L183" s="161"/>
      <c r="M183" s="161"/>
      <c r="N183" s="161"/>
      <c r="O183" s="161"/>
      <c r="P183" s="161"/>
      <c r="Q183" s="161"/>
      <c r="R183" s="161"/>
      <c r="S183" s="161"/>
      <c r="T183" s="161"/>
      <c r="U183" s="161"/>
      <c r="V183" s="161"/>
      <c r="W183" s="161"/>
      <c r="Y183" s="152">
        <f>IF(F183="代表者と同じ",1,IF(F183="それ以外（手入力）",2,0))</f>
        <v>0</v>
      </c>
    </row>
    <row r="184" spans="2:27" s="148" customFormat="1" ht="5.0999999999999996" customHeight="1" thickBot="1" x14ac:dyDescent="0.2">
      <c r="B184" s="159"/>
      <c r="C184" s="159"/>
      <c r="D184" s="159"/>
      <c r="E184" s="159"/>
      <c r="F184" s="159"/>
      <c r="G184" s="159"/>
      <c r="H184" s="159"/>
      <c r="I184" s="159"/>
      <c r="J184" s="159"/>
      <c r="K184" s="159"/>
      <c r="L184" s="159"/>
      <c r="M184" s="159"/>
      <c r="N184" s="159"/>
      <c r="O184" s="159"/>
      <c r="P184" s="159"/>
      <c r="Q184" s="159"/>
      <c r="R184" s="159"/>
      <c r="S184" s="159"/>
      <c r="T184" s="159"/>
      <c r="U184" s="159"/>
      <c r="V184" s="159"/>
      <c r="W184" s="159"/>
      <c r="Y184" s="160"/>
      <c r="Z184" s="160"/>
      <c r="AA184" s="295"/>
    </row>
    <row r="185" spans="2:27" ht="18" customHeight="1" thickBot="1" x14ac:dyDescent="0.2">
      <c r="B185" s="161"/>
      <c r="C185" s="161"/>
      <c r="D185" s="161" t="s">
        <v>103</v>
      </c>
      <c r="E185" s="161"/>
      <c r="F185" s="318"/>
      <c r="G185" s="319"/>
      <c r="H185" s="319"/>
      <c r="I185" s="319"/>
      <c r="J185" s="320"/>
      <c r="K185" s="161"/>
      <c r="L185" s="161"/>
      <c r="M185" s="161"/>
      <c r="N185" s="161"/>
      <c r="O185" s="161"/>
      <c r="P185" s="161"/>
      <c r="Q185" s="161"/>
      <c r="R185" s="161"/>
      <c r="S185" s="161"/>
      <c r="T185" s="161"/>
      <c r="U185" s="161"/>
      <c r="V185" s="161"/>
      <c r="W185" s="161"/>
    </row>
    <row r="186" spans="2:27" s="148" customFormat="1" ht="5.0999999999999996" customHeight="1" thickBot="1" x14ac:dyDescent="0.2">
      <c r="B186" s="159"/>
      <c r="C186" s="159"/>
      <c r="D186" s="159"/>
      <c r="E186" s="159"/>
      <c r="F186" s="159"/>
      <c r="G186" s="159"/>
      <c r="H186" s="159"/>
      <c r="I186" s="159"/>
      <c r="J186" s="159"/>
      <c r="K186" s="159"/>
      <c r="L186" s="159"/>
      <c r="M186" s="159"/>
      <c r="N186" s="159"/>
      <c r="O186" s="159"/>
      <c r="P186" s="159"/>
      <c r="Q186" s="159"/>
      <c r="R186" s="159"/>
      <c r="S186" s="159"/>
      <c r="T186" s="159"/>
      <c r="U186" s="159"/>
      <c r="V186" s="159"/>
      <c r="W186" s="159"/>
      <c r="Y186" s="160"/>
      <c r="Z186" s="160"/>
      <c r="AA186" s="295"/>
    </row>
    <row r="187" spans="2:27" ht="18" customHeight="1" thickBot="1" x14ac:dyDescent="0.2">
      <c r="B187" s="161"/>
      <c r="C187" s="161"/>
      <c r="D187" s="161" t="s">
        <v>38</v>
      </c>
      <c r="E187" s="161"/>
      <c r="F187" s="315"/>
      <c r="G187" s="316"/>
      <c r="H187" s="316"/>
      <c r="I187" s="316"/>
      <c r="J187" s="317"/>
      <c r="K187" s="161"/>
      <c r="L187" s="161"/>
      <c r="M187" s="161"/>
      <c r="N187" s="161"/>
      <c r="O187" s="161"/>
      <c r="P187" s="161"/>
      <c r="Q187" s="161"/>
      <c r="R187" s="161"/>
      <c r="S187" s="161"/>
      <c r="T187" s="161"/>
      <c r="U187" s="161"/>
      <c r="V187" s="161"/>
      <c r="W187" s="161"/>
    </row>
    <row r="188" spans="2:27" s="148" customFormat="1" ht="5.0999999999999996" customHeight="1" thickBot="1" x14ac:dyDescent="0.2">
      <c r="B188" s="159"/>
      <c r="C188" s="179"/>
      <c r="D188" s="159"/>
      <c r="E188" s="159"/>
      <c r="F188" s="159"/>
      <c r="G188" s="159"/>
      <c r="H188" s="159"/>
      <c r="I188" s="159"/>
      <c r="J188" s="159"/>
      <c r="K188" s="159"/>
      <c r="L188" s="159"/>
      <c r="M188" s="159"/>
      <c r="N188" s="159"/>
      <c r="O188" s="159"/>
      <c r="P188" s="159"/>
      <c r="Q188" s="159"/>
      <c r="R188" s="159"/>
      <c r="S188" s="159"/>
      <c r="T188" s="159"/>
      <c r="U188" s="159"/>
      <c r="V188" s="159"/>
      <c r="W188" s="159"/>
      <c r="Y188" s="160"/>
      <c r="Z188" s="160"/>
      <c r="AA188" s="295"/>
    </row>
    <row r="189" spans="2:27" ht="18" customHeight="1" thickBot="1" x14ac:dyDescent="0.2">
      <c r="B189" s="161"/>
      <c r="C189" s="170" t="s">
        <v>7</v>
      </c>
      <c r="D189" s="161" t="s">
        <v>40</v>
      </c>
      <c r="E189" s="161"/>
      <c r="F189" s="315"/>
      <c r="G189" s="316"/>
      <c r="H189" s="316"/>
      <c r="I189" s="316"/>
      <c r="J189" s="317"/>
      <c r="K189" s="161"/>
      <c r="L189" s="161"/>
      <c r="M189" s="161"/>
      <c r="N189" s="161"/>
      <c r="O189" s="161"/>
      <c r="P189" s="161"/>
      <c r="Q189" s="161"/>
      <c r="R189" s="161"/>
      <c r="S189" s="161"/>
      <c r="T189" s="161"/>
      <c r="U189" s="161"/>
      <c r="V189" s="161"/>
      <c r="W189" s="161"/>
      <c r="AA189" s="295" t="str">
        <f ca="1">中間シート!X23</f>
        <v>担当者の姓を入力してください。</v>
      </c>
    </row>
    <row r="190" spans="2:27" s="148" customFormat="1" ht="5.0999999999999996" customHeight="1" thickBot="1" x14ac:dyDescent="0.2">
      <c r="B190" s="159"/>
      <c r="C190" s="174"/>
      <c r="D190" s="159"/>
      <c r="E190" s="159"/>
      <c r="F190" s="159"/>
      <c r="G190" s="159"/>
      <c r="H190" s="159"/>
      <c r="I190" s="159"/>
      <c r="J190" s="159"/>
      <c r="K190" s="159"/>
      <c r="L190" s="159"/>
      <c r="M190" s="159"/>
      <c r="N190" s="159"/>
      <c r="O190" s="159"/>
      <c r="P190" s="159"/>
      <c r="Q190" s="159"/>
      <c r="R190" s="159"/>
      <c r="S190" s="159"/>
      <c r="T190" s="159"/>
      <c r="U190" s="159"/>
      <c r="V190" s="159"/>
      <c r="W190" s="159"/>
      <c r="Y190" s="160"/>
      <c r="Z190" s="160"/>
      <c r="AA190" s="295"/>
    </row>
    <row r="191" spans="2:27" ht="18" customHeight="1" thickBot="1" x14ac:dyDescent="0.2">
      <c r="B191" s="161"/>
      <c r="C191" s="170" t="s">
        <v>7</v>
      </c>
      <c r="D191" s="161" t="s">
        <v>41</v>
      </c>
      <c r="E191" s="161"/>
      <c r="F191" s="315"/>
      <c r="G191" s="316"/>
      <c r="H191" s="316"/>
      <c r="I191" s="316"/>
      <c r="J191" s="317"/>
      <c r="K191" s="161"/>
      <c r="L191" s="161"/>
      <c r="M191" s="161"/>
      <c r="N191" s="161"/>
      <c r="O191" s="161"/>
      <c r="P191" s="161"/>
      <c r="Q191" s="161"/>
      <c r="R191" s="161"/>
      <c r="S191" s="161"/>
      <c r="T191" s="161"/>
      <c r="U191" s="161"/>
      <c r="V191" s="161"/>
      <c r="W191" s="161"/>
      <c r="AA191" s="295" t="str">
        <f ca="1">中間シート!X24</f>
        <v>担当者の名を入力してください。</v>
      </c>
    </row>
    <row r="192" spans="2:27" s="148" customFormat="1" ht="5.0999999999999996" customHeight="1" thickBot="1" x14ac:dyDescent="0.2">
      <c r="B192" s="159"/>
      <c r="C192" s="174"/>
      <c r="D192" s="159"/>
      <c r="E192" s="159"/>
      <c r="F192" s="159"/>
      <c r="G192" s="159"/>
      <c r="H192" s="159"/>
      <c r="I192" s="159"/>
      <c r="J192" s="159"/>
      <c r="K192" s="159"/>
      <c r="L192" s="159"/>
      <c r="M192" s="159"/>
      <c r="N192" s="159"/>
      <c r="O192" s="159"/>
      <c r="P192" s="159"/>
      <c r="Q192" s="159"/>
      <c r="R192" s="159"/>
      <c r="S192" s="159"/>
      <c r="T192" s="159"/>
      <c r="U192" s="159"/>
      <c r="V192" s="159"/>
      <c r="W192" s="159"/>
      <c r="Y192" s="160"/>
      <c r="Z192" s="160"/>
      <c r="AA192" s="295"/>
    </row>
    <row r="193" spans="2:27" ht="18" customHeight="1" thickBot="1" x14ac:dyDescent="0.2">
      <c r="B193" s="161"/>
      <c r="C193" s="170" t="s">
        <v>7</v>
      </c>
      <c r="D193" s="161" t="s">
        <v>104</v>
      </c>
      <c r="E193" s="161"/>
      <c r="F193" s="225"/>
      <c r="G193" s="207" t="s">
        <v>25</v>
      </c>
      <c r="H193" s="225"/>
      <c r="I193" s="207" t="s">
        <v>25</v>
      </c>
      <c r="J193" s="225"/>
      <c r="K193" s="161"/>
      <c r="L193" s="161" t="s">
        <v>105</v>
      </c>
      <c r="M193" s="161"/>
      <c r="N193" s="161"/>
      <c r="O193" s="161"/>
      <c r="P193" s="161"/>
      <c r="Q193" s="161"/>
      <c r="R193" s="161"/>
      <c r="S193" s="161"/>
      <c r="T193" s="161"/>
      <c r="U193" s="161"/>
      <c r="V193" s="161"/>
      <c r="W193" s="161"/>
      <c r="AA193" s="295" t="str">
        <f ca="1">中間シート!X25</f>
        <v>電話番号を入力してください。</v>
      </c>
    </row>
    <row r="194" spans="2:27" s="148" customFormat="1" ht="5.0999999999999996" customHeight="1" thickBot="1" x14ac:dyDescent="0.2">
      <c r="B194" s="159"/>
      <c r="C194" s="174"/>
      <c r="D194" s="159"/>
      <c r="E194" s="159"/>
      <c r="F194" s="208"/>
      <c r="G194" s="208"/>
      <c r="H194" s="208"/>
      <c r="I194" s="208"/>
      <c r="J194" s="208"/>
      <c r="K194" s="159"/>
      <c r="L194" s="159"/>
      <c r="M194" s="159"/>
      <c r="N194" s="159"/>
      <c r="O194" s="159"/>
      <c r="P194" s="159"/>
      <c r="Q194" s="159"/>
      <c r="R194" s="159"/>
      <c r="S194" s="159"/>
      <c r="T194" s="159"/>
      <c r="U194" s="159"/>
      <c r="V194" s="159"/>
      <c r="W194" s="159"/>
      <c r="Y194" s="160"/>
      <c r="Z194" s="160"/>
      <c r="AA194" s="295"/>
    </row>
    <row r="195" spans="2:27" ht="18" hidden="1" customHeight="1" thickBot="1" x14ac:dyDescent="0.2">
      <c r="B195" s="161"/>
      <c r="C195" s="176"/>
      <c r="D195" s="209" t="s">
        <v>106</v>
      </c>
      <c r="E195" s="161"/>
      <c r="F195" s="171" t="s">
        <v>107</v>
      </c>
      <c r="G195" s="207" t="s">
        <v>25</v>
      </c>
      <c r="H195" s="171" t="s">
        <v>108</v>
      </c>
      <c r="I195" s="207" t="s">
        <v>25</v>
      </c>
      <c r="J195" s="171" t="s">
        <v>109</v>
      </c>
      <c r="K195" s="161"/>
      <c r="L195" s="161" t="s">
        <v>105</v>
      </c>
      <c r="M195" s="161"/>
      <c r="N195" s="161"/>
      <c r="O195" s="161"/>
      <c r="P195" s="161"/>
      <c r="Q195" s="161"/>
      <c r="R195" s="161"/>
      <c r="S195" s="161"/>
      <c r="T195" s="161"/>
      <c r="U195" s="161"/>
      <c r="V195" s="161"/>
      <c r="W195" s="161"/>
      <c r="AA195" s="295" t="str">
        <f ca="1">中間シート!X26</f>
        <v>OK</v>
      </c>
    </row>
    <row r="196" spans="2:27" s="148" customFormat="1" ht="5.0999999999999996" hidden="1" customHeight="1" thickBot="1" x14ac:dyDescent="0.2">
      <c r="B196" s="159"/>
      <c r="C196" s="174"/>
      <c r="D196" s="159"/>
      <c r="E196" s="159"/>
      <c r="F196" s="159"/>
      <c r="G196" s="159"/>
      <c r="H196" s="159"/>
      <c r="I196" s="161"/>
      <c r="J196" s="159"/>
      <c r="K196" s="159"/>
      <c r="L196" s="159"/>
      <c r="M196" s="159"/>
      <c r="N196" s="159"/>
      <c r="O196" s="159"/>
      <c r="P196" s="159"/>
      <c r="Q196" s="159"/>
      <c r="R196" s="161"/>
      <c r="S196" s="159"/>
      <c r="T196" s="159"/>
      <c r="U196" s="159"/>
      <c r="V196" s="159"/>
      <c r="W196" s="159"/>
      <c r="Y196" s="160"/>
      <c r="Z196" s="160"/>
      <c r="AA196" s="295"/>
    </row>
    <row r="197" spans="2:27" ht="18" customHeight="1" thickBot="1" x14ac:dyDescent="0.2">
      <c r="B197" s="161"/>
      <c r="C197" s="170" t="s">
        <v>7</v>
      </c>
      <c r="D197" s="161" t="s">
        <v>110</v>
      </c>
      <c r="E197" s="161"/>
      <c r="F197" s="318"/>
      <c r="G197" s="319"/>
      <c r="H197" s="320"/>
      <c r="I197" s="210" t="s">
        <v>111</v>
      </c>
      <c r="J197" s="327"/>
      <c r="K197" s="328"/>
      <c r="L197" s="329"/>
      <c r="M197" s="159"/>
      <c r="N197" s="161" t="s">
        <v>105</v>
      </c>
      <c r="O197" s="161"/>
      <c r="P197" s="159"/>
      <c r="Q197" s="161"/>
      <c r="R197" s="161"/>
      <c r="S197" s="161"/>
      <c r="T197" s="161"/>
      <c r="U197" s="161"/>
      <c r="V197" s="161"/>
      <c r="W197" s="161"/>
      <c r="AA197" s="314" t="str">
        <f ca="1">中間シート!X27</f>
        <v>E-mailアドレスを入力してください。</v>
      </c>
    </row>
    <row r="198" spans="2:27" s="148" customFormat="1" ht="5.0999999999999996" customHeight="1" x14ac:dyDescent="0.15">
      <c r="B198" s="159"/>
      <c r="C198" s="159"/>
      <c r="D198" s="159"/>
      <c r="E198" s="159"/>
      <c r="F198" s="159"/>
      <c r="G198" s="159"/>
      <c r="H198" s="159"/>
      <c r="I198" s="159"/>
      <c r="J198" s="159"/>
      <c r="K198" s="159"/>
      <c r="L198" s="159"/>
      <c r="M198" s="159"/>
      <c r="N198" s="159"/>
      <c r="O198" s="159"/>
      <c r="P198" s="159"/>
      <c r="Q198" s="159"/>
      <c r="R198" s="159"/>
      <c r="S198" s="159"/>
      <c r="T198" s="159"/>
      <c r="U198" s="159"/>
      <c r="V198" s="159"/>
      <c r="W198" s="159"/>
      <c r="Y198" s="160"/>
      <c r="Z198" s="160"/>
      <c r="AA198" s="314"/>
    </row>
    <row r="199" spans="2:27" x14ac:dyDescent="0.15">
      <c r="B199" s="161"/>
      <c r="C199" s="161"/>
      <c r="D199" s="161"/>
      <c r="E199" s="161"/>
      <c r="F199" s="161" t="s">
        <v>112</v>
      </c>
      <c r="G199" s="161"/>
      <c r="H199" s="161"/>
      <c r="I199" s="161"/>
      <c r="J199" s="161" t="s">
        <v>113</v>
      </c>
      <c r="K199" s="161"/>
      <c r="L199" s="161"/>
      <c r="M199" s="161"/>
      <c r="N199" s="161"/>
      <c r="O199" s="161"/>
      <c r="P199" s="161"/>
      <c r="Q199" s="161"/>
      <c r="R199" s="161"/>
      <c r="S199" s="161"/>
      <c r="T199" s="161"/>
      <c r="U199" s="161"/>
      <c r="V199" s="161"/>
      <c r="W199" s="161"/>
      <c r="AA199" s="314"/>
    </row>
    <row r="200" spans="2:27" ht="14.25" thickBot="1" x14ac:dyDescent="0.2">
      <c r="B200" s="161"/>
      <c r="C200" s="161"/>
      <c r="D200" s="161"/>
      <c r="E200" s="161"/>
      <c r="F200" s="159"/>
      <c r="G200" s="161"/>
      <c r="H200" s="161"/>
      <c r="I200" s="161"/>
      <c r="J200" s="161"/>
      <c r="K200" s="161"/>
      <c r="L200" s="161"/>
      <c r="M200" s="161"/>
      <c r="N200" s="161"/>
      <c r="O200" s="161"/>
      <c r="P200" s="161"/>
      <c r="Q200" s="161"/>
      <c r="R200" s="161"/>
      <c r="S200" s="161"/>
      <c r="T200" s="161"/>
      <c r="U200" s="161"/>
      <c r="V200" s="161"/>
      <c r="W200" s="161"/>
      <c r="AA200" s="314"/>
    </row>
    <row r="201" spans="2:27" ht="15" customHeight="1" x14ac:dyDescent="0.15">
      <c r="B201" s="161"/>
      <c r="C201" s="161"/>
      <c r="D201" s="161" t="s">
        <v>110</v>
      </c>
      <c r="E201" s="161"/>
      <c r="F201" s="358" t="str">
        <f>IF(AND(F197&lt;&gt;"",J197&lt;&gt;""),中間シート!F27&amp;"@"&amp;中間シート!G27,"")</f>
        <v/>
      </c>
      <c r="G201" s="359"/>
      <c r="H201" s="359"/>
      <c r="I201" s="359"/>
      <c r="J201" s="359"/>
      <c r="K201" s="359"/>
      <c r="L201" s="360"/>
      <c r="M201" s="161"/>
      <c r="N201" s="161"/>
      <c r="O201" s="161"/>
      <c r="P201" s="161"/>
      <c r="Q201" s="161"/>
      <c r="R201" s="161"/>
      <c r="S201" s="161"/>
      <c r="T201" s="161"/>
      <c r="U201" s="161"/>
      <c r="V201" s="161"/>
      <c r="W201" s="161"/>
      <c r="AA201" s="314"/>
    </row>
    <row r="202" spans="2:27" ht="15" customHeight="1" thickBot="1" x14ac:dyDescent="0.2">
      <c r="B202" s="161"/>
      <c r="C202" s="161"/>
      <c r="D202" s="161" t="s">
        <v>114</v>
      </c>
      <c r="E202" s="161"/>
      <c r="F202" s="361"/>
      <c r="G202" s="362"/>
      <c r="H202" s="362"/>
      <c r="I202" s="362"/>
      <c r="J202" s="362"/>
      <c r="K202" s="362"/>
      <c r="L202" s="363"/>
      <c r="M202" s="161"/>
      <c r="N202" s="161"/>
      <c r="O202" s="161"/>
      <c r="P202" s="161"/>
      <c r="Q202" s="161"/>
      <c r="R202" s="161"/>
      <c r="S202" s="161"/>
      <c r="T202" s="161"/>
      <c r="U202" s="161"/>
      <c r="V202" s="161"/>
      <c r="W202" s="161"/>
      <c r="AA202" s="314"/>
    </row>
    <row r="203" spans="2:27" x14ac:dyDescent="0.15">
      <c r="B203" s="161"/>
      <c r="C203" s="161"/>
      <c r="D203" s="161"/>
      <c r="E203" s="161"/>
      <c r="F203" s="159"/>
      <c r="G203" s="161"/>
      <c r="H203" s="161"/>
      <c r="I203" s="161"/>
      <c r="J203" s="161"/>
      <c r="K203" s="161"/>
      <c r="L203" s="161"/>
      <c r="M203" s="161"/>
      <c r="N203" s="161"/>
      <c r="O203" s="161"/>
      <c r="P203" s="161"/>
      <c r="Q203" s="161"/>
      <c r="R203" s="161"/>
      <c r="S203" s="161"/>
      <c r="T203" s="161"/>
      <c r="U203" s="161"/>
      <c r="V203" s="161"/>
      <c r="W203" s="161"/>
    </row>
    <row r="204" spans="2:27" s="148" customFormat="1" ht="5.0999999999999996" customHeight="1" x14ac:dyDescent="0.15">
      <c r="B204" s="159"/>
      <c r="C204" s="159"/>
      <c r="D204" s="159"/>
      <c r="E204" s="159"/>
      <c r="F204" s="159"/>
      <c r="G204" s="159"/>
      <c r="H204" s="159"/>
      <c r="I204" s="159"/>
      <c r="J204" s="159"/>
      <c r="K204" s="159"/>
      <c r="L204" s="159"/>
      <c r="M204" s="159"/>
      <c r="N204" s="159"/>
      <c r="O204" s="159"/>
      <c r="P204" s="159"/>
      <c r="Q204" s="159"/>
      <c r="R204" s="159"/>
      <c r="S204" s="159"/>
      <c r="T204" s="159"/>
      <c r="U204" s="159"/>
      <c r="V204" s="159"/>
      <c r="W204" s="159"/>
      <c r="Y204" s="160"/>
      <c r="Z204" s="160"/>
      <c r="AA204" s="295"/>
    </row>
    <row r="206" spans="2:27" s="148" customFormat="1" ht="5.0999999999999996" hidden="1" customHeight="1" x14ac:dyDescent="0.15">
      <c r="B206" s="165"/>
      <c r="C206" s="165"/>
      <c r="D206" s="165"/>
      <c r="E206" s="165"/>
      <c r="F206" s="165"/>
      <c r="G206" s="165"/>
      <c r="H206" s="165"/>
      <c r="I206" s="165"/>
      <c r="J206" s="165"/>
      <c r="K206" s="165"/>
      <c r="L206" s="165"/>
      <c r="M206" s="165"/>
      <c r="N206" s="165"/>
      <c r="O206" s="165"/>
      <c r="P206" s="165"/>
      <c r="Q206" s="165"/>
      <c r="R206" s="165"/>
      <c r="S206" s="165"/>
      <c r="T206" s="165"/>
      <c r="U206" s="165"/>
      <c r="V206" s="165"/>
      <c r="W206" s="165"/>
      <c r="Y206" s="160"/>
      <c r="Z206" s="160"/>
      <c r="AA206" s="295"/>
    </row>
    <row r="207" spans="2:27" s="209" customFormat="1" hidden="1" x14ac:dyDescent="0.15">
      <c r="C207" s="211" t="s">
        <v>115</v>
      </c>
      <c r="D207" s="211"/>
      <c r="Y207" s="212"/>
      <c r="Z207" s="212"/>
      <c r="AA207" s="150"/>
    </row>
    <row r="208" spans="2:27" s="148" customFormat="1" ht="5.0999999999999996" hidden="1" customHeight="1" x14ac:dyDescent="0.15">
      <c r="B208" s="165"/>
      <c r="C208" s="165"/>
      <c r="D208" s="165"/>
      <c r="E208" s="165"/>
      <c r="F208" s="165"/>
      <c r="G208" s="165"/>
      <c r="H208" s="165"/>
      <c r="I208" s="165"/>
      <c r="J208" s="165"/>
      <c r="K208" s="165"/>
      <c r="L208" s="165"/>
      <c r="M208" s="165"/>
      <c r="N208" s="165"/>
      <c r="O208" s="165"/>
      <c r="P208" s="165"/>
      <c r="Q208" s="165"/>
      <c r="R208" s="165"/>
      <c r="S208" s="165"/>
      <c r="T208" s="165"/>
      <c r="U208" s="165"/>
      <c r="V208" s="165"/>
      <c r="W208" s="165"/>
      <c r="Y208" s="160"/>
      <c r="Z208" s="160"/>
      <c r="AA208" s="295"/>
    </row>
    <row r="209" spans="2:27" hidden="1" x14ac:dyDescent="0.15">
      <c r="B209" s="166"/>
      <c r="C209" s="165"/>
      <c r="D209" s="213" t="s">
        <v>116</v>
      </c>
      <c r="E209" s="166"/>
      <c r="F209" s="166"/>
      <c r="G209" s="166"/>
      <c r="H209" s="166"/>
      <c r="I209" s="166"/>
      <c r="J209" s="166"/>
      <c r="K209" s="166"/>
      <c r="L209" s="166"/>
      <c r="M209" s="166"/>
      <c r="N209" s="166"/>
      <c r="O209" s="166"/>
      <c r="P209" s="166"/>
      <c r="Q209" s="166"/>
      <c r="R209" s="166"/>
      <c r="S209" s="166"/>
      <c r="T209" s="166"/>
      <c r="U209" s="166"/>
      <c r="V209" s="166"/>
      <c r="W209" s="166"/>
    </row>
    <row r="210" spans="2:27" s="148" customFormat="1" ht="5.0999999999999996" hidden="1" customHeight="1" x14ac:dyDescent="0.15">
      <c r="B210" s="165"/>
      <c r="C210" s="165"/>
      <c r="D210" s="214"/>
      <c r="E210" s="165"/>
      <c r="F210" s="165"/>
      <c r="G210" s="165"/>
      <c r="H210" s="165"/>
      <c r="I210" s="165"/>
      <c r="J210" s="165"/>
      <c r="K210" s="165"/>
      <c r="L210" s="165"/>
      <c r="M210" s="165"/>
      <c r="N210" s="165"/>
      <c r="O210" s="165"/>
      <c r="P210" s="165"/>
      <c r="Q210" s="165"/>
      <c r="R210" s="165"/>
      <c r="S210" s="165"/>
      <c r="T210" s="165"/>
      <c r="U210" s="165"/>
      <c r="V210" s="165"/>
      <c r="W210" s="165"/>
      <c r="Y210" s="160"/>
      <c r="Z210" s="160"/>
      <c r="AA210" s="295"/>
    </row>
    <row r="211" spans="2:27" hidden="1" x14ac:dyDescent="0.15">
      <c r="B211" s="166"/>
      <c r="C211" s="165"/>
      <c r="D211" s="213" t="s">
        <v>117</v>
      </c>
      <c r="E211" s="166"/>
      <c r="F211" s="166"/>
      <c r="G211" s="166"/>
      <c r="H211" s="166"/>
      <c r="I211" s="166"/>
      <c r="J211" s="166"/>
      <c r="K211" s="166"/>
      <c r="L211" s="166"/>
      <c r="M211" s="166"/>
      <c r="N211" s="166"/>
      <c r="O211" s="166"/>
      <c r="P211" s="166"/>
      <c r="Q211" s="166"/>
      <c r="R211" s="166"/>
      <c r="S211" s="166"/>
      <c r="T211" s="166"/>
      <c r="U211" s="166"/>
      <c r="V211" s="166"/>
      <c r="W211" s="166"/>
    </row>
    <row r="212" spans="2:27" s="148" customFormat="1" ht="5.0999999999999996" hidden="1" customHeight="1" x14ac:dyDescent="0.15">
      <c r="B212" s="165"/>
      <c r="C212" s="165"/>
      <c r="D212" s="165"/>
      <c r="E212" s="165"/>
      <c r="F212" s="165"/>
      <c r="G212" s="165"/>
      <c r="H212" s="165"/>
      <c r="I212" s="165"/>
      <c r="J212" s="165"/>
      <c r="K212" s="165"/>
      <c r="L212" s="165"/>
      <c r="M212" s="165"/>
      <c r="N212" s="165"/>
      <c r="O212" s="165"/>
      <c r="P212" s="165"/>
      <c r="Q212" s="165"/>
      <c r="R212" s="165"/>
      <c r="S212" s="165"/>
      <c r="T212" s="165"/>
      <c r="U212" s="165"/>
      <c r="V212" s="165"/>
      <c r="W212" s="165"/>
      <c r="Y212" s="160"/>
      <c r="Z212" s="160"/>
      <c r="AA212" s="295"/>
    </row>
    <row r="213" spans="2:27" ht="14.25" hidden="1" thickBot="1" x14ac:dyDescent="0.2">
      <c r="B213" s="166"/>
      <c r="C213" s="165"/>
      <c r="D213" s="167"/>
      <c r="E213" s="166"/>
      <c r="F213" s="166"/>
      <c r="G213" s="166"/>
      <c r="H213" s="166"/>
      <c r="I213" s="166"/>
      <c r="J213" s="166"/>
      <c r="K213" s="166"/>
      <c r="L213" s="166"/>
      <c r="M213" s="166"/>
      <c r="N213" s="166"/>
      <c r="O213" s="166"/>
      <c r="P213" s="166"/>
      <c r="Q213" s="166"/>
      <c r="R213" s="166"/>
      <c r="S213" s="166"/>
      <c r="T213" s="166"/>
      <c r="U213" s="166"/>
      <c r="V213" s="166"/>
      <c r="W213" s="166"/>
    </row>
    <row r="214" spans="2:27" ht="18" hidden="1" customHeight="1" thickBot="1" x14ac:dyDescent="0.2">
      <c r="B214" s="166"/>
      <c r="C214" s="168" t="s">
        <v>7</v>
      </c>
      <c r="D214" s="166" t="s">
        <v>118</v>
      </c>
      <c r="E214" s="166"/>
      <c r="F214" s="355" t="s">
        <v>119</v>
      </c>
      <c r="G214" s="356"/>
      <c r="H214" s="357"/>
      <c r="I214" s="166"/>
      <c r="J214" s="166" t="s">
        <v>27</v>
      </c>
      <c r="K214" s="166"/>
      <c r="L214" s="166"/>
      <c r="M214" s="166"/>
      <c r="N214" s="166"/>
      <c r="O214" s="166"/>
      <c r="P214" s="166"/>
      <c r="Q214" s="166"/>
      <c r="R214" s="166"/>
      <c r="S214" s="166"/>
      <c r="T214" s="166"/>
      <c r="U214" s="166"/>
      <c r="V214" s="166"/>
      <c r="W214" s="166"/>
      <c r="Y214" s="152">
        <f>IF(F214="代表者住所と同じ",1,IF(F214="事業場1住所と同じ",2,IF(F214="それ以外（手入力）",3,0)))</f>
        <v>3</v>
      </c>
      <c r="AA214" s="295" t="str">
        <f ca="1">中間シート!X28</f>
        <v>OK</v>
      </c>
    </row>
    <row r="215" spans="2:27" s="148" customFormat="1" ht="5.0999999999999996" hidden="1" customHeight="1" thickBot="1" x14ac:dyDescent="0.2">
      <c r="B215" s="165"/>
      <c r="C215" s="165"/>
      <c r="D215" s="165"/>
      <c r="E215" s="165"/>
      <c r="F215" s="165"/>
      <c r="G215" s="165"/>
      <c r="H215" s="165"/>
      <c r="I215" s="165"/>
      <c r="J215" s="165"/>
      <c r="K215" s="165"/>
      <c r="L215" s="165"/>
      <c r="M215" s="165"/>
      <c r="N215" s="166"/>
      <c r="O215" s="165"/>
      <c r="P215" s="165"/>
      <c r="Q215" s="165"/>
      <c r="R215" s="165"/>
      <c r="S215" s="165"/>
      <c r="T215" s="165"/>
      <c r="U215" s="165"/>
      <c r="V215" s="165"/>
      <c r="W215" s="165"/>
      <c r="Y215" s="160"/>
      <c r="Z215" s="160"/>
      <c r="AA215" s="295"/>
    </row>
    <row r="216" spans="2:27" ht="18" hidden="1" customHeight="1" thickBot="1" x14ac:dyDescent="0.2">
      <c r="B216" s="166"/>
      <c r="C216" s="168" t="s">
        <v>7</v>
      </c>
      <c r="D216" s="166" t="s">
        <v>24</v>
      </c>
      <c r="E216" s="166"/>
      <c r="F216" s="171" t="s">
        <v>120</v>
      </c>
      <c r="G216" s="215" t="s">
        <v>25</v>
      </c>
      <c r="H216" s="171" t="s">
        <v>121</v>
      </c>
      <c r="I216" s="166"/>
      <c r="J216" s="166"/>
      <c r="K216" s="166"/>
      <c r="L216" s="166"/>
      <c r="M216" s="166"/>
      <c r="N216" s="166"/>
      <c r="O216" s="166"/>
      <c r="P216" s="166"/>
      <c r="Q216" s="166"/>
      <c r="R216" s="166"/>
      <c r="S216" s="166"/>
      <c r="T216" s="166"/>
      <c r="U216" s="166"/>
      <c r="V216" s="166"/>
      <c r="W216" s="166"/>
      <c r="AA216" s="295" t="str">
        <f ca="1">中間シート!X29</f>
        <v>OK</v>
      </c>
    </row>
    <row r="217" spans="2:27" s="148" customFormat="1" ht="5.0999999999999996" hidden="1" customHeight="1" thickBot="1" x14ac:dyDescent="0.2">
      <c r="B217" s="165"/>
      <c r="C217" s="216"/>
      <c r="D217" s="165"/>
      <c r="E217" s="165"/>
      <c r="F217" s="165"/>
      <c r="G217" s="165"/>
      <c r="H217" s="165"/>
      <c r="I217" s="165"/>
      <c r="J217" s="165"/>
      <c r="K217" s="165"/>
      <c r="L217" s="165"/>
      <c r="M217" s="165"/>
      <c r="N217" s="166"/>
      <c r="O217" s="165"/>
      <c r="P217" s="165"/>
      <c r="Q217" s="165"/>
      <c r="R217" s="165"/>
      <c r="S217" s="165"/>
      <c r="T217" s="165"/>
      <c r="U217" s="165"/>
      <c r="V217" s="165"/>
      <c r="W217" s="165"/>
      <c r="Y217" s="160"/>
      <c r="Z217" s="160"/>
      <c r="AA217" s="295"/>
    </row>
    <row r="218" spans="2:27" ht="18" hidden="1" customHeight="1" thickBot="1" x14ac:dyDescent="0.2">
      <c r="B218" s="166"/>
      <c r="C218" s="168" t="s">
        <v>7</v>
      </c>
      <c r="D218" s="166" t="s">
        <v>26</v>
      </c>
      <c r="E218" s="166"/>
      <c r="F218" s="175" t="s">
        <v>122</v>
      </c>
      <c r="G218" s="166"/>
      <c r="H218" s="166" t="s">
        <v>123</v>
      </c>
      <c r="I218" s="166"/>
      <c r="J218" s="166"/>
      <c r="K218" s="166"/>
      <c r="L218" s="166" t="s">
        <v>28</v>
      </c>
      <c r="M218" s="166"/>
      <c r="N218" s="166"/>
      <c r="O218" s="166"/>
      <c r="P218" s="166"/>
      <c r="Q218" s="166"/>
      <c r="R218" s="166"/>
      <c r="S218" s="166"/>
      <c r="T218" s="166"/>
      <c r="U218" s="166"/>
      <c r="V218" s="166"/>
      <c r="W218" s="166"/>
      <c r="AA218" s="295" t="str">
        <f ca="1">中間シート!X30</f>
        <v>OK</v>
      </c>
    </row>
    <row r="219" spans="2:27" s="148" customFormat="1" ht="5.0999999999999996" hidden="1" customHeight="1" thickBot="1" x14ac:dyDescent="0.2">
      <c r="B219" s="165"/>
      <c r="C219" s="216"/>
      <c r="D219" s="165"/>
      <c r="E219" s="165"/>
      <c r="F219" s="165"/>
      <c r="G219" s="165"/>
      <c r="H219" s="165"/>
      <c r="I219" s="165"/>
      <c r="J219" s="165"/>
      <c r="K219" s="166"/>
      <c r="L219" s="165"/>
      <c r="M219" s="165"/>
      <c r="N219" s="165"/>
      <c r="O219" s="165"/>
      <c r="P219" s="166"/>
      <c r="Q219" s="165"/>
      <c r="R219" s="165"/>
      <c r="S219" s="165"/>
      <c r="T219" s="165"/>
      <c r="U219" s="165"/>
      <c r="V219" s="165"/>
      <c r="W219" s="165"/>
      <c r="Y219" s="160"/>
      <c r="Z219" s="160"/>
      <c r="AA219" s="295"/>
    </row>
    <row r="220" spans="2:27" ht="18" hidden="1" customHeight="1" thickBot="1" x14ac:dyDescent="0.2">
      <c r="B220" s="166"/>
      <c r="C220" s="168" t="s">
        <v>7</v>
      </c>
      <c r="D220" s="166" t="s">
        <v>29</v>
      </c>
      <c r="E220" s="166"/>
      <c r="F220" s="355" t="s">
        <v>124</v>
      </c>
      <c r="G220" s="356"/>
      <c r="H220" s="356"/>
      <c r="I220" s="356"/>
      <c r="J220" s="357"/>
      <c r="K220" s="166"/>
      <c r="L220" s="166" t="s">
        <v>30</v>
      </c>
      <c r="M220" s="166"/>
      <c r="N220" s="166"/>
      <c r="O220" s="166"/>
      <c r="P220" s="166"/>
      <c r="Q220" s="166"/>
      <c r="R220" s="166"/>
      <c r="S220" s="166"/>
      <c r="T220" s="166"/>
      <c r="U220" s="166"/>
      <c r="V220" s="166"/>
      <c r="W220" s="166"/>
      <c r="AA220" s="295" t="str">
        <f ca="1">中間シート!X31</f>
        <v>OK</v>
      </c>
    </row>
    <row r="221" spans="2:27" s="148" customFormat="1" ht="5.0999999999999996" hidden="1" customHeight="1" thickBot="1" x14ac:dyDescent="0.2">
      <c r="B221" s="165"/>
      <c r="C221" s="216"/>
      <c r="D221" s="165"/>
      <c r="E221" s="165"/>
      <c r="F221" s="165"/>
      <c r="G221" s="165"/>
      <c r="H221" s="165"/>
      <c r="I221" s="165"/>
      <c r="J221" s="165"/>
      <c r="K221" s="165"/>
      <c r="L221" s="165"/>
      <c r="M221" s="165"/>
      <c r="N221" s="165"/>
      <c r="O221" s="165"/>
      <c r="P221" s="166"/>
      <c r="Q221" s="165"/>
      <c r="R221" s="165"/>
      <c r="S221" s="165"/>
      <c r="T221" s="165"/>
      <c r="U221" s="165"/>
      <c r="V221" s="165"/>
      <c r="W221" s="165"/>
      <c r="Y221" s="160"/>
      <c r="Z221" s="160"/>
      <c r="AA221" s="295"/>
    </row>
    <row r="222" spans="2:27" ht="18" hidden="1" customHeight="1" thickBot="1" x14ac:dyDescent="0.2">
      <c r="B222" s="166"/>
      <c r="C222" s="168" t="s">
        <v>7</v>
      </c>
      <c r="D222" s="166" t="s">
        <v>31</v>
      </c>
      <c r="E222" s="166"/>
      <c r="F222" s="355" t="s">
        <v>125</v>
      </c>
      <c r="G222" s="356"/>
      <c r="H222" s="356"/>
      <c r="I222" s="356"/>
      <c r="J222" s="357"/>
      <c r="K222" s="166"/>
      <c r="L222" s="166" t="s">
        <v>126</v>
      </c>
      <c r="M222" s="166"/>
      <c r="N222" s="166"/>
      <c r="O222" s="166"/>
      <c r="P222" s="166" t="s">
        <v>33</v>
      </c>
      <c r="Q222" s="166"/>
      <c r="R222" s="166"/>
      <c r="S222" s="166"/>
      <c r="T222" s="166"/>
      <c r="U222" s="166"/>
      <c r="V222" s="166"/>
      <c r="W222" s="166"/>
      <c r="AA222" s="295" t="str">
        <f ca="1">中間シート!X32</f>
        <v>OK</v>
      </c>
    </row>
    <row r="223" spans="2:27" s="148" customFormat="1" ht="5.0999999999999996" hidden="1" customHeight="1" thickBot="1" x14ac:dyDescent="0.2">
      <c r="B223" s="165"/>
      <c r="C223" s="165"/>
      <c r="D223" s="165"/>
      <c r="E223" s="165"/>
      <c r="F223" s="165"/>
      <c r="G223" s="165"/>
      <c r="H223" s="165"/>
      <c r="I223" s="165"/>
      <c r="J223" s="165"/>
      <c r="K223" s="165"/>
      <c r="L223" s="165"/>
      <c r="M223" s="165"/>
      <c r="N223" s="165"/>
      <c r="O223" s="165"/>
      <c r="P223" s="165"/>
      <c r="Q223" s="165"/>
      <c r="R223" s="165"/>
      <c r="S223" s="165"/>
      <c r="T223" s="165"/>
      <c r="U223" s="165"/>
      <c r="V223" s="165"/>
      <c r="W223" s="165"/>
      <c r="Y223" s="160"/>
      <c r="Z223" s="160"/>
      <c r="AA223" s="295"/>
    </row>
    <row r="224" spans="2:27" ht="18" hidden="1" customHeight="1" thickBot="1" x14ac:dyDescent="0.2">
      <c r="B224" s="166"/>
      <c r="C224" s="166"/>
      <c r="D224" s="166" t="s">
        <v>34</v>
      </c>
      <c r="E224" s="166"/>
      <c r="F224" s="355" t="s">
        <v>127</v>
      </c>
      <c r="G224" s="356"/>
      <c r="H224" s="356"/>
      <c r="I224" s="356"/>
      <c r="J224" s="357"/>
      <c r="K224" s="166"/>
      <c r="L224" s="166" t="s">
        <v>128</v>
      </c>
      <c r="M224" s="166"/>
      <c r="N224" s="166"/>
      <c r="O224" s="166"/>
      <c r="P224" s="166" t="s">
        <v>36</v>
      </c>
      <c r="Q224" s="166"/>
      <c r="R224" s="166"/>
      <c r="S224" s="166"/>
      <c r="T224" s="166"/>
      <c r="U224" s="166"/>
      <c r="V224" s="166"/>
      <c r="W224" s="166"/>
    </row>
    <row r="225" spans="2:27" s="148" customFormat="1" ht="5.0999999999999996" hidden="1" customHeight="1" thickBot="1" x14ac:dyDescent="0.2">
      <c r="B225" s="165"/>
      <c r="C225" s="165"/>
      <c r="D225" s="165"/>
      <c r="E225" s="165"/>
      <c r="F225" s="165"/>
      <c r="G225" s="165"/>
      <c r="H225" s="165"/>
      <c r="I225" s="165"/>
      <c r="J225" s="165"/>
      <c r="K225" s="165"/>
      <c r="L225" s="165"/>
      <c r="M225" s="165"/>
      <c r="N225" s="165"/>
      <c r="O225" s="165"/>
      <c r="P225" s="165"/>
      <c r="Q225" s="165"/>
      <c r="R225" s="165"/>
      <c r="S225" s="165"/>
      <c r="T225" s="165"/>
      <c r="U225" s="165"/>
      <c r="V225" s="165"/>
      <c r="W225" s="165"/>
      <c r="Y225" s="160"/>
      <c r="Z225" s="160"/>
      <c r="AA225" s="295"/>
    </row>
    <row r="226" spans="2:27" ht="18" hidden="1" customHeight="1" thickBot="1" x14ac:dyDescent="0.2">
      <c r="B226" s="166"/>
      <c r="C226" s="217"/>
      <c r="D226" s="166" t="s">
        <v>129</v>
      </c>
      <c r="E226" s="166"/>
      <c r="F226" s="355" t="s">
        <v>130</v>
      </c>
      <c r="G226" s="356"/>
      <c r="H226" s="356"/>
      <c r="I226" s="356"/>
      <c r="J226" s="357"/>
      <c r="K226" s="166"/>
      <c r="L226" s="166"/>
      <c r="M226" s="166"/>
      <c r="N226" s="166"/>
      <c r="O226" s="166"/>
      <c r="P226" s="166"/>
      <c r="Q226" s="166"/>
      <c r="R226" s="166"/>
      <c r="S226" s="166"/>
      <c r="T226" s="166"/>
      <c r="U226" s="166"/>
      <c r="V226" s="166"/>
      <c r="W226" s="166"/>
    </row>
    <row r="227" spans="2:27" s="148" customFormat="1" ht="5.0999999999999996" hidden="1" customHeight="1" x14ac:dyDescent="0.15">
      <c r="B227" s="165"/>
      <c r="C227" s="165"/>
      <c r="D227" s="165"/>
      <c r="E227" s="165"/>
      <c r="F227" s="165"/>
      <c r="G227" s="165"/>
      <c r="H227" s="165"/>
      <c r="I227" s="165"/>
      <c r="J227" s="165"/>
      <c r="K227" s="165"/>
      <c r="L227" s="165"/>
      <c r="M227" s="165"/>
      <c r="N227" s="165"/>
      <c r="O227" s="165"/>
      <c r="P227" s="165"/>
      <c r="Q227" s="165"/>
      <c r="R227" s="165"/>
      <c r="S227" s="165"/>
      <c r="T227" s="165"/>
      <c r="U227" s="165"/>
      <c r="V227" s="165"/>
      <c r="W227" s="165"/>
      <c r="Y227" s="160"/>
      <c r="Z227" s="160"/>
      <c r="AA227" s="295"/>
    </row>
    <row r="228" spans="2:27" ht="14.25" hidden="1" thickBot="1" x14ac:dyDescent="0.2">
      <c r="B228" s="166"/>
      <c r="C228" s="165"/>
      <c r="D228" s="167"/>
      <c r="E228" s="166"/>
      <c r="F228" s="166"/>
      <c r="G228" s="166"/>
      <c r="H228" s="166"/>
      <c r="I228" s="166"/>
      <c r="J228" s="166"/>
      <c r="K228" s="166"/>
      <c r="L228" s="166"/>
      <c r="M228" s="166"/>
      <c r="N228" s="166"/>
      <c r="O228" s="166"/>
      <c r="P228" s="166"/>
      <c r="Q228" s="166"/>
      <c r="R228" s="166"/>
      <c r="S228" s="166"/>
      <c r="T228" s="166"/>
      <c r="U228" s="166"/>
      <c r="V228" s="166"/>
      <c r="W228" s="166"/>
    </row>
    <row r="229" spans="2:27" ht="18" hidden="1" customHeight="1" thickBot="1" x14ac:dyDescent="0.2">
      <c r="B229" s="166"/>
      <c r="C229" s="168" t="s">
        <v>7</v>
      </c>
      <c r="D229" s="166" t="s">
        <v>131</v>
      </c>
      <c r="E229" s="166"/>
      <c r="F229" s="355" t="s">
        <v>119</v>
      </c>
      <c r="G229" s="356"/>
      <c r="H229" s="357"/>
      <c r="I229" s="166" t="s">
        <v>47</v>
      </c>
      <c r="J229" s="218"/>
      <c r="K229" s="166"/>
      <c r="L229" s="166"/>
      <c r="M229" s="166"/>
      <c r="N229" s="166"/>
      <c r="O229" s="166"/>
      <c r="P229" s="166"/>
      <c r="Q229" s="166"/>
      <c r="R229" s="166"/>
      <c r="S229" s="166"/>
      <c r="T229" s="166"/>
      <c r="U229" s="166"/>
      <c r="V229" s="166"/>
      <c r="W229" s="166"/>
      <c r="Y229" s="152">
        <f>IF(F229="代表者と同じ",1,IF(F229="担当者と同じ",2,IF(F229="それ以外（手入力）",3,0)))</f>
        <v>3</v>
      </c>
      <c r="AA229" s="295" t="str">
        <f ca="1">中間シート!X35</f>
        <v>OK</v>
      </c>
    </row>
    <row r="230" spans="2:27" s="148" customFormat="1" ht="5.0999999999999996" hidden="1" customHeight="1" thickBot="1" x14ac:dyDescent="0.2">
      <c r="B230" s="165"/>
      <c r="C230" s="165"/>
      <c r="D230" s="165"/>
      <c r="E230" s="165"/>
      <c r="F230" s="165"/>
      <c r="G230" s="165"/>
      <c r="H230" s="165"/>
      <c r="I230" s="165"/>
      <c r="J230" s="165"/>
      <c r="K230" s="165"/>
      <c r="L230" s="165"/>
      <c r="M230" s="165"/>
      <c r="N230" s="165"/>
      <c r="O230" s="165"/>
      <c r="P230" s="165"/>
      <c r="Q230" s="165"/>
      <c r="R230" s="165"/>
      <c r="S230" s="165"/>
      <c r="T230" s="165"/>
      <c r="U230" s="165"/>
      <c r="V230" s="165"/>
      <c r="W230" s="165"/>
      <c r="Y230" s="160"/>
      <c r="Z230" s="160"/>
      <c r="AA230" s="295"/>
    </row>
    <row r="231" spans="2:27" ht="18" hidden="1" customHeight="1" thickBot="1" x14ac:dyDescent="0.2">
      <c r="B231" s="166"/>
      <c r="C231" s="166"/>
      <c r="D231" s="166" t="s">
        <v>103</v>
      </c>
      <c r="E231" s="166"/>
      <c r="F231" s="355" t="s">
        <v>132</v>
      </c>
      <c r="G231" s="356"/>
      <c r="H231" s="356"/>
      <c r="I231" s="356"/>
      <c r="J231" s="357"/>
      <c r="K231" s="166"/>
      <c r="L231" s="166"/>
      <c r="M231" s="166"/>
      <c r="N231" s="166"/>
      <c r="O231" s="166"/>
      <c r="P231" s="166"/>
      <c r="Q231" s="166"/>
      <c r="R231" s="166"/>
      <c r="S231" s="166"/>
      <c r="T231" s="166"/>
      <c r="U231" s="166"/>
      <c r="V231" s="166"/>
      <c r="W231" s="166"/>
    </row>
    <row r="232" spans="2:27" s="148" customFormat="1" ht="5.0999999999999996" hidden="1" customHeight="1" thickBot="1" x14ac:dyDescent="0.2">
      <c r="B232" s="165"/>
      <c r="C232" s="165"/>
      <c r="D232" s="165"/>
      <c r="E232" s="165"/>
      <c r="F232" s="165"/>
      <c r="G232" s="165"/>
      <c r="H232" s="165"/>
      <c r="I232" s="165"/>
      <c r="J232" s="165"/>
      <c r="K232" s="165"/>
      <c r="L232" s="165"/>
      <c r="M232" s="165"/>
      <c r="N232" s="165"/>
      <c r="O232" s="165"/>
      <c r="P232" s="165"/>
      <c r="Q232" s="165"/>
      <c r="R232" s="165"/>
      <c r="S232" s="165"/>
      <c r="T232" s="165"/>
      <c r="U232" s="165"/>
      <c r="V232" s="165"/>
      <c r="W232" s="165"/>
      <c r="Y232" s="160"/>
      <c r="Z232" s="160"/>
      <c r="AA232" s="295"/>
    </row>
    <row r="233" spans="2:27" ht="18" hidden="1" customHeight="1" thickBot="1" x14ac:dyDescent="0.2">
      <c r="B233" s="166"/>
      <c r="C233" s="166"/>
      <c r="D233" s="166" t="s">
        <v>38</v>
      </c>
      <c r="E233" s="166"/>
      <c r="F233" s="355" t="s">
        <v>133</v>
      </c>
      <c r="G233" s="356"/>
      <c r="H233" s="356"/>
      <c r="I233" s="356"/>
      <c r="J233" s="357"/>
      <c r="K233" s="166"/>
      <c r="L233" s="166"/>
      <c r="M233" s="166"/>
      <c r="N233" s="166"/>
      <c r="O233" s="166"/>
      <c r="P233" s="166"/>
      <c r="Q233" s="166"/>
      <c r="R233" s="166"/>
      <c r="S233" s="166"/>
      <c r="T233" s="166"/>
      <c r="U233" s="166"/>
      <c r="V233" s="166"/>
      <c r="W233" s="166"/>
    </row>
    <row r="234" spans="2:27" s="148" customFormat="1" ht="5.0999999999999996" hidden="1" customHeight="1" thickBot="1" x14ac:dyDescent="0.2">
      <c r="B234" s="165"/>
      <c r="C234" s="165"/>
      <c r="D234" s="165"/>
      <c r="E234" s="165"/>
      <c r="F234" s="165"/>
      <c r="G234" s="165"/>
      <c r="H234" s="165"/>
      <c r="I234" s="165"/>
      <c r="J234" s="165"/>
      <c r="K234" s="165"/>
      <c r="L234" s="165"/>
      <c r="M234" s="165"/>
      <c r="N234" s="165"/>
      <c r="O234" s="165"/>
      <c r="P234" s="165"/>
      <c r="Q234" s="165"/>
      <c r="R234" s="165"/>
      <c r="S234" s="165"/>
      <c r="T234" s="165"/>
      <c r="U234" s="165"/>
      <c r="V234" s="165"/>
      <c r="W234" s="165"/>
      <c r="Y234" s="160"/>
      <c r="Z234" s="160"/>
      <c r="AA234" s="295"/>
    </row>
    <row r="235" spans="2:27" ht="18" hidden="1" customHeight="1" thickBot="1" x14ac:dyDescent="0.2">
      <c r="B235" s="166"/>
      <c r="C235" s="168" t="s">
        <v>7</v>
      </c>
      <c r="D235" s="166" t="s">
        <v>40</v>
      </c>
      <c r="E235" s="166"/>
      <c r="F235" s="355" t="s">
        <v>134</v>
      </c>
      <c r="G235" s="356"/>
      <c r="H235" s="356"/>
      <c r="I235" s="356"/>
      <c r="J235" s="357"/>
      <c r="K235" s="166"/>
      <c r="L235" s="166"/>
      <c r="M235" s="166"/>
      <c r="N235" s="166"/>
      <c r="O235" s="166"/>
      <c r="P235" s="166"/>
      <c r="Q235" s="166"/>
      <c r="R235" s="166"/>
      <c r="S235" s="166"/>
      <c r="T235" s="166"/>
      <c r="U235" s="166"/>
      <c r="V235" s="166"/>
      <c r="W235" s="166"/>
      <c r="AA235" s="295" t="str">
        <f ca="1">中間シート!X38</f>
        <v>OK</v>
      </c>
    </row>
    <row r="236" spans="2:27" s="148" customFormat="1" ht="5.0999999999999996" hidden="1" customHeight="1" thickBot="1" x14ac:dyDescent="0.2">
      <c r="B236" s="165"/>
      <c r="C236" s="216"/>
      <c r="D236" s="165"/>
      <c r="E236" s="165"/>
      <c r="F236" s="165"/>
      <c r="G236" s="165"/>
      <c r="H236" s="165"/>
      <c r="I236" s="165"/>
      <c r="J236" s="165"/>
      <c r="K236" s="165"/>
      <c r="L236" s="165"/>
      <c r="M236" s="165"/>
      <c r="N236" s="165"/>
      <c r="O236" s="165"/>
      <c r="P236" s="165"/>
      <c r="Q236" s="165"/>
      <c r="R236" s="165"/>
      <c r="S236" s="165"/>
      <c r="T236" s="165"/>
      <c r="U236" s="165"/>
      <c r="V236" s="165"/>
      <c r="W236" s="165"/>
      <c r="Y236" s="160"/>
      <c r="Z236" s="160"/>
      <c r="AA236" s="295"/>
    </row>
    <row r="237" spans="2:27" ht="18" hidden="1" customHeight="1" thickBot="1" x14ac:dyDescent="0.2">
      <c r="B237" s="166"/>
      <c r="C237" s="168" t="s">
        <v>7</v>
      </c>
      <c r="D237" s="166" t="s">
        <v>41</v>
      </c>
      <c r="E237" s="166"/>
      <c r="F237" s="355" t="s">
        <v>135</v>
      </c>
      <c r="G237" s="356"/>
      <c r="H237" s="356"/>
      <c r="I237" s="356"/>
      <c r="J237" s="357"/>
      <c r="K237" s="166"/>
      <c r="L237" s="166"/>
      <c r="M237" s="166"/>
      <c r="N237" s="166"/>
      <c r="O237" s="166"/>
      <c r="P237" s="166"/>
      <c r="Q237" s="166"/>
      <c r="R237" s="166"/>
      <c r="S237" s="166"/>
      <c r="T237" s="166"/>
      <c r="U237" s="166"/>
      <c r="V237" s="166"/>
      <c r="W237" s="166"/>
      <c r="AA237" s="295" t="str">
        <f ca="1">中間シート!X39</f>
        <v>OK</v>
      </c>
    </row>
    <row r="238" spans="2:27" s="148" customFormat="1" ht="5.0999999999999996" hidden="1" customHeight="1" x14ac:dyDescent="0.15">
      <c r="B238" s="165"/>
      <c r="C238" s="165"/>
      <c r="D238" s="165"/>
      <c r="E238" s="165"/>
      <c r="F238" s="165"/>
      <c r="G238" s="165"/>
      <c r="H238" s="165"/>
      <c r="I238" s="165"/>
      <c r="J238" s="165"/>
      <c r="K238" s="165"/>
      <c r="L238" s="165"/>
      <c r="M238" s="165"/>
      <c r="N238" s="165"/>
      <c r="O238" s="165"/>
      <c r="P238" s="165"/>
      <c r="Q238" s="165"/>
      <c r="R238" s="165"/>
      <c r="S238" s="165"/>
      <c r="T238" s="165"/>
      <c r="U238" s="165"/>
      <c r="V238" s="165"/>
      <c r="W238" s="165"/>
      <c r="Y238" s="160"/>
      <c r="Z238" s="160"/>
      <c r="AA238" s="295"/>
    </row>
    <row r="239" spans="2:27" hidden="1" x14ac:dyDescent="0.15"/>
    <row r="240" spans="2:27" s="148" customFormat="1" ht="5.0999999999999996" customHeight="1" x14ac:dyDescent="0.15">
      <c r="B240" s="165"/>
      <c r="C240" s="165"/>
      <c r="D240" s="165"/>
      <c r="E240" s="165"/>
      <c r="F240" s="165"/>
      <c r="G240" s="165"/>
      <c r="H240" s="165"/>
      <c r="I240" s="165"/>
      <c r="J240" s="165"/>
      <c r="K240" s="165"/>
      <c r="L240" s="165"/>
      <c r="M240" s="165"/>
      <c r="N240" s="165"/>
      <c r="O240" s="165"/>
      <c r="P240" s="165"/>
      <c r="Q240" s="165"/>
      <c r="R240" s="165"/>
      <c r="S240" s="165"/>
      <c r="T240" s="165"/>
      <c r="U240" s="165"/>
      <c r="V240" s="165"/>
      <c r="W240" s="165"/>
      <c r="Y240" s="160"/>
      <c r="Z240" s="160"/>
      <c r="AA240" s="295"/>
    </row>
    <row r="241" spans="1:27" x14ac:dyDescent="0.15">
      <c r="B241" s="166"/>
      <c r="C241" s="166" t="s">
        <v>136</v>
      </c>
      <c r="D241" s="166"/>
      <c r="E241" s="166"/>
      <c r="F241" s="166"/>
      <c r="G241" s="166"/>
      <c r="H241" s="166"/>
      <c r="I241" s="166"/>
      <c r="J241" s="166"/>
      <c r="K241" s="166"/>
      <c r="L241" s="166"/>
      <c r="M241" s="166"/>
      <c r="N241" s="166"/>
      <c r="O241" s="166"/>
      <c r="P241" s="166"/>
      <c r="Q241" s="166"/>
      <c r="R241" s="166"/>
      <c r="S241" s="166"/>
      <c r="T241" s="166"/>
      <c r="U241" s="166"/>
      <c r="V241" s="166"/>
      <c r="W241" s="166"/>
    </row>
    <row r="242" spans="1:27" x14ac:dyDescent="0.15">
      <c r="B242" s="166"/>
      <c r="C242" s="166" t="s">
        <v>137</v>
      </c>
      <c r="D242" s="166" t="s">
        <v>138</v>
      </c>
      <c r="E242" s="166"/>
      <c r="F242" s="166"/>
      <c r="G242" s="166"/>
      <c r="H242" s="166"/>
      <c r="I242" s="166"/>
      <c r="J242" s="166"/>
      <c r="K242" s="166"/>
      <c r="L242" s="166"/>
      <c r="M242" s="166"/>
      <c r="N242" s="166"/>
      <c r="O242" s="166"/>
      <c r="P242" s="166"/>
      <c r="Q242" s="166"/>
      <c r="R242" s="166"/>
      <c r="S242" s="166"/>
      <c r="T242" s="166"/>
      <c r="U242" s="166"/>
      <c r="V242" s="166"/>
      <c r="W242" s="166"/>
    </row>
    <row r="243" spans="1:27" x14ac:dyDescent="0.15">
      <c r="B243" s="166"/>
      <c r="C243" s="166"/>
      <c r="D243" s="230" t="s">
        <v>139</v>
      </c>
      <c r="E243" s="166"/>
      <c r="F243" s="166"/>
      <c r="G243" s="166"/>
      <c r="H243" s="166"/>
      <c r="I243" s="166"/>
      <c r="J243" s="166"/>
      <c r="K243" s="166"/>
      <c r="L243" s="166"/>
      <c r="M243" s="166"/>
      <c r="N243" s="166"/>
      <c r="O243" s="166"/>
      <c r="P243" s="166"/>
      <c r="Q243" s="166"/>
      <c r="R243" s="166"/>
      <c r="S243" s="166"/>
      <c r="T243" s="166"/>
      <c r="U243" s="166"/>
      <c r="V243" s="166"/>
      <c r="W243" s="166"/>
    </row>
    <row r="244" spans="1:27" ht="14.25" thickBot="1" x14ac:dyDescent="0.2">
      <c r="B244" s="166"/>
      <c r="C244" s="166"/>
      <c r="D244" s="166"/>
      <c r="E244" s="166"/>
      <c r="F244" s="166"/>
      <c r="G244" s="166"/>
      <c r="H244" s="166"/>
      <c r="I244" s="166"/>
      <c r="J244" s="166"/>
      <c r="K244" s="166"/>
      <c r="L244" s="166"/>
      <c r="M244" s="166"/>
      <c r="N244" s="166"/>
      <c r="O244" s="166"/>
      <c r="P244" s="166"/>
      <c r="Q244" s="166"/>
      <c r="R244" s="166"/>
      <c r="S244" s="166"/>
      <c r="T244" s="166"/>
      <c r="U244" s="166"/>
      <c r="V244" s="166"/>
      <c r="W244" s="166"/>
    </row>
    <row r="245" spans="1:27" ht="18" customHeight="1" thickBot="1" x14ac:dyDescent="0.2">
      <c r="B245" s="166"/>
      <c r="C245" s="168" t="s">
        <v>7</v>
      </c>
      <c r="D245" s="166" t="s">
        <v>140</v>
      </c>
      <c r="E245" s="166"/>
      <c r="F245" s="224"/>
      <c r="G245" s="166"/>
      <c r="H245" s="166" t="str">
        <f>IF(Y12=2,"","　プルダウンで選択してください。")</f>
        <v>　プルダウンで選択してください。</v>
      </c>
      <c r="I245" s="166"/>
      <c r="J245" s="166"/>
      <c r="K245" s="166"/>
      <c r="L245" s="166"/>
      <c r="M245" s="166"/>
      <c r="N245" s="166"/>
      <c r="O245" s="166"/>
      <c r="P245" s="166"/>
      <c r="Q245" s="166"/>
      <c r="R245" s="166"/>
      <c r="S245" s="166"/>
      <c r="T245" s="166"/>
      <c r="U245" s="166"/>
      <c r="V245" s="166"/>
      <c r="W245" s="166"/>
      <c r="AA245" s="295" t="str">
        <f ca="1">中間シート!X41</f>
        <v>役員の人数を選択してください。</v>
      </c>
    </row>
    <row r="246" spans="1:27" x14ac:dyDescent="0.15">
      <c r="B246" s="166"/>
      <c r="C246" s="166"/>
      <c r="D246" s="166" t="s">
        <v>141</v>
      </c>
      <c r="E246" s="166"/>
      <c r="F246" s="166"/>
      <c r="G246" s="166"/>
      <c r="H246" s="166"/>
      <c r="I246" s="166"/>
      <c r="J246" s="166"/>
      <c r="K246" s="166"/>
      <c r="L246" s="166"/>
      <c r="M246" s="166"/>
      <c r="N246" s="166"/>
      <c r="O246" s="166"/>
      <c r="P246" s="166"/>
      <c r="Q246" s="166"/>
      <c r="R246" s="166"/>
      <c r="S246" s="166"/>
      <c r="T246" s="166"/>
      <c r="U246" s="166"/>
      <c r="V246" s="166"/>
      <c r="W246" s="166"/>
    </row>
    <row r="247" spans="1:27" x14ac:dyDescent="0.15">
      <c r="B247" s="166"/>
      <c r="C247" s="166"/>
      <c r="D247" s="166"/>
      <c r="E247" s="166"/>
      <c r="F247" s="166"/>
      <c r="G247" s="166"/>
      <c r="H247" s="166"/>
      <c r="I247" s="166"/>
      <c r="J247" s="166"/>
      <c r="K247" s="166"/>
      <c r="L247" s="166"/>
      <c r="M247" s="166"/>
      <c r="N247" s="166"/>
      <c r="O247" s="166"/>
      <c r="P247" s="166"/>
      <c r="Q247" s="166"/>
      <c r="R247" s="166"/>
      <c r="S247" s="166"/>
      <c r="T247" s="166"/>
      <c r="U247" s="166"/>
      <c r="V247" s="166"/>
      <c r="W247" s="166"/>
    </row>
    <row r="248" spans="1:27" x14ac:dyDescent="0.15">
      <c r="B248" s="166"/>
      <c r="C248" s="166"/>
      <c r="D248" s="166" t="str">
        <f>IF(Y12=2,"","枠内が白色の箇所に役職、氏名、生年月日、性別を入力してください。")</f>
        <v>枠内が白色の箇所に役職、氏名、生年月日、性別を入力してください。</v>
      </c>
      <c r="E248" s="166"/>
      <c r="F248" s="166"/>
      <c r="G248" s="166"/>
      <c r="H248" s="166"/>
      <c r="I248" s="166"/>
      <c r="J248" s="166"/>
      <c r="K248" s="166"/>
      <c r="L248" s="166"/>
      <c r="M248" s="166"/>
      <c r="N248" s="166"/>
      <c r="O248" s="166"/>
      <c r="P248" s="166"/>
      <c r="Q248" s="166"/>
      <c r="R248" s="166"/>
      <c r="S248" s="166"/>
      <c r="T248" s="166"/>
      <c r="U248" s="166"/>
      <c r="V248" s="166"/>
      <c r="W248" s="166"/>
    </row>
    <row r="249" spans="1:27" s="148" customFormat="1" ht="5.0999999999999996" customHeight="1" x14ac:dyDescent="0.15">
      <c r="B249" s="165"/>
      <c r="C249" s="165"/>
      <c r="D249" s="165"/>
      <c r="E249" s="165"/>
      <c r="F249" s="165"/>
      <c r="G249" s="165"/>
      <c r="H249" s="165"/>
      <c r="I249" s="165"/>
      <c r="J249" s="165"/>
      <c r="K249" s="165"/>
      <c r="L249" s="165"/>
      <c r="M249" s="165"/>
      <c r="N249" s="165"/>
      <c r="O249" s="165"/>
      <c r="P249" s="165"/>
      <c r="Q249" s="165"/>
      <c r="R249" s="165"/>
      <c r="S249" s="165"/>
      <c r="T249" s="165"/>
      <c r="U249" s="165"/>
      <c r="V249" s="165"/>
      <c r="W249" s="165"/>
      <c r="Y249" s="160"/>
      <c r="Z249" s="160"/>
      <c r="AA249" s="295"/>
    </row>
    <row r="250" spans="1:27" x14ac:dyDescent="0.15">
      <c r="B250" s="166"/>
      <c r="C250" s="166"/>
      <c r="D250" s="215" t="s">
        <v>142</v>
      </c>
      <c r="E250" s="215"/>
      <c r="F250" s="215" t="s">
        <v>40</v>
      </c>
      <c r="G250" s="215"/>
      <c r="H250" s="215" t="s">
        <v>41</v>
      </c>
      <c r="I250" s="215"/>
      <c r="J250" s="215" t="s">
        <v>42</v>
      </c>
      <c r="K250" s="215"/>
      <c r="L250" s="215" t="s">
        <v>43</v>
      </c>
      <c r="M250" s="215"/>
      <c r="N250" s="215" t="s">
        <v>44</v>
      </c>
      <c r="O250" s="215"/>
      <c r="P250" s="215" t="s">
        <v>46</v>
      </c>
      <c r="Q250" s="166"/>
      <c r="R250" s="166"/>
      <c r="S250" s="166"/>
      <c r="T250" s="166"/>
      <c r="U250" s="166"/>
      <c r="V250" s="166"/>
      <c r="W250" s="166"/>
    </row>
    <row r="251" spans="1:27" s="148" customFormat="1" ht="5.0999999999999996" customHeight="1" thickBot="1" x14ac:dyDescent="0.2">
      <c r="B251" s="165"/>
      <c r="C251" s="165"/>
      <c r="D251" s="165"/>
      <c r="E251" s="165"/>
      <c r="F251" s="165"/>
      <c r="G251" s="165"/>
      <c r="H251" s="165"/>
      <c r="I251" s="165"/>
      <c r="J251" s="165"/>
      <c r="K251" s="165"/>
      <c r="L251" s="165"/>
      <c r="M251" s="165"/>
      <c r="N251" s="165"/>
      <c r="O251" s="165"/>
      <c r="P251" s="231"/>
      <c r="Q251" s="165"/>
      <c r="R251" s="165"/>
      <c r="S251" s="165"/>
      <c r="T251" s="165"/>
      <c r="U251" s="165"/>
      <c r="V251" s="165"/>
      <c r="W251" s="165"/>
      <c r="Y251" s="160"/>
      <c r="Z251" s="160"/>
      <c r="AA251" s="295"/>
    </row>
    <row r="252" spans="1:27" ht="18" customHeight="1" thickBot="1" x14ac:dyDescent="0.2">
      <c r="A252" s="219"/>
      <c r="B252" s="166"/>
      <c r="C252" s="232">
        <v>1</v>
      </c>
      <c r="D252" s="288" t="str">
        <f>F66&amp;""</f>
        <v/>
      </c>
      <c r="E252" s="235"/>
      <c r="F252" s="288" t="str">
        <f>F68&amp;""</f>
        <v/>
      </c>
      <c r="G252" s="235"/>
      <c r="H252" s="288" t="str">
        <f>F70&amp;""</f>
        <v/>
      </c>
      <c r="I252" s="235"/>
      <c r="J252" s="288" t="str">
        <f>F72&amp;""</f>
        <v/>
      </c>
      <c r="K252" s="235"/>
      <c r="L252" s="288" t="str">
        <f>F74&amp;""</f>
        <v/>
      </c>
      <c r="M252" s="235"/>
      <c r="N252" s="289" t="str">
        <f>IF(F76=0,"",F76)</f>
        <v/>
      </c>
      <c r="O252" s="235"/>
      <c r="P252" s="290" t="str">
        <f>F78&amp;""</f>
        <v/>
      </c>
      <c r="Q252" s="166"/>
      <c r="R252" s="166" t="s">
        <v>143</v>
      </c>
      <c r="S252" s="166"/>
      <c r="T252" s="166"/>
      <c r="U252" s="166"/>
      <c r="V252" s="166"/>
      <c r="W252" s="166"/>
      <c r="AA252" s="295" t="str">
        <f ca="1">中間シート!X43</f>
        <v>3.代表者情報を入力すると自動で表示されます。</v>
      </c>
    </row>
    <row r="253" spans="1:27" s="148" customFormat="1" ht="5.0999999999999996" customHeight="1" thickBot="1" x14ac:dyDescent="0.2">
      <c r="A253" s="220"/>
      <c r="B253" s="165"/>
      <c r="C253" s="233"/>
      <c r="D253" s="236"/>
      <c r="E253" s="236"/>
      <c r="F253" s="236"/>
      <c r="G253" s="236"/>
      <c r="H253" s="236"/>
      <c r="I253" s="236"/>
      <c r="J253" s="236"/>
      <c r="K253" s="236"/>
      <c r="L253" s="236"/>
      <c r="M253" s="236"/>
      <c r="N253" s="291"/>
      <c r="O253" s="236"/>
      <c r="P253" s="292"/>
      <c r="Q253" s="165"/>
      <c r="R253" s="165"/>
      <c r="S253" s="165"/>
      <c r="T253" s="165"/>
      <c r="U253" s="165"/>
      <c r="V253" s="165"/>
      <c r="W253" s="165"/>
      <c r="Y253" s="160"/>
      <c r="Z253" s="160"/>
      <c r="AA253" s="295"/>
    </row>
    <row r="254" spans="1:27" ht="18" customHeight="1" thickBot="1" x14ac:dyDescent="0.2">
      <c r="A254" s="219"/>
      <c r="B254" s="166"/>
      <c r="C254" s="232">
        <v>2</v>
      </c>
      <c r="D254" s="234"/>
      <c r="E254" s="235"/>
      <c r="F254" s="234"/>
      <c r="G254" s="235"/>
      <c r="H254" s="234"/>
      <c r="I254" s="235"/>
      <c r="J254" s="234"/>
      <c r="K254" s="235"/>
      <c r="L254" s="234"/>
      <c r="M254" s="235"/>
      <c r="N254" s="293"/>
      <c r="O254" s="235"/>
      <c r="P254" s="234"/>
      <c r="Q254" s="166"/>
      <c r="R254" s="166"/>
      <c r="S254" s="166"/>
      <c r="T254" s="166"/>
      <c r="U254" s="166"/>
      <c r="V254" s="166"/>
      <c r="W254" s="166"/>
      <c r="Y254" s="160"/>
      <c r="AA254" s="295" t="str">
        <f ca="1">中間シート!X44</f>
        <v/>
      </c>
    </row>
    <row r="255" spans="1:27" s="148" customFormat="1" ht="5.0999999999999996" customHeight="1" thickBot="1" x14ac:dyDescent="0.2">
      <c r="A255" s="220"/>
      <c r="B255" s="165"/>
      <c r="C255" s="233"/>
      <c r="D255" s="236"/>
      <c r="E255" s="236"/>
      <c r="F255" s="236"/>
      <c r="G255" s="236"/>
      <c r="H255" s="236"/>
      <c r="I255" s="236"/>
      <c r="J255" s="236"/>
      <c r="K255" s="236"/>
      <c r="L255" s="236"/>
      <c r="M255" s="236"/>
      <c r="N255" s="236"/>
      <c r="O255" s="236"/>
      <c r="P255" s="236"/>
      <c r="Q255" s="165"/>
      <c r="R255" s="165"/>
      <c r="S255" s="165"/>
      <c r="T255" s="165"/>
      <c r="U255" s="165"/>
      <c r="V255" s="165"/>
      <c r="W255" s="165"/>
      <c r="Y255" s="160"/>
      <c r="Z255" s="160"/>
      <c r="AA255" s="151"/>
    </row>
    <row r="256" spans="1:27" ht="18" customHeight="1" thickBot="1" x14ac:dyDescent="0.2">
      <c r="A256" s="219"/>
      <c r="B256" s="166"/>
      <c r="C256" s="232">
        <v>3</v>
      </c>
      <c r="D256" s="234"/>
      <c r="E256" s="235"/>
      <c r="F256" s="234"/>
      <c r="G256" s="235"/>
      <c r="H256" s="234"/>
      <c r="I256" s="235"/>
      <c r="J256" s="234"/>
      <c r="K256" s="235"/>
      <c r="L256" s="234"/>
      <c r="M256" s="235"/>
      <c r="N256" s="293"/>
      <c r="O256" s="235"/>
      <c r="P256" s="234"/>
      <c r="Q256" s="166"/>
      <c r="R256" s="166"/>
      <c r="S256" s="166"/>
      <c r="T256" s="166"/>
      <c r="U256" s="166"/>
      <c r="V256" s="166"/>
      <c r="W256" s="166"/>
      <c r="Y256" s="160"/>
      <c r="AA256" s="295" t="str">
        <f ca="1">中間シート!X45</f>
        <v/>
      </c>
    </row>
    <row r="257" spans="1:27" s="148" customFormat="1" ht="5.0999999999999996" customHeight="1" thickBot="1" x14ac:dyDescent="0.2">
      <c r="A257" s="220"/>
      <c r="B257" s="165"/>
      <c r="C257" s="233"/>
      <c r="D257" s="236"/>
      <c r="E257" s="236"/>
      <c r="F257" s="236"/>
      <c r="G257" s="236"/>
      <c r="H257" s="236"/>
      <c r="I257" s="236"/>
      <c r="J257" s="236"/>
      <c r="K257" s="236"/>
      <c r="L257" s="236"/>
      <c r="M257" s="236"/>
      <c r="N257" s="236"/>
      <c r="O257" s="236"/>
      <c r="P257" s="236"/>
      <c r="Q257" s="165"/>
      <c r="R257" s="165"/>
      <c r="S257" s="165"/>
      <c r="T257" s="165"/>
      <c r="U257" s="165"/>
      <c r="V257" s="165"/>
      <c r="W257" s="165"/>
      <c r="Y257" s="160"/>
      <c r="Z257" s="160"/>
      <c r="AA257" s="151"/>
    </row>
    <row r="258" spans="1:27" ht="18" customHeight="1" thickBot="1" x14ac:dyDescent="0.2">
      <c r="A258" s="219"/>
      <c r="B258" s="166"/>
      <c r="C258" s="232">
        <v>4</v>
      </c>
      <c r="D258" s="234"/>
      <c r="E258" s="235"/>
      <c r="F258" s="234"/>
      <c r="G258" s="235"/>
      <c r="H258" s="234"/>
      <c r="I258" s="235"/>
      <c r="J258" s="234"/>
      <c r="K258" s="235"/>
      <c r="L258" s="234"/>
      <c r="M258" s="235"/>
      <c r="N258" s="293"/>
      <c r="O258" s="235"/>
      <c r="P258" s="234"/>
      <c r="Q258" s="166"/>
      <c r="R258" s="166"/>
      <c r="S258" s="166"/>
      <c r="T258" s="166"/>
      <c r="U258" s="166"/>
      <c r="V258" s="166"/>
      <c r="W258" s="166"/>
      <c r="Y258" s="160"/>
      <c r="AA258" s="295" t="str">
        <f ca="1">中間シート!X46</f>
        <v/>
      </c>
    </row>
    <row r="259" spans="1:27" s="148" customFormat="1" ht="5.0999999999999996" customHeight="1" thickBot="1" x14ac:dyDescent="0.2">
      <c r="A259" s="220"/>
      <c r="B259" s="165"/>
      <c r="C259" s="233"/>
      <c r="D259" s="236"/>
      <c r="E259" s="236"/>
      <c r="F259" s="236"/>
      <c r="G259" s="236"/>
      <c r="H259" s="236"/>
      <c r="I259" s="236"/>
      <c r="J259" s="236"/>
      <c r="K259" s="236"/>
      <c r="L259" s="236"/>
      <c r="M259" s="236"/>
      <c r="N259" s="236"/>
      <c r="O259" s="236"/>
      <c r="P259" s="236"/>
      <c r="Q259" s="165"/>
      <c r="R259" s="165"/>
      <c r="S259" s="165"/>
      <c r="T259" s="165"/>
      <c r="U259" s="165"/>
      <c r="V259" s="165"/>
      <c r="W259" s="165"/>
      <c r="Y259" s="160"/>
      <c r="Z259" s="160"/>
      <c r="AA259" s="151"/>
    </row>
    <row r="260" spans="1:27" ht="18" customHeight="1" thickBot="1" x14ac:dyDescent="0.2">
      <c r="A260" s="219"/>
      <c r="B260" s="166"/>
      <c r="C260" s="232">
        <v>5</v>
      </c>
      <c r="D260" s="234"/>
      <c r="E260" s="235"/>
      <c r="F260" s="234"/>
      <c r="G260" s="235"/>
      <c r="H260" s="234"/>
      <c r="I260" s="235"/>
      <c r="J260" s="234"/>
      <c r="K260" s="235"/>
      <c r="L260" s="234"/>
      <c r="M260" s="235"/>
      <c r="N260" s="293"/>
      <c r="O260" s="235"/>
      <c r="P260" s="234"/>
      <c r="Q260" s="166"/>
      <c r="R260" s="166"/>
      <c r="S260" s="166"/>
      <c r="T260" s="166"/>
      <c r="U260" s="166"/>
      <c r="V260" s="166"/>
      <c r="W260" s="166"/>
      <c r="Y260" s="160"/>
      <c r="AA260" s="295" t="str">
        <f ca="1">中間シート!X47</f>
        <v/>
      </c>
    </row>
    <row r="261" spans="1:27" s="148" customFormat="1" ht="5.0999999999999996" customHeight="1" thickBot="1" x14ac:dyDescent="0.2">
      <c r="A261" s="220"/>
      <c r="B261" s="165"/>
      <c r="C261" s="233"/>
      <c r="D261" s="236"/>
      <c r="E261" s="236"/>
      <c r="F261" s="236"/>
      <c r="G261" s="236"/>
      <c r="H261" s="236"/>
      <c r="I261" s="236"/>
      <c r="J261" s="236"/>
      <c r="K261" s="236"/>
      <c r="L261" s="236"/>
      <c r="M261" s="236"/>
      <c r="N261" s="236"/>
      <c r="O261" s="236"/>
      <c r="P261" s="236"/>
      <c r="Q261" s="165"/>
      <c r="R261" s="165"/>
      <c r="S261" s="165"/>
      <c r="T261" s="165"/>
      <c r="U261" s="165"/>
      <c r="V261" s="165"/>
      <c r="W261" s="165"/>
      <c r="Y261" s="160"/>
      <c r="Z261" s="160"/>
      <c r="AA261" s="151"/>
    </row>
    <row r="262" spans="1:27" ht="18" customHeight="1" thickBot="1" x14ac:dyDescent="0.2">
      <c r="A262" s="219"/>
      <c r="B262" s="166"/>
      <c r="C262" s="232">
        <v>6</v>
      </c>
      <c r="D262" s="234"/>
      <c r="E262" s="235"/>
      <c r="F262" s="234"/>
      <c r="G262" s="235"/>
      <c r="H262" s="234"/>
      <c r="I262" s="235"/>
      <c r="J262" s="234"/>
      <c r="K262" s="235"/>
      <c r="L262" s="234"/>
      <c r="M262" s="235"/>
      <c r="N262" s="293"/>
      <c r="O262" s="235"/>
      <c r="P262" s="234"/>
      <c r="Q262" s="166"/>
      <c r="R262" s="166"/>
      <c r="S262" s="166"/>
      <c r="T262" s="166"/>
      <c r="U262" s="166"/>
      <c r="V262" s="166"/>
      <c r="W262" s="166"/>
      <c r="Y262" s="160"/>
      <c r="AA262" s="295" t="str">
        <f ca="1">中間シート!X48</f>
        <v/>
      </c>
    </row>
    <row r="263" spans="1:27" s="148" customFormat="1" ht="5.0999999999999996" customHeight="1" thickBot="1" x14ac:dyDescent="0.2">
      <c r="A263" s="220"/>
      <c r="B263" s="165"/>
      <c r="C263" s="233"/>
      <c r="D263" s="236"/>
      <c r="E263" s="236"/>
      <c r="F263" s="236"/>
      <c r="G263" s="236"/>
      <c r="H263" s="236"/>
      <c r="I263" s="236"/>
      <c r="J263" s="236"/>
      <c r="K263" s="236"/>
      <c r="L263" s="236"/>
      <c r="M263" s="236"/>
      <c r="N263" s="236"/>
      <c r="O263" s="236"/>
      <c r="P263" s="236"/>
      <c r="Q263" s="165"/>
      <c r="R263" s="165"/>
      <c r="S263" s="165"/>
      <c r="T263" s="165"/>
      <c r="U263" s="165"/>
      <c r="V263" s="165"/>
      <c r="W263" s="165"/>
      <c r="Y263" s="160"/>
      <c r="Z263" s="160"/>
      <c r="AA263" s="151"/>
    </row>
    <row r="264" spans="1:27" ht="18" customHeight="1" thickBot="1" x14ac:dyDescent="0.2">
      <c r="A264" s="219"/>
      <c r="B264" s="166"/>
      <c r="C264" s="232">
        <v>7</v>
      </c>
      <c r="D264" s="234"/>
      <c r="E264" s="235"/>
      <c r="F264" s="234"/>
      <c r="G264" s="235"/>
      <c r="H264" s="234"/>
      <c r="I264" s="235"/>
      <c r="J264" s="234"/>
      <c r="K264" s="235"/>
      <c r="L264" s="234"/>
      <c r="M264" s="235"/>
      <c r="N264" s="293"/>
      <c r="O264" s="235"/>
      <c r="P264" s="234"/>
      <c r="Q264" s="166"/>
      <c r="R264" s="166"/>
      <c r="S264" s="166"/>
      <c r="T264" s="166"/>
      <c r="U264" s="166"/>
      <c r="V264" s="166"/>
      <c r="W264" s="166"/>
      <c r="Y264" s="160"/>
      <c r="AA264" s="295" t="str">
        <f ca="1">中間シート!X49</f>
        <v/>
      </c>
    </row>
    <row r="265" spans="1:27" s="148" customFormat="1" ht="5.0999999999999996" customHeight="1" thickBot="1" x14ac:dyDescent="0.2">
      <c r="A265" s="220"/>
      <c r="B265" s="165"/>
      <c r="C265" s="233"/>
      <c r="D265" s="236"/>
      <c r="E265" s="236"/>
      <c r="F265" s="236"/>
      <c r="G265" s="236"/>
      <c r="H265" s="236"/>
      <c r="I265" s="236"/>
      <c r="J265" s="236"/>
      <c r="K265" s="236"/>
      <c r="L265" s="236"/>
      <c r="M265" s="236"/>
      <c r="N265" s="236"/>
      <c r="O265" s="236"/>
      <c r="P265" s="236"/>
      <c r="Q265" s="165"/>
      <c r="R265" s="165"/>
      <c r="S265" s="165"/>
      <c r="T265" s="165"/>
      <c r="U265" s="165"/>
      <c r="V265" s="165"/>
      <c r="W265" s="165"/>
      <c r="Y265" s="160"/>
      <c r="Z265" s="160"/>
      <c r="AA265" s="151"/>
    </row>
    <row r="266" spans="1:27" ht="18" customHeight="1" thickBot="1" x14ac:dyDescent="0.2">
      <c r="A266" s="219"/>
      <c r="B266" s="166"/>
      <c r="C266" s="232">
        <v>8</v>
      </c>
      <c r="D266" s="234"/>
      <c r="E266" s="235"/>
      <c r="F266" s="234"/>
      <c r="G266" s="235"/>
      <c r="H266" s="234"/>
      <c r="I266" s="235"/>
      <c r="J266" s="234"/>
      <c r="K266" s="235"/>
      <c r="L266" s="234"/>
      <c r="M266" s="235"/>
      <c r="N266" s="293"/>
      <c r="O266" s="235"/>
      <c r="P266" s="234"/>
      <c r="Q266" s="166"/>
      <c r="R266" s="166"/>
      <c r="S266" s="166"/>
      <c r="T266" s="166"/>
      <c r="U266" s="166"/>
      <c r="V266" s="166"/>
      <c r="W266" s="166"/>
      <c r="Y266" s="160"/>
      <c r="AA266" s="295" t="str">
        <f ca="1">中間シート!X50</f>
        <v/>
      </c>
    </row>
    <row r="267" spans="1:27" s="148" customFormat="1" ht="5.0999999999999996" customHeight="1" thickBot="1" x14ac:dyDescent="0.2">
      <c r="A267" s="220"/>
      <c r="B267" s="165"/>
      <c r="C267" s="233"/>
      <c r="D267" s="236"/>
      <c r="E267" s="236"/>
      <c r="F267" s="236"/>
      <c r="G267" s="236"/>
      <c r="H267" s="236"/>
      <c r="I267" s="236"/>
      <c r="J267" s="236"/>
      <c r="K267" s="236"/>
      <c r="L267" s="236"/>
      <c r="M267" s="236"/>
      <c r="N267" s="236"/>
      <c r="O267" s="236"/>
      <c r="P267" s="236"/>
      <c r="Q267" s="165"/>
      <c r="R267" s="165"/>
      <c r="S267" s="165"/>
      <c r="T267" s="165"/>
      <c r="U267" s="165"/>
      <c r="V267" s="165"/>
      <c r="W267" s="165"/>
      <c r="Y267" s="160"/>
      <c r="Z267" s="160"/>
      <c r="AA267" s="151"/>
    </row>
    <row r="268" spans="1:27" ht="18" customHeight="1" thickBot="1" x14ac:dyDescent="0.2">
      <c r="A268" s="219"/>
      <c r="B268" s="166"/>
      <c r="C268" s="232">
        <v>9</v>
      </c>
      <c r="D268" s="234"/>
      <c r="E268" s="235"/>
      <c r="F268" s="234"/>
      <c r="G268" s="235"/>
      <c r="H268" s="234"/>
      <c r="I268" s="235"/>
      <c r="J268" s="234"/>
      <c r="K268" s="235"/>
      <c r="L268" s="234"/>
      <c r="M268" s="235"/>
      <c r="N268" s="293"/>
      <c r="O268" s="235"/>
      <c r="P268" s="234"/>
      <c r="Q268" s="166"/>
      <c r="R268" s="166"/>
      <c r="S268" s="166"/>
      <c r="T268" s="166"/>
      <c r="U268" s="166"/>
      <c r="V268" s="166"/>
      <c r="W268" s="166"/>
      <c r="Y268" s="160"/>
      <c r="AA268" s="295" t="str">
        <f ca="1">中間シート!X51</f>
        <v/>
      </c>
    </row>
    <row r="269" spans="1:27" s="148" customFormat="1" ht="5.0999999999999996" customHeight="1" thickBot="1" x14ac:dyDescent="0.2">
      <c r="A269" s="220"/>
      <c r="B269" s="165"/>
      <c r="C269" s="233"/>
      <c r="D269" s="236"/>
      <c r="E269" s="236"/>
      <c r="F269" s="236"/>
      <c r="G269" s="236"/>
      <c r="H269" s="236"/>
      <c r="I269" s="236"/>
      <c r="J269" s="236"/>
      <c r="K269" s="236"/>
      <c r="L269" s="236"/>
      <c r="M269" s="236"/>
      <c r="N269" s="236"/>
      <c r="O269" s="236"/>
      <c r="P269" s="236"/>
      <c r="Q269" s="165"/>
      <c r="R269" s="165"/>
      <c r="S269" s="165"/>
      <c r="T269" s="165"/>
      <c r="U269" s="165"/>
      <c r="V269" s="165"/>
      <c r="W269" s="165"/>
      <c r="Y269" s="160"/>
      <c r="Z269" s="160"/>
      <c r="AA269" s="151"/>
    </row>
    <row r="270" spans="1:27" ht="18" customHeight="1" thickBot="1" x14ac:dyDescent="0.2">
      <c r="A270" s="219"/>
      <c r="B270" s="166"/>
      <c r="C270" s="232">
        <v>10</v>
      </c>
      <c r="D270" s="234"/>
      <c r="E270" s="235"/>
      <c r="F270" s="234"/>
      <c r="G270" s="235"/>
      <c r="H270" s="234"/>
      <c r="I270" s="235"/>
      <c r="J270" s="234"/>
      <c r="K270" s="235"/>
      <c r="L270" s="234"/>
      <c r="M270" s="235"/>
      <c r="N270" s="293"/>
      <c r="O270" s="235"/>
      <c r="P270" s="234"/>
      <c r="Q270" s="166"/>
      <c r="R270" s="166"/>
      <c r="S270" s="166"/>
      <c r="T270" s="166"/>
      <c r="U270" s="166"/>
      <c r="V270" s="166"/>
      <c r="W270" s="166"/>
      <c r="Y270" s="160"/>
      <c r="AA270" s="295" t="str">
        <f ca="1">中間シート!X52</f>
        <v/>
      </c>
    </row>
    <row r="271" spans="1:27" s="148" customFormat="1" ht="5.0999999999999996" customHeight="1" thickBot="1" x14ac:dyDescent="0.2">
      <c r="A271" s="220"/>
      <c r="B271" s="165"/>
      <c r="C271" s="233"/>
      <c r="D271" s="236"/>
      <c r="E271" s="236"/>
      <c r="F271" s="236"/>
      <c r="G271" s="236"/>
      <c r="H271" s="236"/>
      <c r="I271" s="236"/>
      <c r="J271" s="236"/>
      <c r="K271" s="236"/>
      <c r="L271" s="236"/>
      <c r="M271" s="236"/>
      <c r="N271" s="236"/>
      <c r="O271" s="236"/>
      <c r="P271" s="236"/>
      <c r="Q271" s="165"/>
      <c r="R271" s="165"/>
      <c r="S271" s="165"/>
      <c r="T271" s="165"/>
      <c r="U271" s="165"/>
      <c r="V271" s="165"/>
      <c r="W271" s="165"/>
      <c r="Y271" s="160"/>
      <c r="Z271" s="160"/>
      <c r="AA271" s="151"/>
    </row>
    <row r="272" spans="1:27" ht="18" customHeight="1" thickBot="1" x14ac:dyDescent="0.2">
      <c r="A272" s="219"/>
      <c r="B272" s="166"/>
      <c r="C272" s="232">
        <v>11</v>
      </c>
      <c r="D272" s="234"/>
      <c r="E272" s="235"/>
      <c r="F272" s="234"/>
      <c r="G272" s="235"/>
      <c r="H272" s="234"/>
      <c r="I272" s="235"/>
      <c r="J272" s="234"/>
      <c r="K272" s="235"/>
      <c r="L272" s="234"/>
      <c r="M272" s="235"/>
      <c r="N272" s="293"/>
      <c r="O272" s="235"/>
      <c r="P272" s="234"/>
      <c r="Q272" s="166"/>
      <c r="R272" s="166"/>
      <c r="S272" s="166"/>
      <c r="T272" s="166"/>
      <c r="U272" s="166"/>
      <c r="V272" s="166"/>
      <c r="W272" s="166"/>
      <c r="Y272" s="160"/>
      <c r="AA272" s="295" t="str">
        <f ca="1">中間シート!X53</f>
        <v/>
      </c>
    </row>
    <row r="273" spans="1:27" s="148" customFormat="1" ht="5.0999999999999996" customHeight="1" thickBot="1" x14ac:dyDescent="0.2">
      <c r="A273" s="220"/>
      <c r="B273" s="165"/>
      <c r="C273" s="233"/>
      <c r="D273" s="236"/>
      <c r="E273" s="236"/>
      <c r="F273" s="236"/>
      <c r="G273" s="236"/>
      <c r="H273" s="236"/>
      <c r="I273" s="236"/>
      <c r="J273" s="236"/>
      <c r="K273" s="236"/>
      <c r="L273" s="236"/>
      <c r="M273" s="236"/>
      <c r="N273" s="236"/>
      <c r="O273" s="236"/>
      <c r="P273" s="236"/>
      <c r="Q273" s="165"/>
      <c r="R273" s="165"/>
      <c r="S273" s="165"/>
      <c r="T273" s="165"/>
      <c r="U273" s="165"/>
      <c r="V273" s="165"/>
      <c r="W273" s="165"/>
      <c r="Y273" s="160"/>
      <c r="Z273" s="160"/>
      <c r="AA273" s="151"/>
    </row>
    <row r="274" spans="1:27" ht="18" customHeight="1" thickBot="1" x14ac:dyDescent="0.2">
      <c r="A274" s="219"/>
      <c r="B274" s="166"/>
      <c r="C274" s="232">
        <v>12</v>
      </c>
      <c r="D274" s="234"/>
      <c r="E274" s="235"/>
      <c r="F274" s="234"/>
      <c r="G274" s="235"/>
      <c r="H274" s="234"/>
      <c r="I274" s="235"/>
      <c r="J274" s="234"/>
      <c r="K274" s="235"/>
      <c r="L274" s="234"/>
      <c r="M274" s="235"/>
      <c r="N274" s="293"/>
      <c r="O274" s="235"/>
      <c r="P274" s="234"/>
      <c r="Q274" s="166"/>
      <c r="R274" s="166"/>
      <c r="S274" s="166"/>
      <c r="T274" s="166"/>
      <c r="U274" s="166"/>
      <c r="V274" s="166"/>
      <c r="W274" s="166"/>
      <c r="Y274" s="160"/>
      <c r="AA274" s="295" t="str">
        <f ca="1">中間シート!X54</f>
        <v/>
      </c>
    </row>
    <row r="275" spans="1:27" s="148" customFormat="1" ht="5.0999999999999996" customHeight="1" thickBot="1" x14ac:dyDescent="0.2">
      <c r="A275" s="220"/>
      <c r="B275" s="165"/>
      <c r="C275" s="233"/>
      <c r="D275" s="236"/>
      <c r="E275" s="236"/>
      <c r="F275" s="236"/>
      <c r="G275" s="236"/>
      <c r="H275" s="236"/>
      <c r="I275" s="236"/>
      <c r="J275" s="236"/>
      <c r="K275" s="236"/>
      <c r="L275" s="236"/>
      <c r="M275" s="236"/>
      <c r="N275" s="236"/>
      <c r="O275" s="236"/>
      <c r="P275" s="236"/>
      <c r="Q275" s="165"/>
      <c r="R275" s="165"/>
      <c r="S275" s="165"/>
      <c r="T275" s="165"/>
      <c r="U275" s="165"/>
      <c r="V275" s="165"/>
      <c r="W275" s="165"/>
      <c r="Y275" s="160"/>
      <c r="Z275" s="160"/>
      <c r="AA275" s="151"/>
    </row>
    <row r="276" spans="1:27" ht="18" customHeight="1" thickBot="1" x14ac:dyDescent="0.2">
      <c r="A276" s="219"/>
      <c r="B276" s="166"/>
      <c r="C276" s="232">
        <v>13</v>
      </c>
      <c r="D276" s="234"/>
      <c r="E276" s="235"/>
      <c r="F276" s="234"/>
      <c r="G276" s="235"/>
      <c r="H276" s="234"/>
      <c r="I276" s="235"/>
      <c r="J276" s="234"/>
      <c r="K276" s="235"/>
      <c r="L276" s="234"/>
      <c r="M276" s="235"/>
      <c r="N276" s="293"/>
      <c r="O276" s="235"/>
      <c r="P276" s="234"/>
      <c r="Q276" s="166"/>
      <c r="R276" s="166"/>
      <c r="S276" s="166"/>
      <c r="T276" s="166"/>
      <c r="U276" s="166"/>
      <c r="V276" s="166"/>
      <c r="W276" s="166"/>
      <c r="Y276" s="160"/>
      <c r="AA276" s="295" t="str">
        <f ca="1">中間シート!X55</f>
        <v/>
      </c>
    </row>
    <row r="277" spans="1:27" s="148" customFormat="1" ht="5.0999999999999996" customHeight="1" thickBot="1" x14ac:dyDescent="0.2">
      <c r="A277" s="220"/>
      <c r="B277" s="165"/>
      <c r="C277" s="233"/>
      <c r="D277" s="236"/>
      <c r="E277" s="236"/>
      <c r="F277" s="236"/>
      <c r="G277" s="236"/>
      <c r="H277" s="236"/>
      <c r="I277" s="236"/>
      <c r="J277" s="236"/>
      <c r="K277" s="236"/>
      <c r="L277" s="236"/>
      <c r="M277" s="236"/>
      <c r="N277" s="236"/>
      <c r="O277" s="236"/>
      <c r="P277" s="236"/>
      <c r="Q277" s="165"/>
      <c r="R277" s="165"/>
      <c r="S277" s="165"/>
      <c r="T277" s="165"/>
      <c r="U277" s="165"/>
      <c r="V277" s="165"/>
      <c r="W277" s="165"/>
      <c r="Y277" s="160"/>
      <c r="Z277" s="160"/>
      <c r="AA277" s="151"/>
    </row>
    <row r="278" spans="1:27" ht="18" customHeight="1" thickBot="1" x14ac:dyDescent="0.2">
      <c r="A278" s="219"/>
      <c r="B278" s="166"/>
      <c r="C278" s="232">
        <v>14</v>
      </c>
      <c r="D278" s="234"/>
      <c r="E278" s="235"/>
      <c r="F278" s="234"/>
      <c r="G278" s="235"/>
      <c r="H278" s="234"/>
      <c r="I278" s="235"/>
      <c r="J278" s="234"/>
      <c r="K278" s="235"/>
      <c r="L278" s="234"/>
      <c r="M278" s="235"/>
      <c r="N278" s="293"/>
      <c r="O278" s="235"/>
      <c r="P278" s="234"/>
      <c r="Q278" s="166"/>
      <c r="R278" s="166"/>
      <c r="S278" s="166"/>
      <c r="T278" s="166"/>
      <c r="U278" s="166"/>
      <c r="V278" s="166"/>
      <c r="W278" s="166"/>
      <c r="Y278" s="160"/>
      <c r="AA278" s="295" t="str">
        <f ca="1">中間シート!X56</f>
        <v/>
      </c>
    </row>
    <row r="279" spans="1:27" s="148" customFormat="1" ht="5.0999999999999996" customHeight="1" thickBot="1" x14ac:dyDescent="0.2">
      <c r="A279" s="220"/>
      <c r="B279" s="165"/>
      <c r="C279" s="233"/>
      <c r="D279" s="236"/>
      <c r="E279" s="236"/>
      <c r="F279" s="236"/>
      <c r="G279" s="236"/>
      <c r="H279" s="236"/>
      <c r="I279" s="236"/>
      <c r="J279" s="236"/>
      <c r="K279" s="236"/>
      <c r="L279" s="236"/>
      <c r="M279" s="236"/>
      <c r="N279" s="236"/>
      <c r="O279" s="236"/>
      <c r="P279" s="236"/>
      <c r="Q279" s="165"/>
      <c r="R279" s="165"/>
      <c r="S279" s="165"/>
      <c r="T279" s="165"/>
      <c r="U279" s="165"/>
      <c r="V279" s="165"/>
      <c r="W279" s="165"/>
      <c r="Y279" s="160"/>
      <c r="Z279" s="160"/>
      <c r="AA279" s="151"/>
    </row>
    <row r="280" spans="1:27" ht="18" customHeight="1" thickBot="1" x14ac:dyDescent="0.2">
      <c r="A280" s="219"/>
      <c r="B280" s="166"/>
      <c r="C280" s="232">
        <v>15</v>
      </c>
      <c r="D280" s="234"/>
      <c r="E280" s="235"/>
      <c r="F280" s="234"/>
      <c r="G280" s="235"/>
      <c r="H280" s="234"/>
      <c r="I280" s="235"/>
      <c r="J280" s="234"/>
      <c r="K280" s="235"/>
      <c r="L280" s="234"/>
      <c r="M280" s="235"/>
      <c r="N280" s="293"/>
      <c r="O280" s="235"/>
      <c r="P280" s="234"/>
      <c r="Q280" s="166"/>
      <c r="R280" s="166"/>
      <c r="S280" s="166"/>
      <c r="T280" s="166"/>
      <c r="U280" s="166"/>
      <c r="V280" s="166"/>
      <c r="W280" s="166"/>
      <c r="Y280" s="160"/>
      <c r="AA280" s="295" t="str">
        <f ca="1">中間シート!X57</f>
        <v/>
      </c>
    </row>
    <row r="281" spans="1:27" s="148" customFormat="1" ht="5.0999999999999996" customHeight="1" x14ac:dyDescent="0.15">
      <c r="B281" s="165"/>
      <c r="C281" s="165"/>
      <c r="D281" s="165"/>
      <c r="E281" s="165"/>
      <c r="F281" s="165"/>
      <c r="G281" s="165"/>
      <c r="H281" s="165"/>
      <c r="I281" s="165"/>
      <c r="J281" s="165"/>
      <c r="K281" s="165"/>
      <c r="L281" s="165"/>
      <c r="M281" s="165"/>
      <c r="N281" s="165"/>
      <c r="O281" s="165"/>
      <c r="P281" s="165"/>
      <c r="Q281" s="165"/>
      <c r="R281" s="165"/>
      <c r="S281" s="165"/>
      <c r="T281" s="165"/>
      <c r="U281" s="165"/>
      <c r="V281" s="165"/>
      <c r="W281" s="165"/>
      <c r="Y281" s="160"/>
      <c r="Z281" s="160"/>
      <c r="AA281" s="295"/>
    </row>
    <row r="283" spans="1:27" s="148" customFormat="1" ht="5.0999999999999996" customHeight="1" x14ac:dyDescent="0.15">
      <c r="B283" s="364" t="s">
        <v>144</v>
      </c>
      <c r="C283" s="365"/>
      <c r="D283" s="365"/>
      <c r="E283" s="365"/>
      <c r="F283" s="365"/>
      <c r="G283" s="365"/>
      <c r="H283" s="365"/>
      <c r="I283" s="365"/>
      <c r="J283" s="365"/>
      <c r="K283" s="365"/>
      <c r="L283" s="365"/>
      <c r="M283" s="365"/>
      <c r="N283" s="365"/>
      <c r="O283" s="365"/>
      <c r="P283" s="365"/>
      <c r="Q283" s="365"/>
      <c r="R283" s="365"/>
      <c r="S283" s="365"/>
      <c r="T283" s="365"/>
      <c r="U283" s="365"/>
      <c r="V283" s="365"/>
      <c r="W283" s="365"/>
      <c r="Y283" s="160"/>
      <c r="Z283" s="160"/>
      <c r="AA283" s="295"/>
    </row>
    <row r="284" spans="1:27" s="148" customFormat="1" ht="45" customHeight="1" x14ac:dyDescent="0.15">
      <c r="B284" s="365"/>
      <c r="C284" s="365"/>
      <c r="D284" s="365"/>
      <c r="E284" s="365"/>
      <c r="F284" s="365"/>
      <c r="G284" s="365"/>
      <c r="H284" s="365"/>
      <c r="I284" s="365"/>
      <c r="J284" s="365"/>
      <c r="K284" s="365"/>
      <c r="L284" s="365"/>
      <c r="M284" s="365"/>
      <c r="N284" s="365"/>
      <c r="O284" s="365"/>
      <c r="P284" s="365"/>
      <c r="Q284" s="365"/>
      <c r="R284" s="365"/>
      <c r="S284" s="365"/>
      <c r="T284" s="365"/>
      <c r="U284" s="365"/>
      <c r="V284" s="365"/>
      <c r="W284" s="365"/>
      <c r="Y284" s="160"/>
      <c r="Z284" s="160"/>
      <c r="AA284" s="295"/>
    </row>
    <row r="285" spans="1:27" s="148" customFormat="1" ht="5.0999999999999996" customHeight="1" x14ac:dyDescent="0.15">
      <c r="B285" s="365"/>
      <c r="C285" s="365"/>
      <c r="D285" s="365"/>
      <c r="E285" s="365"/>
      <c r="F285" s="365"/>
      <c r="G285" s="365"/>
      <c r="H285" s="365"/>
      <c r="I285" s="365"/>
      <c r="J285" s="365"/>
      <c r="K285" s="365"/>
      <c r="L285" s="365"/>
      <c r="M285" s="365"/>
      <c r="N285" s="365"/>
      <c r="O285" s="365"/>
      <c r="P285" s="365"/>
      <c r="Q285" s="365"/>
      <c r="R285" s="365"/>
      <c r="S285" s="365"/>
      <c r="T285" s="365"/>
      <c r="U285" s="365"/>
      <c r="V285" s="365"/>
      <c r="W285" s="365"/>
      <c r="Y285" s="160"/>
      <c r="Z285" s="160"/>
      <c r="AA285" s="295"/>
    </row>
    <row r="287" spans="1:27" x14ac:dyDescent="0.15">
      <c r="D287" s="221" t="str">
        <f>"入力シートで記入した内容は、"&amp;IF(中間シート!$AK$511=1,"青色の【様式第1（通常）",IF(中間シート!$AK$511=2,"黄色の【様式第1（10事業場30台まで）","緑色の【様式第1（50事業場150台）"))&amp;"】シートに反映されています。"</f>
        <v>入力シートで記入した内容は、青色の【様式第1（通常）】シートに反映されています。</v>
      </c>
    </row>
    <row r="288" spans="1:27" s="148" customFormat="1" ht="5.0999999999999996" customHeight="1" x14ac:dyDescent="0.15">
      <c r="A288" s="151"/>
      <c r="B288" s="151"/>
      <c r="C288" s="151"/>
      <c r="Y288" s="160"/>
      <c r="Z288" s="160"/>
      <c r="AA288" s="295"/>
    </row>
    <row r="289" spans="1:27" x14ac:dyDescent="0.15">
      <c r="D289" s="222" t="str">
        <f>IF(中間シート!AK511&lt;&gt;1,"※青色の【様式第1（通常）】シートは３事業場目、３台目以降が表示されません。印刷等はしないようご注意ください。","")</f>
        <v/>
      </c>
    </row>
    <row r="290" spans="1:27" s="148" customFormat="1" ht="5.0999999999999996" customHeight="1" x14ac:dyDescent="0.15">
      <c r="A290" s="151"/>
      <c r="B290" s="151"/>
      <c r="C290" s="151"/>
      <c r="D290" s="223"/>
      <c r="Y290" s="160"/>
      <c r="Z290" s="160"/>
      <c r="AA290" s="295"/>
    </row>
    <row r="291" spans="1:27" x14ac:dyDescent="0.15">
      <c r="D291" s="222" t="str">
        <f>IF(中間シート!AK511=3,"※また、黄色の【様式第1（10事業場30台）】シートは１１事業場目、３１台目以降が表示されません。","")</f>
        <v/>
      </c>
    </row>
    <row r="292" spans="1:27" hidden="1" x14ac:dyDescent="0.15"/>
    <row r="293" spans="1:27" x14ac:dyDescent="0.15">
      <c r="D293" s="281"/>
    </row>
    <row r="294" spans="1:27" s="148" customFormat="1" ht="5.0999999999999996" customHeight="1" x14ac:dyDescent="0.15">
      <c r="B294" s="351" t="s">
        <v>145</v>
      </c>
      <c r="C294" s="352"/>
      <c r="D294" s="352"/>
      <c r="E294" s="352"/>
      <c r="F294" s="352"/>
      <c r="G294" s="352"/>
      <c r="H294" s="352"/>
      <c r="I294" s="352"/>
      <c r="J294" s="352"/>
      <c r="K294" s="352"/>
      <c r="L294" s="352"/>
      <c r="M294" s="352"/>
      <c r="N294" s="352"/>
      <c r="O294" s="352"/>
      <c r="P294" s="352"/>
      <c r="Q294" s="352"/>
      <c r="R294" s="352"/>
      <c r="S294" s="352"/>
      <c r="T294" s="352"/>
      <c r="U294" s="352"/>
      <c r="V294" s="352"/>
      <c r="W294" s="352"/>
      <c r="Y294" s="160"/>
      <c r="Z294" s="160"/>
      <c r="AA294" s="295"/>
    </row>
    <row r="295" spans="1:27" s="148" customFormat="1" ht="50.1" customHeight="1" x14ac:dyDescent="0.15">
      <c r="B295" s="352"/>
      <c r="C295" s="352"/>
      <c r="D295" s="352"/>
      <c r="E295" s="352"/>
      <c r="F295" s="352"/>
      <c r="G295" s="352"/>
      <c r="H295" s="352"/>
      <c r="I295" s="352"/>
      <c r="J295" s="352"/>
      <c r="K295" s="352"/>
      <c r="L295" s="352"/>
      <c r="M295" s="352"/>
      <c r="N295" s="352"/>
      <c r="O295" s="352"/>
      <c r="P295" s="352"/>
      <c r="Q295" s="352"/>
      <c r="R295" s="352"/>
      <c r="S295" s="352"/>
      <c r="T295" s="352"/>
      <c r="U295" s="352"/>
      <c r="V295" s="352"/>
      <c r="W295" s="352"/>
      <c r="Y295" s="160"/>
      <c r="Z295" s="160"/>
      <c r="AA295" s="295"/>
    </row>
    <row r="296" spans="1:27" s="148" customFormat="1" ht="5.0999999999999996" customHeight="1" x14ac:dyDescent="0.15">
      <c r="B296" s="352"/>
      <c r="C296" s="352"/>
      <c r="D296" s="352"/>
      <c r="E296" s="352"/>
      <c r="F296" s="352"/>
      <c r="G296" s="352"/>
      <c r="H296" s="352"/>
      <c r="I296" s="352"/>
      <c r="J296" s="352"/>
      <c r="K296" s="352"/>
      <c r="L296" s="352"/>
      <c r="M296" s="352"/>
      <c r="N296" s="352"/>
      <c r="O296" s="352"/>
      <c r="P296" s="352"/>
      <c r="Q296" s="352"/>
      <c r="R296" s="352"/>
      <c r="S296" s="352"/>
      <c r="T296" s="352"/>
      <c r="U296" s="352"/>
      <c r="V296" s="352"/>
      <c r="W296" s="352"/>
      <c r="Y296" s="160"/>
      <c r="Z296" s="160"/>
      <c r="AA296" s="295"/>
    </row>
  </sheetData>
  <sheetProtection algorithmName="SHA-512" hashValue="pamAgPeEC5CUS9J+y0q7wOwWlcRfGgwL6iw0hAvtco/nci/kK9TwBvnGqOyOSzJpsBH4qeCipDCCNxQwwS03hw==" saltValue="tJj5DDGbX2OWUVbuEgiegw==" spinCount="100000" sheet="1" selectLockedCells="1"/>
  <mergeCells count="75">
    <mergeCell ref="F235:J235"/>
    <mergeCell ref="F222:J222"/>
    <mergeCell ref="R130:T130"/>
    <mergeCell ref="J128:L128"/>
    <mergeCell ref="B283:W285"/>
    <mergeCell ref="J130:L130"/>
    <mergeCell ref="F220:J220"/>
    <mergeCell ref="B294:W296"/>
    <mergeCell ref="F160:H160"/>
    <mergeCell ref="F154:H154"/>
    <mergeCell ref="B166:W168"/>
    <mergeCell ref="F187:J187"/>
    <mergeCell ref="F189:J189"/>
    <mergeCell ref="J197:L197"/>
    <mergeCell ref="F237:J237"/>
    <mergeCell ref="F197:H197"/>
    <mergeCell ref="F214:H214"/>
    <mergeCell ref="F229:H229"/>
    <mergeCell ref="F231:J231"/>
    <mergeCell ref="F233:J233"/>
    <mergeCell ref="F201:L202"/>
    <mergeCell ref="F224:J224"/>
    <mergeCell ref="F226:J226"/>
    <mergeCell ref="F12:H12"/>
    <mergeCell ref="C21:D21"/>
    <mergeCell ref="C23:D23"/>
    <mergeCell ref="F59:J59"/>
    <mergeCell ref="F61:J61"/>
    <mergeCell ref="F30:H30"/>
    <mergeCell ref="F38:H38"/>
    <mergeCell ref="F55:J55"/>
    <mergeCell ref="F57:J57"/>
    <mergeCell ref="F110:J110"/>
    <mergeCell ref="F156:H156"/>
    <mergeCell ref="F158:H158"/>
    <mergeCell ref="D121:V121"/>
    <mergeCell ref="N128:P128"/>
    <mergeCell ref="N130:P130"/>
    <mergeCell ref="R128:T128"/>
    <mergeCell ref="AA35:AA40"/>
    <mergeCell ref="F98:H98"/>
    <mergeCell ref="F100:J100"/>
    <mergeCell ref="F106:J106"/>
    <mergeCell ref="F108:J108"/>
    <mergeCell ref="F96:H96"/>
    <mergeCell ref="F94:H94"/>
    <mergeCell ref="P93:R95"/>
    <mergeCell ref="F76:H76"/>
    <mergeCell ref="F66:J66"/>
    <mergeCell ref="F68:J68"/>
    <mergeCell ref="F70:J70"/>
    <mergeCell ref="F72:J72"/>
    <mergeCell ref="F74:J74"/>
    <mergeCell ref="AA197:AA202"/>
    <mergeCell ref="F191:J191"/>
    <mergeCell ref="F185:J185"/>
    <mergeCell ref="F183:H183"/>
    <mergeCell ref="AA147:AA154"/>
    <mergeCell ref="F175:H175"/>
    <mergeCell ref="B2:W2"/>
    <mergeCell ref="AA128:AA130"/>
    <mergeCell ref="AA132:AA134"/>
    <mergeCell ref="AA136:AA138"/>
    <mergeCell ref="J132:L132"/>
    <mergeCell ref="N132:P132"/>
    <mergeCell ref="R132:T132"/>
    <mergeCell ref="R134:T134"/>
    <mergeCell ref="N134:P134"/>
    <mergeCell ref="J134:L134"/>
    <mergeCell ref="J138:L138"/>
    <mergeCell ref="N138:P138"/>
    <mergeCell ref="R138:T138"/>
    <mergeCell ref="J136:L136"/>
    <mergeCell ref="N136:P136"/>
    <mergeCell ref="R136:T136"/>
  </mergeCells>
  <phoneticPr fontId="4"/>
  <conditionalFormatting sqref="D254 F254 H254 F256 H256 F258 H258 F260 H260 F262 H262 F264 H264 F266 H266 F268 H268 F270 H270 F272 H272 F274 H274 F276 H276 F278 H278 F280 H280">
    <cfRule type="expression" dxfId="436" priority="250">
      <formula>$F$245&lt;$C254</formula>
    </cfRule>
  </conditionalFormatting>
  <conditionalFormatting sqref="N156">
    <cfRule type="expression" dxfId="435" priority="249">
      <formula>OR($Z128="①",$Z128="②")</formula>
    </cfRule>
  </conditionalFormatting>
  <conditionalFormatting sqref="F185:J185 F187:J187 F189:J189 F191:J191">
    <cfRule type="expression" dxfId="434" priority="237">
      <formula>$Y$183=1</formula>
    </cfRule>
  </conditionalFormatting>
  <conditionalFormatting sqref="F98:H98">
    <cfRule type="expression" dxfId="433" priority="236">
      <formula>F94="自動車整備士である証明"</formula>
    </cfRule>
  </conditionalFormatting>
  <conditionalFormatting sqref="J254">
    <cfRule type="expression" dxfId="432" priority="233">
      <formula>$F$245&lt;$C254</formula>
    </cfRule>
  </conditionalFormatting>
  <conditionalFormatting sqref="L254">
    <cfRule type="expression" dxfId="431" priority="232">
      <formula>$F$245&lt;$C254</formula>
    </cfRule>
  </conditionalFormatting>
  <conditionalFormatting sqref="N254">
    <cfRule type="expression" dxfId="430" priority="231">
      <formula>$F$245&lt;$C254</formula>
    </cfRule>
  </conditionalFormatting>
  <conditionalFormatting sqref="P254">
    <cfRule type="expression" dxfId="429" priority="230">
      <formula>$F$245&lt;$C254</formula>
    </cfRule>
  </conditionalFormatting>
  <conditionalFormatting sqref="AA1:AA17 AA19 AA21:AA85 AA183 AA87:AA114 AA116:AA119 AA121:AA123 AA132 AA128 AA139:AA141 AA156:AA181 AA147:AA151 AA143 AA185:AA254 AA256 AA258 AA260 AA262 AA264 AA266 AA268 AA270 AA272 AA274 AA276 AA280:AA1048576 AA278">
    <cfRule type="notContainsText" dxfId="428" priority="188" operator="notContains" text="OK">
      <formula>ISERROR(SEARCH("OK",AA1))</formula>
    </cfRule>
    <cfRule type="containsText" dxfId="427" priority="189" operator="containsText" text="OK">
      <formula>NOT(ISERROR(SEARCH("OK",AA1)))</formula>
    </cfRule>
  </conditionalFormatting>
  <conditionalFormatting sqref="AA18">
    <cfRule type="notContainsText" dxfId="426" priority="183" operator="notContains" text="OK">
      <formula>ISERROR(SEARCH("OK",AA18))</formula>
    </cfRule>
    <cfRule type="containsText" dxfId="425" priority="184" operator="containsText" text="OK">
      <formula>NOT(ISERROR(SEARCH("OK",AA18)))</formula>
    </cfRule>
  </conditionalFormatting>
  <conditionalFormatting sqref="AA20">
    <cfRule type="notContainsText" dxfId="424" priority="181" operator="notContains" text="OK">
      <formula>ISERROR(SEARCH("OK",AA20))</formula>
    </cfRule>
    <cfRule type="containsText" dxfId="423" priority="182" operator="containsText" text="OK">
      <formula>NOT(ISERROR(SEARCH("OK",AA20)))</formula>
    </cfRule>
  </conditionalFormatting>
  <conditionalFormatting sqref="AA86">
    <cfRule type="notContainsText" dxfId="422" priority="179" operator="notContains" text="OK">
      <formula>ISERROR(SEARCH("OK",AA86))</formula>
    </cfRule>
    <cfRule type="containsText" dxfId="421" priority="180" operator="containsText" text="OK">
      <formula>NOT(ISERROR(SEARCH("OK",AA86)))</formula>
    </cfRule>
  </conditionalFormatting>
  <conditionalFormatting sqref="D256">
    <cfRule type="expression" dxfId="420" priority="178">
      <formula>$F$245&lt;$C256</formula>
    </cfRule>
  </conditionalFormatting>
  <conditionalFormatting sqref="J256">
    <cfRule type="expression" dxfId="419" priority="177">
      <formula>$F$245&lt;$C256</formula>
    </cfRule>
  </conditionalFormatting>
  <conditionalFormatting sqref="L256">
    <cfRule type="expression" dxfId="418" priority="176">
      <formula>$F$245&lt;$C256</formula>
    </cfRule>
  </conditionalFormatting>
  <conditionalFormatting sqref="N256">
    <cfRule type="expression" dxfId="417" priority="175">
      <formula>$F$245&lt;$C256</formula>
    </cfRule>
  </conditionalFormatting>
  <conditionalFormatting sqref="P256">
    <cfRule type="expression" dxfId="416" priority="174">
      <formula>$F$245&lt;$C256</formula>
    </cfRule>
  </conditionalFormatting>
  <conditionalFormatting sqref="D258">
    <cfRule type="expression" dxfId="415" priority="173">
      <formula>$F$245&lt;$C258</formula>
    </cfRule>
  </conditionalFormatting>
  <conditionalFormatting sqref="J258">
    <cfRule type="expression" dxfId="414" priority="172">
      <formula>$F$245&lt;$C258</formula>
    </cfRule>
  </conditionalFormatting>
  <conditionalFormatting sqref="L258">
    <cfRule type="expression" dxfId="413" priority="171">
      <formula>$F$245&lt;$C258</formula>
    </cfRule>
  </conditionalFormatting>
  <conditionalFormatting sqref="N258">
    <cfRule type="expression" dxfId="412" priority="170">
      <formula>$F$245&lt;$C258</formula>
    </cfRule>
  </conditionalFormatting>
  <conditionalFormatting sqref="P258">
    <cfRule type="expression" dxfId="411" priority="169">
      <formula>$F$245&lt;$C258</formula>
    </cfRule>
  </conditionalFormatting>
  <conditionalFormatting sqref="D260">
    <cfRule type="expression" dxfId="410" priority="168">
      <formula>$F$245&lt;$C260</formula>
    </cfRule>
  </conditionalFormatting>
  <conditionalFormatting sqref="J260">
    <cfRule type="expression" dxfId="409" priority="167">
      <formula>$F$245&lt;$C260</formula>
    </cfRule>
  </conditionalFormatting>
  <conditionalFormatting sqref="L260">
    <cfRule type="expression" dxfId="408" priority="166">
      <formula>$F$245&lt;$C260</formula>
    </cfRule>
  </conditionalFormatting>
  <conditionalFormatting sqref="N260">
    <cfRule type="expression" dxfId="407" priority="165">
      <formula>$F$245&lt;$C260</formula>
    </cfRule>
  </conditionalFormatting>
  <conditionalFormatting sqref="P260">
    <cfRule type="expression" dxfId="406" priority="164">
      <formula>$F$245&lt;$C260</formula>
    </cfRule>
  </conditionalFormatting>
  <conditionalFormatting sqref="D262">
    <cfRule type="expression" dxfId="405" priority="163">
      <formula>$F$245&lt;$C262</formula>
    </cfRule>
  </conditionalFormatting>
  <conditionalFormatting sqref="J262">
    <cfRule type="expression" dxfId="404" priority="162">
      <formula>$F$245&lt;$C262</formula>
    </cfRule>
  </conditionalFormatting>
  <conditionalFormatting sqref="L262">
    <cfRule type="expression" dxfId="403" priority="161">
      <formula>$F$245&lt;$C262</formula>
    </cfRule>
  </conditionalFormatting>
  <conditionalFormatting sqref="N262">
    <cfRule type="expression" dxfId="402" priority="160">
      <formula>$F$245&lt;$C262</formula>
    </cfRule>
  </conditionalFormatting>
  <conditionalFormatting sqref="P262">
    <cfRule type="expression" dxfId="401" priority="159">
      <formula>$F$245&lt;$C262</formula>
    </cfRule>
  </conditionalFormatting>
  <conditionalFormatting sqref="D264">
    <cfRule type="expression" dxfId="400" priority="158">
      <formula>$F$245&lt;$C264</formula>
    </cfRule>
  </conditionalFormatting>
  <conditionalFormatting sqref="J264">
    <cfRule type="expression" dxfId="399" priority="157">
      <formula>$F$245&lt;$C264</formula>
    </cfRule>
  </conditionalFormatting>
  <conditionalFormatting sqref="L264">
    <cfRule type="expression" dxfId="398" priority="156">
      <formula>$F$245&lt;$C264</formula>
    </cfRule>
  </conditionalFormatting>
  <conditionalFormatting sqref="N264">
    <cfRule type="expression" dxfId="397" priority="155">
      <formula>$F$245&lt;$C264</formula>
    </cfRule>
  </conditionalFormatting>
  <conditionalFormatting sqref="P264">
    <cfRule type="expression" dxfId="396" priority="154">
      <formula>$F$245&lt;$C264</formula>
    </cfRule>
  </conditionalFormatting>
  <conditionalFormatting sqref="D266">
    <cfRule type="expression" dxfId="395" priority="153">
      <formula>$F$245&lt;$C266</formula>
    </cfRule>
  </conditionalFormatting>
  <conditionalFormatting sqref="J266">
    <cfRule type="expression" dxfId="394" priority="152">
      <formula>$F$245&lt;$C266</formula>
    </cfRule>
  </conditionalFormatting>
  <conditionalFormatting sqref="L266">
    <cfRule type="expression" dxfId="393" priority="151">
      <formula>$F$245&lt;$C266</formula>
    </cfRule>
  </conditionalFormatting>
  <conditionalFormatting sqref="N266">
    <cfRule type="expression" dxfId="392" priority="150">
      <formula>$F$245&lt;$C266</formula>
    </cfRule>
  </conditionalFormatting>
  <conditionalFormatting sqref="P266">
    <cfRule type="expression" dxfId="391" priority="149">
      <formula>$F$245&lt;$C266</formula>
    </cfRule>
  </conditionalFormatting>
  <conditionalFormatting sqref="D268">
    <cfRule type="expression" dxfId="390" priority="148">
      <formula>$F$245&lt;$C268</formula>
    </cfRule>
  </conditionalFormatting>
  <conditionalFormatting sqref="J268">
    <cfRule type="expression" dxfId="389" priority="147">
      <formula>$F$245&lt;$C268</formula>
    </cfRule>
  </conditionalFormatting>
  <conditionalFormatting sqref="L268">
    <cfRule type="expression" dxfId="388" priority="146">
      <formula>$F$245&lt;$C268</formula>
    </cfRule>
  </conditionalFormatting>
  <conditionalFormatting sqref="N268">
    <cfRule type="expression" dxfId="387" priority="145">
      <formula>$F$245&lt;$C268</formula>
    </cfRule>
  </conditionalFormatting>
  <conditionalFormatting sqref="P268">
    <cfRule type="expression" dxfId="386" priority="144">
      <formula>$F$245&lt;$C268</formula>
    </cfRule>
  </conditionalFormatting>
  <conditionalFormatting sqref="D270">
    <cfRule type="expression" dxfId="385" priority="143">
      <formula>$F$245&lt;$C270</formula>
    </cfRule>
  </conditionalFormatting>
  <conditionalFormatting sqref="J270">
    <cfRule type="expression" dxfId="384" priority="142">
      <formula>$F$245&lt;$C270</formula>
    </cfRule>
  </conditionalFormatting>
  <conditionalFormatting sqref="L270">
    <cfRule type="expression" dxfId="383" priority="141">
      <formula>$F$245&lt;$C270</formula>
    </cfRule>
  </conditionalFormatting>
  <conditionalFormatting sqref="N270">
    <cfRule type="expression" dxfId="382" priority="140">
      <formula>$F$245&lt;$C270</formula>
    </cfRule>
  </conditionalFormatting>
  <conditionalFormatting sqref="P270">
    <cfRule type="expression" dxfId="381" priority="139">
      <formula>$F$245&lt;$C270</formula>
    </cfRule>
  </conditionalFormatting>
  <conditionalFormatting sqref="D272">
    <cfRule type="expression" dxfId="380" priority="138">
      <formula>$F$245&lt;$C272</formula>
    </cfRule>
  </conditionalFormatting>
  <conditionalFormatting sqref="J272">
    <cfRule type="expression" dxfId="379" priority="137">
      <formula>$F$245&lt;$C272</formula>
    </cfRule>
  </conditionalFormatting>
  <conditionalFormatting sqref="L272">
    <cfRule type="expression" dxfId="378" priority="136">
      <formula>$F$245&lt;$C272</formula>
    </cfRule>
  </conditionalFormatting>
  <conditionalFormatting sqref="N272">
    <cfRule type="expression" dxfId="377" priority="135">
      <formula>$F$245&lt;$C272</formula>
    </cfRule>
  </conditionalFormatting>
  <conditionalFormatting sqref="P272">
    <cfRule type="expression" dxfId="376" priority="134">
      <formula>$F$245&lt;$C272</formula>
    </cfRule>
  </conditionalFormatting>
  <conditionalFormatting sqref="D274">
    <cfRule type="expression" dxfId="375" priority="133">
      <formula>$F$245&lt;$C274</formula>
    </cfRule>
  </conditionalFormatting>
  <conditionalFormatting sqref="J274">
    <cfRule type="expression" dxfId="374" priority="132">
      <formula>$F$245&lt;$C274</formula>
    </cfRule>
  </conditionalFormatting>
  <conditionalFormatting sqref="L274">
    <cfRule type="expression" dxfId="373" priority="131">
      <formula>$F$245&lt;$C274</formula>
    </cfRule>
  </conditionalFormatting>
  <conditionalFormatting sqref="N274">
    <cfRule type="expression" dxfId="372" priority="130">
      <formula>$F$245&lt;$C274</formula>
    </cfRule>
  </conditionalFormatting>
  <conditionalFormatting sqref="P274">
    <cfRule type="expression" dxfId="371" priority="129">
      <formula>$F$245&lt;$C274</formula>
    </cfRule>
  </conditionalFormatting>
  <conditionalFormatting sqref="D276">
    <cfRule type="expression" dxfId="370" priority="128">
      <formula>$F$245&lt;$C276</formula>
    </cfRule>
  </conditionalFormatting>
  <conditionalFormatting sqref="J276">
    <cfRule type="expression" dxfId="369" priority="127">
      <formula>$F$245&lt;$C276</formula>
    </cfRule>
  </conditionalFormatting>
  <conditionalFormatting sqref="L276">
    <cfRule type="expression" dxfId="368" priority="126">
      <formula>$F$245&lt;$C276</formula>
    </cfRule>
  </conditionalFormatting>
  <conditionalFormatting sqref="N276">
    <cfRule type="expression" dxfId="367" priority="125">
      <formula>$F$245&lt;$C276</formula>
    </cfRule>
  </conditionalFormatting>
  <conditionalFormatting sqref="P276">
    <cfRule type="expression" dxfId="366" priority="124">
      <formula>$F$245&lt;$C276</formula>
    </cfRule>
  </conditionalFormatting>
  <conditionalFormatting sqref="D278">
    <cfRule type="expression" dxfId="365" priority="123">
      <formula>$F$245&lt;$C278</formula>
    </cfRule>
  </conditionalFormatting>
  <conditionalFormatting sqref="J278">
    <cfRule type="expression" dxfId="364" priority="122">
      <formula>$F$245&lt;$C278</formula>
    </cfRule>
  </conditionalFormatting>
  <conditionalFormatting sqref="L278">
    <cfRule type="expression" dxfId="363" priority="121">
      <formula>$F$245&lt;$C278</formula>
    </cfRule>
  </conditionalFormatting>
  <conditionalFormatting sqref="N278">
    <cfRule type="expression" dxfId="362" priority="120">
      <formula>$F$245&lt;$C278</formula>
    </cfRule>
  </conditionalFormatting>
  <conditionalFormatting sqref="P278">
    <cfRule type="expression" dxfId="361" priority="119">
      <formula>$F$245&lt;$C278</formula>
    </cfRule>
  </conditionalFormatting>
  <conditionalFormatting sqref="D280">
    <cfRule type="expression" dxfId="360" priority="118">
      <formula>$F$245&lt;$C280</formula>
    </cfRule>
  </conditionalFormatting>
  <conditionalFormatting sqref="J280">
    <cfRule type="expression" dxfId="359" priority="117">
      <formula>$F$245&lt;$C280</formula>
    </cfRule>
  </conditionalFormatting>
  <conditionalFormatting sqref="L280">
    <cfRule type="expression" dxfId="358" priority="116">
      <formula>$F$245&lt;$C280</formula>
    </cfRule>
  </conditionalFormatting>
  <conditionalFormatting sqref="N280">
    <cfRule type="expression" dxfId="357" priority="115">
      <formula>$F$245&lt;$C280</formula>
    </cfRule>
  </conditionalFormatting>
  <conditionalFormatting sqref="P280">
    <cfRule type="expression" dxfId="356" priority="114">
      <formula>$F$245&lt;$C280</formula>
    </cfRule>
  </conditionalFormatting>
  <conditionalFormatting sqref="AA182">
    <cfRule type="notContainsText" dxfId="355" priority="109" operator="notContains" text="OK">
      <formula>ISERROR(SEARCH("OK",AA182))</formula>
    </cfRule>
    <cfRule type="containsText" dxfId="354" priority="110" operator="containsText" text="OK">
      <formula>NOT(ISERROR(SEARCH("OK",AA182)))</formula>
    </cfRule>
  </conditionalFormatting>
  <conditionalFormatting sqref="AA127">
    <cfRule type="notContainsText" dxfId="353" priority="105" operator="notContains" text="OK">
      <formula>ISERROR(SEARCH("OK",AA127))</formula>
    </cfRule>
    <cfRule type="containsText" dxfId="352" priority="106" operator="containsText" text="OK">
      <formula>NOT(ISERROR(SEARCH("OK",AA127)))</formula>
    </cfRule>
  </conditionalFormatting>
  <conditionalFormatting sqref="AA144:AA146">
    <cfRule type="notContainsText" dxfId="351" priority="99" operator="notContains" text="OK">
      <formula>ISERROR(SEARCH("OK",AA144))</formula>
    </cfRule>
    <cfRule type="containsText" dxfId="350" priority="100" operator="containsText" text="OK">
      <formula>NOT(ISERROR(SEARCH("OK",AA144)))</formula>
    </cfRule>
  </conditionalFormatting>
  <conditionalFormatting sqref="AA184">
    <cfRule type="notContainsText" dxfId="349" priority="97" operator="notContains" text="OK">
      <formula>ISERROR(SEARCH("OK",AA184))</formula>
    </cfRule>
    <cfRule type="containsText" dxfId="348" priority="98" operator="containsText" text="OK">
      <formula>NOT(ISERROR(SEARCH("OK",AA184)))</formula>
    </cfRule>
  </conditionalFormatting>
  <conditionalFormatting sqref="AA120">
    <cfRule type="notContainsText" dxfId="347" priority="95" operator="notContains" text="OK">
      <formula>ISERROR(SEARCH("OK",AA120))</formula>
    </cfRule>
    <cfRule type="containsText" dxfId="346" priority="96" operator="containsText" text="OK">
      <formula>NOT(ISERROR(SEARCH("OK",AA120)))</formula>
    </cfRule>
  </conditionalFormatting>
  <conditionalFormatting sqref="AA131">
    <cfRule type="notContainsText" dxfId="345" priority="87" operator="notContains" text="OK">
      <formula>ISERROR(SEARCH("OK",AA131))</formula>
    </cfRule>
    <cfRule type="containsText" dxfId="344" priority="88" operator="containsText" text="OK">
      <formula>NOT(ISERROR(SEARCH("OK",AA131)))</formula>
    </cfRule>
  </conditionalFormatting>
  <conditionalFormatting sqref="AA115">
    <cfRule type="notContainsText" dxfId="343" priority="85" operator="notContains" text="OK">
      <formula>ISERROR(SEARCH("OK",AA115))</formula>
    </cfRule>
    <cfRule type="containsText" dxfId="342" priority="86" operator="containsText" text="OK">
      <formula>NOT(ISERROR(SEARCH("OK",AA115)))</formula>
    </cfRule>
  </conditionalFormatting>
  <conditionalFormatting sqref="J134 N134 R134 V134 H132">
    <cfRule type="expression" dxfId="341" priority="311">
      <formula>$Y$132=1</formula>
    </cfRule>
  </conditionalFormatting>
  <conditionalFormatting sqref="V134 R134 N134 J134">
    <cfRule type="expression" dxfId="340" priority="320">
      <formula>$Y$132=0</formula>
    </cfRule>
  </conditionalFormatting>
  <conditionalFormatting sqref="J138 N138 R138 V138 H136">
    <cfRule type="expression" dxfId="339" priority="322">
      <formula>$Y$136=1</formula>
    </cfRule>
  </conditionalFormatting>
  <conditionalFormatting sqref="V138 R138 N138 J138">
    <cfRule type="expression" dxfId="338" priority="331">
      <formula>$Y$136=0</formula>
    </cfRule>
  </conditionalFormatting>
  <conditionalFormatting sqref="AA124:AA125">
    <cfRule type="notContainsText" dxfId="337" priority="51" operator="notContains" text="OK">
      <formula>ISERROR(SEARCH("OK",AA124))</formula>
    </cfRule>
    <cfRule type="containsText" dxfId="336" priority="52" operator="containsText" text="OK">
      <formula>NOT(ISERROR(SEARCH("OK",AA124)))</formula>
    </cfRule>
  </conditionalFormatting>
  <conditionalFormatting sqref="F245 D254 F254 H254 J254 L254 N254 P254 D256 F256 H256 J256 L256 N256 P256 D258 F258 H258 J258 L258 N258 P258 D260 F260 H260 J260 L260 N260 P260 D262 F262 H262 J262 L262 N262 P262 D264 F264 H264 J264 L264 N264 P264 D266 F266 H266 J266 L266 N266 P266 D268 F268 H268 J268 L268 N268 P268 D270 F270 H270 J270 L270 N270 P270 D272 F272 H272 J272 L272 N272 P272 D274 F274 H274 J274 L274 N274 P274 D276 F276 H276 J276 L276 N276 P276 D278 F278 H278 J278 L278 N278 P278 D280 F280 H280 J280 L280 N280 P280">
    <cfRule type="expression" dxfId="335" priority="42">
      <formula>$Y$12=2</formula>
    </cfRule>
  </conditionalFormatting>
  <conditionalFormatting sqref="J130 N130 R130 V130 H128">
    <cfRule type="expression" dxfId="334" priority="399">
      <formula>$Y$128=1</formula>
    </cfRule>
  </conditionalFormatting>
  <conditionalFormatting sqref="V130 R130 N130 J130">
    <cfRule type="expression" dxfId="333" priority="408">
      <formula>$Y$128=0</formula>
    </cfRule>
  </conditionalFormatting>
  <conditionalFormatting sqref="N158">
    <cfRule type="expression" dxfId="332" priority="409">
      <formula>OR($Z132="①",$Z132="②")</formula>
    </cfRule>
  </conditionalFormatting>
  <conditionalFormatting sqref="N160">
    <cfRule type="expression" dxfId="331" priority="410">
      <formula>OR($Z$136="①",$Z$136="②")</formula>
    </cfRule>
  </conditionalFormatting>
  <conditionalFormatting sqref="AA135">
    <cfRule type="notContainsText" dxfId="330" priority="38" operator="notContains" text="OK">
      <formula>ISERROR(SEARCH("OK",AA135))</formula>
    </cfRule>
    <cfRule type="containsText" dxfId="329" priority="39" operator="containsText" text="OK">
      <formula>NOT(ISERROR(SEARCH("OK",AA135)))</formula>
    </cfRule>
  </conditionalFormatting>
  <conditionalFormatting sqref="AA136">
    <cfRule type="notContainsText" dxfId="328" priority="36" operator="notContains" text="OK">
      <formula>ISERROR(SEARCH("OK",AA136))</formula>
    </cfRule>
    <cfRule type="containsText" dxfId="327" priority="37" operator="containsText" text="OK">
      <formula>NOT(ISERROR(SEARCH("OK",AA136)))</formula>
    </cfRule>
  </conditionalFormatting>
  <conditionalFormatting sqref="F156 F158 F160 J156 J158 J160 L156 L158 L160 N156 N158 N160">
    <cfRule type="expression" dxfId="326" priority="411">
      <formula>$Y156=0</formula>
    </cfRule>
  </conditionalFormatting>
  <conditionalFormatting sqref="J156 J158 J160">
    <cfRule type="expression" dxfId="325" priority="412">
      <formula>$Z156=2</formula>
    </cfRule>
  </conditionalFormatting>
  <conditionalFormatting sqref="AA142">
    <cfRule type="notContainsText" dxfId="324" priority="34" operator="notContains" text="OK">
      <formula>ISERROR(SEARCH("OK",AA142))</formula>
    </cfRule>
    <cfRule type="containsText" dxfId="323" priority="35" operator="containsText" text="OK">
      <formula>NOT(ISERROR(SEARCH("OK",AA142)))</formula>
    </cfRule>
  </conditionalFormatting>
  <conditionalFormatting sqref="J132:L132">
    <cfRule type="expression" dxfId="322" priority="29">
      <formula>$Y132&lt;&gt;1</formula>
    </cfRule>
  </conditionalFormatting>
  <conditionalFormatting sqref="J136:L136">
    <cfRule type="expression" dxfId="321" priority="27">
      <formula>$Y136&lt;&gt;1</formula>
    </cfRule>
  </conditionalFormatting>
  <conditionalFormatting sqref="J136:L136 N136:P136 R132:T132 R136:T136 V132 V136">
    <cfRule type="expression" dxfId="320" priority="26">
      <formula>$F$85&lt;$B132</formula>
    </cfRule>
  </conditionalFormatting>
  <conditionalFormatting sqref="N132:P132">
    <cfRule type="expression" dxfId="319" priority="23">
      <formula>$Y132&lt;&gt;1</formula>
    </cfRule>
  </conditionalFormatting>
  <conditionalFormatting sqref="N136:P136">
    <cfRule type="expression" dxfId="318" priority="21">
      <formula>$Y136&lt;&gt;1</formula>
    </cfRule>
  </conditionalFormatting>
  <conditionalFormatting sqref="R132:T132">
    <cfRule type="expression" dxfId="317" priority="17">
      <formula>$Y132&lt;&gt;1</formula>
    </cfRule>
  </conditionalFormatting>
  <conditionalFormatting sqref="R136:T136">
    <cfRule type="expression" dxfId="316" priority="15">
      <formula>$Y136&lt;&gt;1</formula>
    </cfRule>
  </conditionalFormatting>
  <conditionalFormatting sqref="V132">
    <cfRule type="expression" dxfId="315" priority="11">
      <formula>$Y132&lt;&gt;1</formula>
    </cfRule>
  </conditionalFormatting>
  <conditionalFormatting sqref="V136">
    <cfRule type="expression" dxfId="314" priority="9">
      <formula>$Y136&lt;&gt;1</formula>
    </cfRule>
  </conditionalFormatting>
  <conditionalFormatting sqref="J128:L128 N128:P128 R128:T128 V128">
    <cfRule type="expression" dxfId="313" priority="7">
      <formula>$Y$128&lt;&gt;1</formula>
    </cfRule>
  </conditionalFormatting>
  <conditionalFormatting sqref="J158 J156 J160 L156 L158 L160 N160 N158 N156">
    <cfRule type="expression" dxfId="312" priority="5">
      <formula>$Z156=0</formula>
    </cfRule>
  </conditionalFormatting>
  <conditionalFormatting sqref="P156 R156">
    <cfRule type="expression" dxfId="311" priority="4">
      <formula>$P$156&lt;$R$156</formula>
    </cfRule>
  </conditionalFormatting>
  <conditionalFormatting sqref="R156 V156">
    <cfRule type="expression" dxfId="310" priority="2">
      <formula>AND($L156&lt;&gt;"",$L$156&lt;1000,$R156&lt;3000)</formula>
    </cfRule>
  </conditionalFormatting>
  <conditionalFormatting sqref="V156 R156 L156">
    <cfRule type="expression" dxfId="309" priority="1">
      <formula>AND($D156="１台目",$L156&lt;&gt;"",$R156&lt;3000)</formula>
    </cfRule>
  </conditionalFormatting>
  <dataValidations count="10">
    <dataValidation imeMode="disabled" allowBlank="1" showInputMessage="1" showErrorMessage="1" sqref="U156:V156 N161 P156 P161 L161 N159 F133:F134 F129:F130 J159 L157 H133 N157 F216 H216 J157 K193:L196 R156:S156 F193:J197 M193:N197 H138 F161:J161 K156:K161 S156:S160 O156:O161 Q157:Q160 M156:M161 L159" xr:uid="{BDFDE204-1F63-45CE-A992-BD16C13D250A}"/>
    <dataValidation type="custom" imeMode="disabled" operator="equal" allowBlank="1" showInputMessage="1" showErrorMessage="1" errorTitle="郵便番号" error="3桁の数字を入力してください。" sqref="F102 F51" xr:uid="{246FF3BD-AA6A-4A30-B29B-77A47E008B8F}">
      <formula1>AND(0&lt;VALUE(F51),LEN(F51)=3)</formula1>
    </dataValidation>
    <dataValidation imeMode="hiragana" allowBlank="1" showInputMessage="1" showErrorMessage="1" sqref="D254:I280 F231:J231 F233:J233 F235:J235 F237:J237 F226:J226 F224:J224 F222:J222 F220:J220 F191:J191 F189:J189 F187:J187 F185:J185 J134 J138 N138 V138 N134 R134 R130 V134 F30:H30 J130 N130 V130 F96:H96 F100:J100 F106:J106 F108:J108 F110:J110 F68:J68 F70:J70 F61:J61 F59:J59 F57:J57 F55:J55 R138" xr:uid="{D769B775-FCFA-474A-A0D6-265D03F36295}"/>
    <dataValidation imeMode="fullKatakana" allowBlank="1" showInputMessage="1" showErrorMessage="1" sqref="J254:L280 F74:J74 F72:J72" xr:uid="{9EA20A88-975B-4848-9F92-B1DEB7B1D721}"/>
    <dataValidation type="whole" imeMode="disabled" allowBlank="1" showInputMessage="1" showErrorMessage="1" sqref="F76:H76 N254:N280" xr:uid="{031F9295-2CD5-483D-B8D9-8A80FFF8459B}">
      <formula1>1</formula1>
      <formula2>44926</formula2>
    </dataValidation>
    <dataValidation type="date" imeMode="disabled" allowBlank="1" showInputMessage="1" showErrorMessage="1" error="2022/12/23までの日付を入力してください。" sqref="F175:H175" xr:uid="{C2B76693-A9E6-4F58-B50B-37D8E3629328}">
      <formula1>44805</formula1>
      <formula2>44918</formula2>
    </dataValidation>
    <dataValidation type="date" imeMode="disabled" allowBlank="1" showInputMessage="1" showErrorMessage="1" error="2022/8/16～2022/9/9の範囲の日付を入力してください。" sqref="F38:H38" xr:uid="{FF6C2D0E-6BCA-4B48-A01A-2C22CF35B0AA}">
      <formula1>44789</formula1>
      <formula2>44813</formula2>
    </dataValidation>
    <dataValidation type="whole" imeMode="disabled" operator="greaterThanOrEqual" allowBlank="1" showInputMessage="1" showErrorMessage="1" error="1,000円未満の金額が入力されています。_x000a_補助対象経費が3,000円未満の場合、補助金の額は計算されません。_x000a_※補助金の額は補助対象経費÷1/3以内(1,000円未満切り捨て、1事業場当たり15万円まで)" sqref="J156 J158 J160 L156 L158 L160" xr:uid="{D73E2089-BB0D-46B3-879D-ED28839E8280}">
      <formula1>1000</formula1>
    </dataValidation>
    <dataValidation type="custom" imeMode="disabled" operator="equal" allowBlank="1" showInputMessage="1" showErrorMessage="1" errorTitle="郵便番号" error="4桁の数字を入力してください。" sqref="H51 H102" xr:uid="{B87452EC-B8BD-4E68-8526-EC3DB3CB201D}">
      <formula1>AND(0&lt;=VALUE(H51),LEN(H51)=4)</formula1>
    </dataValidation>
    <dataValidation type="whole" imeMode="disabled" operator="greaterThanOrEqual" allowBlank="1" showInputMessage="1" showErrorMessage="1" prompt="補助対象機器一覧の形態番号が③の機器のみ入力可能です。" sqref="N156 N158 N160" xr:uid="{BD91441C-A909-4862-AFAD-6FFB9A299C65}">
      <formula1>1</formula1>
    </dataValidation>
  </dataValidations>
  <hyperlinks>
    <hyperlink ref="P93" location="認証書等・整備士証明等!A1" display="書類の例" xr:uid="{588B9F1C-F667-47AB-9624-3CC035717C64}"/>
    <hyperlink ref="B166:W168" location="'入力シート（2事業場以降）'!D7" display="事業場2以降はこちらで入力してください。" xr:uid="{9EA9312B-882A-4000-B8CC-74AE9A28289E}"/>
  </hyperlinks>
  <pageMargins left="0.7" right="0.7" top="0.75" bottom="0.75" header="0.3" footer="0.3"/>
  <pageSetup paperSize="9" scale="23" orientation="portrait" r:id="rId1"/>
  <extLst>
    <ext xmlns:x14="http://schemas.microsoft.com/office/spreadsheetml/2009/9/main" uri="{CCE6A557-97BC-4b89-ADB6-D9C93CAAB3DF}">
      <x14:dataValidations xmlns:xm="http://schemas.microsoft.com/office/excel/2006/main" count="14">
        <x14:dataValidation type="list" allowBlank="1" showInputMessage="1" showErrorMessage="1" xr:uid="{B6F161EF-FE3E-4567-9B18-7B19B3063CA4}">
          <x14:formula1>
            <xm:f>プルダウン!$C$2:$C$48</xm:f>
          </x14:formula1>
          <xm:sqref>F53 F218 F104</xm:sqref>
        </x14:dataValidation>
        <x14:dataValidation type="list" allowBlank="1" showInputMessage="1" showErrorMessage="1" xr:uid="{933B1D9E-0851-4534-8AE2-47D79415F64D}">
          <x14:formula1>
            <xm:f>プルダウン!$I$2:$I$3</xm:f>
          </x14:formula1>
          <xm:sqref>F78 P280 P276 P274 P272 P270 P268 P266 P264 P262 P260 P258 P256 P278 P254</xm:sqref>
        </x14:dataValidation>
        <x14:dataValidation type="list" allowBlank="1" showInputMessage="1" showErrorMessage="1" xr:uid="{C23E0C07-E441-4C76-AEFC-12169E0E1801}">
          <x14:formula1>
            <xm:f>プルダウン!$Q$2:$Q$4</xm:f>
          </x14:formula1>
          <xm:sqref>F214</xm:sqref>
        </x14:dataValidation>
        <x14:dataValidation type="list" allowBlank="1" showInputMessage="1" showErrorMessage="1" xr:uid="{B2897CB0-99C5-45B6-93B1-7A8F2B1C9F8A}">
          <x14:formula1>
            <xm:f>プルダウン!$S$2:$S$4</xm:f>
          </x14:formula1>
          <xm:sqref>F229:H229</xm:sqref>
        </x14:dataValidation>
        <x14:dataValidation type="list" allowBlank="1" showInputMessage="1" showErrorMessage="1" xr:uid="{1E1BF921-C0FC-4BBC-A5CB-D14EE6FE4F9E}">
          <x14:formula1>
            <xm:f>プルダウン!$K$2:$K$5</xm:f>
          </x14:formula1>
          <xm:sqref>F94:H94</xm:sqref>
        </x14:dataValidation>
        <x14:dataValidation type="list" imeMode="hiragana" allowBlank="1" showInputMessage="1" xr:uid="{6E00C7AA-7C32-402B-B745-0757B2E9E391}">
          <x14:formula1>
            <xm:f>プルダウン!$M$2:$M$63</xm:f>
          </x14:formula1>
          <xm:sqref>F98:H98</xm:sqref>
        </x14:dataValidation>
        <x14:dataValidation type="list" imeMode="hiragana" showInputMessage="1" xr:uid="{B90A196F-2AA4-47DC-8E31-04ED9FFAA536}">
          <x14:formula1>
            <xm:f>IF(Y12=1,プルダウン!$E$2:$E$5,IF(Y12=2,プルダウン!$G$2:$G$3))</xm:f>
          </x14:formula1>
          <xm:sqref>F66:J66</xm:sqref>
        </x14:dataValidation>
        <x14:dataValidation type="list" imeMode="disabled" allowBlank="1" showInputMessage="1" showErrorMessage="1" xr:uid="{1DC566B6-8DE7-4B76-AF75-4D518884D1DE}">
          <x14:formula1>
            <xm:f>プルダウン!$U$2:$U$51</xm:f>
          </x14:formula1>
          <xm:sqref>F85</xm:sqref>
        </x14:dataValidation>
        <x14:dataValidation type="list" imeMode="disabled" allowBlank="1" showInputMessage="1" showErrorMessage="1" xr:uid="{1DDF11B3-0D55-428D-9A40-57FCC361442E}">
          <x14:formula1>
            <xm:f>プルダウン!$U$2:$U$16</xm:f>
          </x14:formula1>
          <xm:sqref>F245</xm:sqref>
        </x14:dataValidation>
        <x14:dataValidation type="list" allowBlank="1" showInputMessage="1" showErrorMessage="1" xr:uid="{0F5178DC-FD78-458A-86D2-D3A8E4AD61C6}">
          <x14:formula1>
            <xm:f>プルダウン!$A$2:$A$3</xm:f>
          </x14:formula1>
          <xm:sqref>F12:H12</xm:sqref>
        </x14:dataValidation>
        <x14:dataValidation type="list" allowBlank="1" showInputMessage="1" showErrorMessage="1" xr:uid="{C748AFF3-312A-4959-83A7-4E2851DB0A7A}">
          <x14:formula1>
            <xm:f>プルダウン!$W$2:$W$3</xm:f>
          </x14:formula1>
          <xm:sqref>H136 H128 H132</xm:sqref>
        </x14:dataValidation>
        <x14:dataValidation type="list" allowBlank="1" showInputMessage="1" showErrorMessage="1" xr:uid="{4A939F69-58FE-4F1B-A037-285B87466ED4}">
          <x14:formula1>
            <xm:f>プルダウン!$Y$2:$Y$3</xm:f>
          </x14:formula1>
          <xm:sqref>F156 F158 F160</xm:sqref>
        </x14:dataValidation>
        <x14:dataValidation type="list" allowBlank="1" showInputMessage="1" showErrorMessage="1" xr:uid="{B0EF846E-CD7E-43D4-A287-F702CD275D3D}">
          <x14:formula1>
            <xm:f>プルダウン!$O$2:$O$3</xm:f>
          </x14:formula1>
          <xm:sqref>F183</xm:sqref>
        </x14:dataValidation>
        <x14:dataValidation type="list" imeMode="disabled" allowBlank="1" showInputMessage="1" showErrorMessage="1" xr:uid="{1651D093-8FB5-4F2D-821E-B3757A4337E1}">
          <x14:formula1>
            <xm:f>補助対象機器一覧20220831!$A$2:$A$119</xm:f>
          </x14:formula1>
          <xm:sqref>F128 F132 F136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11E95-2671-420B-9D47-4A2DE2015E6F}">
  <sheetPr codeName="Sheet4">
    <pageSetUpPr fitToPage="1"/>
  </sheetPr>
  <dimension ref="A1:C69"/>
  <sheetViews>
    <sheetView showGridLines="0" workbookViewId="0">
      <selection sqref="A1:C1"/>
    </sheetView>
  </sheetViews>
  <sheetFormatPr defaultRowHeight="13.5" x14ac:dyDescent="0.15"/>
  <sheetData>
    <row r="1" spans="1:3" x14ac:dyDescent="0.15">
      <c r="A1" s="398" t="s">
        <v>1058</v>
      </c>
      <c r="B1" s="398"/>
      <c r="C1" s="398"/>
    </row>
    <row r="69" spans="1:3" x14ac:dyDescent="0.15">
      <c r="A69" s="398" t="s">
        <v>1058</v>
      </c>
      <c r="B69" s="398"/>
      <c r="C69" s="398"/>
    </row>
  </sheetData>
  <sheetProtection algorithmName="SHA-512" hashValue="m807OzSHyrcLw2LAuqBpc4Yiwby2wNgWbXLFIcM0axlbH6N/gI+a7/n19u8KLM/V4MHT8Q3iHcHMLtSWJZRgQQ==" saltValue="JF0jrkN0QI/G17wl2ug97Q==" spinCount="100000" sheet="1" objects="1" scenarios="1" selectLockedCells="1"/>
  <mergeCells count="2">
    <mergeCell ref="A1:C1"/>
    <mergeCell ref="A69:C69"/>
  </mergeCells>
  <phoneticPr fontId="22"/>
  <hyperlinks>
    <hyperlink ref="A1" location="'入力シート（仮）'!A95" display="入力シートへ戻る" xr:uid="{6B2AA31A-F0C5-4818-AB50-FF1F2DAA6EAA}"/>
    <hyperlink ref="A1:C1" location="入力シート!P94" display="入力シートに戻る" xr:uid="{54073FB9-0079-47D8-A332-6C919739F12C}"/>
    <hyperlink ref="A69" location="'入力シート（仮）'!A95" display="入力シートへ戻る" xr:uid="{1D5C9EC4-D4C0-4808-9323-6047F22D654D}"/>
    <hyperlink ref="A69:C69" location="入力シート!P94" display="入力シートに戻る" xr:uid="{D27F36EF-EA0C-47C6-BFC2-D4126EC5F06A}"/>
  </hyperlinks>
  <printOptions verticalCentered="1"/>
  <pageMargins left="0.23622047244094491" right="0.23622047244094491" top="0.74803149606299213" bottom="0.74803149606299213" header="0.31496062992125984" footer="0.31496062992125984"/>
  <pageSetup paperSize="9" scale="59"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90367-7B71-41B1-AF4E-80AC6F779BC5}">
  <sheetPr codeName="Sheet8">
    <outlinePr applyStyles="1"/>
  </sheetPr>
  <dimension ref="B2:BC1152"/>
  <sheetViews>
    <sheetView showGridLines="0" workbookViewId="0">
      <pane ySplit="13" topLeftCell="A14" activePane="bottomLeft" state="frozen"/>
      <selection pane="bottomLeft" activeCell="F23" sqref="F23:H23"/>
    </sheetView>
  </sheetViews>
  <sheetFormatPr defaultRowHeight="13.5" x14ac:dyDescent="0.15"/>
  <cols>
    <col min="1" max="1" width="0.875" style="42" customWidth="1"/>
    <col min="2" max="2" width="3.375" style="42" hidden="1" customWidth="1"/>
    <col min="3" max="3" width="3.625" style="42" customWidth="1"/>
    <col min="4" max="4" width="12.625" style="42" customWidth="1"/>
    <col min="5" max="5" width="7.25" style="44" customWidth="1"/>
    <col min="6" max="6" width="12.625" style="42" customWidth="1"/>
    <col min="7" max="7" width="2.625" style="42" customWidth="1"/>
    <col min="8" max="8" width="12.625" style="42" customWidth="1"/>
    <col min="9" max="9" width="2.625" style="250" customWidth="1"/>
    <col min="10" max="10" width="12.625" style="42" customWidth="1"/>
    <col min="11" max="11" width="2.625" style="42" customWidth="1"/>
    <col min="12" max="12" width="12.625" style="42" customWidth="1"/>
    <col min="13" max="13" width="2.625" style="42" customWidth="1"/>
    <col min="14" max="14" width="12.625" style="42" customWidth="1"/>
    <col min="15" max="15" width="2.625" style="42" customWidth="1"/>
    <col min="16" max="16" width="12.625" style="42" customWidth="1"/>
    <col min="17" max="17" width="2.625" style="42" customWidth="1"/>
    <col min="18" max="18" width="12.625" style="42" customWidth="1"/>
    <col min="19" max="19" width="2.625" style="42" customWidth="1"/>
    <col min="20" max="20" width="12.625" style="42" customWidth="1"/>
    <col min="21" max="21" width="2.625" style="42" customWidth="1"/>
    <col min="22" max="22" width="12.625" style="42" customWidth="1"/>
    <col min="23" max="23" width="2.625" style="42" customWidth="1"/>
    <col min="24" max="24" width="6.625" style="42" customWidth="1"/>
    <col min="25" max="25" width="2.625" style="42" customWidth="1"/>
    <col min="26" max="26" width="6.625" style="42" customWidth="1"/>
    <col min="27" max="27" width="2.625" style="42" customWidth="1"/>
    <col min="28" max="28" width="12.625" style="42" customWidth="1"/>
    <col min="29" max="29" width="2.625" style="42" customWidth="1"/>
    <col min="30" max="30" width="12.625" style="42" customWidth="1"/>
    <col min="31" max="31" width="2.625" style="42" customWidth="1"/>
    <col min="32" max="32" width="12.625" style="42" customWidth="1"/>
    <col min="33" max="33" width="2.625" style="42" customWidth="1"/>
    <col min="34" max="34" width="12.625" style="42" customWidth="1"/>
    <col min="35" max="35" width="2.625" style="42" customWidth="1"/>
    <col min="36" max="36" width="12.625" style="42" customWidth="1"/>
    <col min="37" max="37" width="2.625" style="42" customWidth="1"/>
    <col min="38" max="38" width="12.625" style="42" customWidth="1"/>
    <col min="39" max="39" width="2.625" style="42" customWidth="1"/>
    <col min="40" max="40" width="12.625" style="42" customWidth="1"/>
    <col min="41" max="41" width="2.625" style="42" customWidth="1"/>
    <col min="42" max="42" width="2.875" style="42" customWidth="1"/>
    <col min="43" max="45" width="9" style="42" hidden="1" customWidth="1"/>
    <col min="46" max="46" width="66.75" style="229" customWidth="1"/>
    <col min="47" max="54" width="9" style="42" hidden="1" customWidth="1"/>
    <col min="55" max="16384" width="9" style="42"/>
  </cols>
  <sheetData>
    <row r="2" spans="3:46" s="39" customFormat="1" ht="30" customHeight="1" x14ac:dyDescent="0.15">
      <c r="C2" s="386" t="s">
        <v>146</v>
      </c>
      <c r="D2" s="386"/>
      <c r="E2" s="386"/>
      <c r="F2" s="386"/>
      <c r="G2" s="386"/>
      <c r="H2" s="386"/>
      <c r="I2" s="386"/>
      <c r="J2" s="386"/>
      <c r="K2" s="386"/>
      <c r="L2" s="386"/>
      <c r="M2" s="386"/>
      <c r="N2" s="386"/>
      <c r="O2" s="386"/>
      <c r="P2" s="386"/>
      <c r="Q2" s="386"/>
      <c r="R2" s="386"/>
      <c r="S2" s="386"/>
      <c r="T2" s="386"/>
      <c r="U2" s="386"/>
      <c r="V2" s="386"/>
      <c r="W2" s="386"/>
      <c r="X2" s="386"/>
      <c r="Y2" s="386"/>
      <c r="Z2" s="386"/>
      <c r="AA2" s="386"/>
      <c r="AB2" s="386"/>
      <c r="AC2" s="386"/>
      <c r="AD2" s="386"/>
      <c r="AE2" s="386"/>
      <c r="AF2" s="386"/>
      <c r="AG2" s="386"/>
      <c r="AH2" s="386"/>
      <c r="AI2" s="386"/>
      <c r="AJ2" s="386"/>
      <c r="AK2" s="386"/>
      <c r="AL2" s="386"/>
      <c r="AM2" s="386"/>
      <c r="AN2" s="386"/>
      <c r="AO2" s="386"/>
      <c r="AQ2" s="40" t="s">
        <v>147</v>
      </c>
      <c r="AR2" s="40"/>
      <c r="AS2" s="40"/>
      <c r="AT2" s="228"/>
    </row>
    <row r="3" spans="3:46" x14ac:dyDescent="0.15">
      <c r="AQ3" s="86"/>
      <c r="AR3" s="86"/>
      <c r="AS3" s="86"/>
    </row>
    <row r="4" spans="3:46" x14ac:dyDescent="0.15">
      <c r="D4" s="43" t="s">
        <v>148</v>
      </c>
      <c r="AQ4" s="86"/>
      <c r="AR4" s="86"/>
      <c r="AS4" s="86"/>
    </row>
    <row r="5" spans="3:46" x14ac:dyDescent="0.15">
      <c r="AQ5" s="86"/>
      <c r="AR5" s="86"/>
      <c r="AS5" s="86"/>
    </row>
    <row r="6" spans="3:46" ht="5.0999999999999996" customHeight="1" x14ac:dyDescent="0.15">
      <c r="AQ6" s="86"/>
      <c r="AR6" s="86"/>
      <c r="AS6" s="86"/>
    </row>
    <row r="7" spans="3:46" x14ac:dyDescent="0.15">
      <c r="D7" s="398" t="s">
        <v>149</v>
      </c>
      <c r="E7" s="398"/>
      <c r="F7" s="398"/>
      <c r="G7" s="398"/>
      <c r="H7" s="398"/>
      <c r="I7" s="398"/>
      <c r="J7" s="398"/>
      <c r="K7" s="398"/>
      <c r="L7" s="398"/>
      <c r="AQ7" s="86"/>
      <c r="AR7" s="86"/>
      <c r="AS7" s="86"/>
    </row>
    <row r="8" spans="3:46" ht="5.0999999999999996" customHeight="1" x14ac:dyDescent="0.15">
      <c r="AQ8" s="86"/>
      <c r="AR8" s="86"/>
      <c r="AS8" s="86"/>
    </row>
    <row r="9" spans="3:46" x14ac:dyDescent="0.15">
      <c r="D9" s="398" t="s">
        <v>150</v>
      </c>
      <c r="E9" s="398"/>
      <c r="F9" s="398"/>
      <c r="G9" s="398"/>
      <c r="H9" s="398"/>
      <c r="I9" s="398"/>
      <c r="J9" s="398"/>
      <c r="K9" s="398"/>
      <c r="L9" s="398"/>
      <c r="AQ9" s="86"/>
      <c r="AR9" s="86"/>
      <c r="AS9" s="86"/>
    </row>
    <row r="10" spans="3:46" ht="5.0999999999999996" customHeight="1" x14ac:dyDescent="0.15">
      <c r="AQ10" s="86"/>
      <c r="AR10" s="86"/>
      <c r="AS10" s="86"/>
    </row>
    <row r="11" spans="3:46" x14ac:dyDescent="0.15">
      <c r="D11" s="398" t="s">
        <v>151</v>
      </c>
      <c r="E11" s="398"/>
      <c r="F11" s="398"/>
      <c r="G11" s="398"/>
      <c r="H11" s="398"/>
      <c r="I11" s="398"/>
      <c r="J11" s="398"/>
      <c r="K11" s="398"/>
      <c r="L11" s="398"/>
      <c r="AQ11" s="86"/>
      <c r="AR11" s="86"/>
      <c r="AS11" s="86"/>
    </row>
    <row r="12" spans="3:46" ht="5.0999999999999996" customHeight="1" x14ac:dyDescent="0.15">
      <c r="AQ12" s="86"/>
      <c r="AR12" s="86"/>
      <c r="AS12" s="86"/>
    </row>
    <row r="13" spans="3:46" x14ac:dyDescent="0.15">
      <c r="AQ13" s="86"/>
      <c r="AR13" s="86"/>
      <c r="AS13" s="86"/>
    </row>
    <row r="14" spans="3:46" x14ac:dyDescent="0.15">
      <c r="AQ14" s="86"/>
      <c r="AR14" s="86"/>
      <c r="AS14" s="86"/>
    </row>
    <row r="15" spans="3:46" s="41" customFormat="1" ht="5.0999999999999996" customHeight="1" x14ac:dyDescent="0.15">
      <c r="C15" s="51"/>
      <c r="D15" s="52"/>
      <c r="E15" s="55"/>
      <c r="F15" s="83"/>
      <c r="G15" s="83"/>
      <c r="H15" s="83"/>
      <c r="I15" s="251"/>
      <c r="J15" s="83"/>
      <c r="K15" s="83"/>
      <c r="L15" s="83"/>
      <c r="M15" s="51"/>
      <c r="N15" s="83"/>
      <c r="O15" s="83"/>
      <c r="P15" s="83"/>
      <c r="Q15" s="50"/>
      <c r="R15" s="83"/>
      <c r="S15" s="83"/>
      <c r="T15" s="83"/>
      <c r="U15" s="83"/>
      <c r="V15" s="83"/>
      <c r="W15" s="51"/>
      <c r="X15" s="83"/>
      <c r="Y15" s="84"/>
      <c r="Z15" s="83"/>
      <c r="AA15" s="50"/>
      <c r="AB15" s="83"/>
      <c r="AC15" s="51"/>
      <c r="AD15" s="83"/>
      <c r="AE15" s="83"/>
      <c r="AF15" s="83"/>
      <c r="AG15" s="50"/>
      <c r="AH15" s="83"/>
      <c r="AI15" s="83"/>
      <c r="AJ15" s="83"/>
      <c r="AK15" s="51"/>
      <c r="AL15" s="83"/>
      <c r="AM15" s="83"/>
      <c r="AN15" s="83"/>
      <c r="AO15" s="52"/>
      <c r="AQ15" s="86"/>
      <c r="AR15" s="86"/>
      <c r="AS15" s="86"/>
      <c r="AT15" s="228"/>
    </row>
    <row r="16" spans="3:46" x14ac:dyDescent="0.15">
      <c r="C16" s="54" t="str">
        <f>"５-１．事業場２"&amp;IF(2&lt;中間シート!G60,"～事業場"&amp;DBCS(中間シート!G60),"")&amp;"の事業場の情報を入力してください。"</f>
        <v>５-１．事業場２の事業場の情報を入力してください。</v>
      </c>
      <c r="D16" s="49"/>
      <c r="E16" s="50"/>
      <c r="F16" s="49"/>
      <c r="G16" s="49"/>
      <c r="H16" s="49"/>
      <c r="I16" s="252"/>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Q16" s="86"/>
      <c r="AR16" s="86"/>
      <c r="AS16" s="86"/>
    </row>
    <row r="17" spans="2:54" x14ac:dyDescent="0.15">
      <c r="C17" s="49"/>
      <c r="D17" s="102" t="s">
        <v>152</v>
      </c>
      <c r="E17" s="50"/>
      <c r="F17" s="49"/>
      <c r="G17" s="49"/>
      <c r="H17" s="49"/>
      <c r="I17" s="252"/>
      <c r="J17" s="49"/>
      <c r="K17" s="49"/>
      <c r="L17" s="49"/>
      <c r="M17" s="49"/>
      <c r="N17" s="50"/>
      <c r="O17" s="49"/>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Q17" s="86"/>
      <c r="AR17" s="86"/>
      <c r="AS17" s="86"/>
    </row>
    <row r="18" spans="2:54" x14ac:dyDescent="0.15">
      <c r="C18" s="49"/>
      <c r="D18" s="102" t="s">
        <v>153</v>
      </c>
      <c r="E18" s="50"/>
      <c r="F18" s="49"/>
      <c r="G18" s="49"/>
      <c r="H18" s="49"/>
      <c r="I18" s="252"/>
      <c r="J18" s="49"/>
      <c r="K18" s="49"/>
      <c r="L18" s="49"/>
      <c r="M18" s="49"/>
      <c r="N18" s="50"/>
      <c r="O18" s="49"/>
      <c r="P18" s="49"/>
      <c r="Q18" s="49"/>
      <c r="R18" s="49"/>
      <c r="S18" s="49"/>
      <c r="T18" s="49"/>
      <c r="U18" s="49"/>
      <c r="V18" s="49"/>
      <c r="W18" s="49"/>
      <c r="X18" s="49"/>
      <c r="Y18" s="49"/>
      <c r="Z18" s="49"/>
      <c r="AA18" s="49"/>
      <c r="AB18" s="49"/>
      <c r="AC18" s="49"/>
      <c r="AD18" s="49"/>
      <c r="AE18" s="49"/>
      <c r="AF18" s="49"/>
      <c r="AG18" s="49"/>
      <c r="AH18" s="49"/>
      <c r="AI18" s="49"/>
      <c r="AJ18" s="49"/>
      <c r="AK18" s="49"/>
      <c r="AL18" s="49"/>
      <c r="AM18" s="49"/>
      <c r="AN18" s="49"/>
      <c r="AO18" s="49"/>
      <c r="AQ18" s="86"/>
      <c r="AR18" s="86"/>
      <c r="AS18" s="86"/>
    </row>
    <row r="19" spans="2:54" x14ac:dyDescent="0.15">
      <c r="C19" s="49"/>
      <c r="D19" s="49"/>
      <c r="E19" s="50"/>
      <c r="F19" s="49"/>
      <c r="G19" s="49"/>
      <c r="H19" s="49"/>
      <c r="I19" s="252"/>
      <c r="J19" s="49"/>
      <c r="K19" s="49"/>
      <c r="L19" s="49"/>
      <c r="M19" s="49"/>
      <c r="N19" s="49"/>
      <c r="O19" s="49"/>
      <c r="P19" s="49"/>
      <c r="Q19" s="49"/>
      <c r="R19" s="49"/>
      <c r="S19" s="50"/>
      <c r="T19" s="49"/>
      <c r="U19" s="49"/>
      <c r="V19" s="49"/>
      <c r="W19" s="49"/>
      <c r="X19" s="49"/>
      <c r="Y19" s="49"/>
      <c r="Z19" s="49"/>
      <c r="AA19" s="49"/>
      <c r="AB19" s="49"/>
      <c r="AC19" s="49"/>
      <c r="AD19" s="49"/>
      <c r="AE19" s="49"/>
      <c r="AF19" s="49"/>
      <c r="AG19" s="49"/>
      <c r="AH19" s="49"/>
      <c r="AI19" s="49"/>
      <c r="AJ19" s="49"/>
      <c r="AK19" s="49"/>
      <c r="AL19" s="49"/>
      <c r="AM19" s="49"/>
      <c r="AN19" s="49"/>
      <c r="AO19" s="49"/>
      <c r="AQ19" s="86"/>
      <c r="AR19" s="86"/>
      <c r="AS19" s="86"/>
    </row>
    <row r="20" spans="2:54" s="41" customFormat="1" ht="32.1" customHeight="1" thickBot="1" x14ac:dyDescent="0.2">
      <c r="C20" s="51"/>
      <c r="D20" s="51"/>
      <c r="E20" s="55"/>
      <c r="F20" s="373" t="s">
        <v>53</v>
      </c>
      <c r="G20" s="373"/>
      <c r="H20" s="373"/>
      <c r="I20" s="253"/>
      <c r="J20" s="385" t="s">
        <v>154</v>
      </c>
      <c r="K20" s="385"/>
      <c r="L20" s="385"/>
      <c r="M20" s="85"/>
      <c r="N20" s="373" t="s">
        <v>155</v>
      </c>
      <c r="O20" s="373"/>
      <c r="P20" s="373"/>
      <c r="Q20" s="50"/>
      <c r="R20" s="373" t="s">
        <v>56</v>
      </c>
      <c r="S20" s="373"/>
      <c r="T20" s="373"/>
      <c r="U20" s="373"/>
      <c r="V20" s="373"/>
      <c r="W20" s="51"/>
      <c r="X20" s="373" t="s">
        <v>24</v>
      </c>
      <c r="Y20" s="373"/>
      <c r="Z20" s="373"/>
      <c r="AA20" s="50"/>
      <c r="AB20" s="51" t="s">
        <v>26</v>
      </c>
      <c r="AC20" s="51"/>
      <c r="AD20" s="373" t="s">
        <v>29</v>
      </c>
      <c r="AE20" s="373"/>
      <c r="AF20" s="373"/>
      <c r="AG20" s="50"/>
      <c r="AH20" s="373" t="s">
        <v>31</v>
      </c>
      <c r="AI20" s="373"/>
      <c r="AJ20" s="373"/>
      <c r="AK20" s="51"/>
      <c r="AL20" s="373" t="s">
        <v>34</v>
      </c>
      <c r="AM20" s="373"/>
      <c r="AN20" s="373"/>
      <c r="AO20" s="51"/>
      <c r="AP20" s="42"/>
      <c r="AQ20" s="86"/>
      <c r="AR20" s="86"/>
      <c r="AS20" s="86"/>
      <c r="AT20" s="228"/>
    </row>
    <row r="21" spans="2:54" s="41" customFormat="1" ht="18" customHeight="1" thickBot="1" x14ac:dyDescent="0.2">
      <c r="C21" s="51"/>
      <c r="D21" s="52" t="s">
        <v>61</v>
      </c>
      <c r="E21" s="55"/>
      <c r="F21" s="381" t="str">
        <f>中間シート!G61</f>
        <v/>
      </c>
      <c r="G21" s="381"/>
      <c r="H21" s="381"/>
      <c r="I21" s="254"/>
      <c r="J21" s="382" t="str">
        <f>中間シート!G62</f>
        <v/>
      </c>
      <c r="K21" s="383"/>
      <c r="L21" s="384"/>
      <c r="M21" s="120"/>
      <c r="N21" s="370" t="str">
        <f>中間シート!G63</f>
        <v/>
      </c>
      <c r="O21" s="370"/>
      <c r="P21" s="370"/>
      <c r="Q21" s="119"/>
      <c r="R21" s="370" t="str">
        <f>中間シート!G64</f>
        <v/>
      </c>
      <c r="S21" s="370"/>
      <c r="T21" s="370"/>
      <c r="U21" s="370"/>
      <c r="V21" s="370"/>
      <c r="W21" s="120"/>
      <c r="X21" s="274" t="str">
        <f>中間シート!G65</f>
        <v/>
      </c>
      <c r="Y21" s="121" t="s">
        <v>156</v>
      </c>
      <c r="Z21" s="274" t="str">
        <f>中間シート!H65</f>
        <v/>
      </c>
      <c r="AA21" s="119"/>
      <c r="AB21" s="274" t="str">
        <f>中間シート!G66</f>
        <v/>
      </c>
      <c r="AC21" s="120"/>
      <c r="AD21" s="370" t="str">
        <f>中間シート!G67</f>
        <v/>
      </c>
      <c r="AE21" s="370"/>
      <c r="AF21" s="370"/>
      <c r="AG21" s="119"/>
      <c r="AH21" s="370" t="str">
        <f>中間シート!G68</f>
        <v/>
      </c>
      <c r="AI21" s="370"/>
      <c r="AJ21" s="370"/>
      <c r="AK21" s="120"/>
      <c r="AL21" s="370" t="str">
        <f>中間シート!G69</f>
        <v/>
      </c>
      <c r="AM21" s="370"/>
      <c r="AN21" s="370"/>
      <c r="AO21" s="51"/>
      <c r="AQ21" s="86"/>
      <c r="AR21" s="86"/>
      <c r="AS21" s="86"/>
      <c r="AT21" s="228" t="str">
        <f ca="1">IF($B21&lt;=入力シート!$F$85,IF(AU21&lt;&gt;"OK",AU21,IF(AV21&lt;&gt;"OK",AV21,IF(AW21&lt;&gt;"OK",AW21,IF(AX21&lt;&gt;"OK",AX21,IF(AY21&lt;&gt;"OK",AY21,IF(AZ21&lt;&gt;"OK",AZ21,IF(BA21&lt;&gt;"OK",BA21,BB21))))))),"")</f>
        <v>書類の種類を選択してください。</v>
      </c>
      <c r="AU21" s="42" t="str">
        <f ca="1">中間シート!X61</f>
        <v>書類の種類を選択してください。</v>
      </c>
      <c r="AV21" s="42" t="str">
        <f ca="1">中間シート!X62</f>
        <v>認証・指定・認定番号または、整備士合格証書番号を入力してください。</v>
      </c>
      <c r="AW21" s="42" t="str">
        <f ca="1">中間シート!X63</f>
        <v>管轄運輸局を入力してください。</v>
      </c>
      <c r="AX21" s="41" t="str">
        <f ca="1">中間シート!X64</f>
        <v>事業場名を入力してください。</v>
      </c>
      <c r="AY21" s="42" t="str">
        <f ca="1">中間シート!X65</f>
        <v>郵便番号を入力してください。</v>
      </c>
      <c r="AZ21" s="42" t="str">
        <f ca="1">中間シート!X66</f>
        <v>都道府県を選択してください。</v>
      </c>
      <c r="BA21" s="42" t="str">
        <f ca="1">中間シート!X67</f>
        <v>市区町村を入力してください。</v>
      </c>
      <c r="BB21" s="39" t="str">
        <f ca="1">中間シート!X68</f>
        <v>町名地番を入力してください。</v>
      </c>
    </row>
    <row r="22" spans="2:54" s="41" customFormat="1" ht="5.0999999999999996" customHeight="1" thickBot="1" x14ac:dyDescent="0.2">
      <c r="C22" s="51"/>
      <c r="D22" s="52"/>
      <c r="E22" s="55"/>
      <c r="F22" s="372"/>
      <c r="G22" s="372"/>
      <c r="H22" s="372"/>
      <c r="I22" s="254"/>
      <c r="J22" s="122"/>
      <c r="K22" s="122"/>
      <c r="L22" s="122"/>
      <c r="M22" s="120"/>
      <c r="N22" s="122"/>
      <c r="O22" s="122"/>
      <c r="P22" s="122"/>
      <c r="Q22" s="119"/>
      <c r="R22" s="122"/>
      <c r="S22" s="122"/>
      <c r="T22" s="122"/>
      <c r="U22" s="122"/>
      <c r="V22" s="122"/>
      <c r="W22" s="120"/>
      <c r="X22" s="122"/>
      <c r="Y22" s="121"/>
      <c r="Z22" s="122"/>
      <c r="AA22" s="119"/>
      <c r="AB22" s="122"/>
      <c r="AC22" s="120"/>
      <c r="AD22" s="122"/>
      <c r="AE22" s="122"/>
      <c r="AF22" s="122"/>
      <c r="AG22" s="119"/>
      <c r="AH22" s="122"/>
      <c r="AI22" s="122"/>
      <c r="AJ22" s="122"/>
      <c r="AK22" s="120"/>
      <c r="AL22" s="122"/>
      <c r="AM22" s="122"/>
      <c r="AN22" s="122"/>
      <c r="AO22" s="52"/>
      <c r="AQ22" s="86"/>
      <c r="AR22" s="86"/>
      <c r="AS22" s="86"/>
      <c r="AT22" s="228"/>
    </row>
    <row r="23" spans="2:54" ht="18" customHeight="1" thickBot="1" x14ac:dyDescent="0.2">
      <c r="B23" s="42">
        <v>2</v>
      </c>
      <c r="C23" s="49"/>
      <c r="D23" s="52" t="s">
        <v>157</v>
      </c>
      <c r="E23" s="50"/>
      <c r="F23" s="377"/>
      <c r="G23" s="378"/>
      <c r="H23" s="379"/>
      <c r="I23" s="254"/>
      <c r="J23" s="374"/>
      <c r="K23" s="375"/>
      <c r="L23" s="376"/>
      <c r="M23" s="120"/>
      <c r="N23" s="369"/>
      <c r="O23" s="369"/>
      <c r="P23" s="369"/>
      <c r="Q23" s="119"/>
      <c r="R23" s="369"/>
      <c r="S23" s="369"/>
      <c r="T23" s="369"/>
      <c r="U23" s="369"/>
      <c r="V23" s="369"/>
      <c r="W23" s="120"/>
      <c r="X23" s="123"/>
      <c r="Y23" s="121" t="s">
        <v>156</v>
      </c>
      <c r="Z23" s="123"/>
      <c r="AA23" s="119"/>
      <c r="AB23" s="124"/>
      <c r="AC23" s="120"/>
      <c r="AD23" s="369"/>
      <c r="AE23" s="369"/>
      <c r="AF23" s="369"/>
      <c r="AG23" s="119"/>
      <c r="AH23" s="369"/>
      <c r="AI23" s="369"/>
      <c r="AJ23" s="369"/>
      <c r="AK23" s="120"/>
      <c r="AL23" s="369"/>
      <c r="AM23" s="369"/>
      <c r="AN23" s="369"/>
      <c r="AO23" s="49"/>
      <c r="AQ23" s="86"/>
      <c r="AR23" s="86"/>
      <c r="AS23" s="86"/>
      <c r="AT23" s="228" t="str">
        <f>IF($B23&lt;=入力シート!$F$85,IF(AU23&lt;&gt;"OK",AU23,IF(AV23&lt;&gt;"OK",AV23,IF(AW23&lt;&gt;"OK",AW23,IF(AX23&lt;&gt;"OK",AX23,IF(AY23&lt;&gt;"OK",AY23,IF(AZ23&lt;&gt;"OK",AZ23,IF(BA23&lt;&gt;"OK",BA23,BB23))))))),"")</f>
        <v/>
      </c>
      <c r="AU23" s="42" t="str">
        <f ca="1">中間シート!X70</f>
        <v>書類の種類を選択してください。</v>
      </c>
      <c r="AV23" s="41" t="str">
        <f ca="1">中間シート!X71</f>
        <v>認証・指定・認定番号または、整備士合格証書番号を入力してください。</v>
      </c>
      <c r="AW23" s="42" t="str">
        <f ca="1">中間シート!X72</f>
        <v>管轄運輸局を入力してください。</v>
      </c>
      <c r="AX23" s="41" t="str">
        <f ca="1">中間シート!X73</f>
        <v>事業場名を入力してください。</v>
      </c>
      <c r="AY23" s="42" t="str">
        <f ca="1">中間シート!X74</f>
        <v>郵便番号を入力してください。</v>
      </c>
      <c r="AZ23" s="41" t="str">
        <f ca="1">中間シート!X75</f>
        <v>都道府県を選択してください。</v>
      </c>
      <c r="BA23" s="42" t="str">
        <f ca="1">中間シート!X76</f>
        <v>市区町村を入力してください。</v>
      </c>
      <c r="BB23" s="41" t="str">
        <f ca="1">中間シート!X77</f>
        <v>町名地番を入力してください。</v>
      </c>
    </row>
    <row r="24" spans="2:54" s="41" customFormat="1" ht="5.0999999999999996" customHeight="1" thickBot="1" x14ac:dyDescent="0.2">
      <c r="C24" s="51"/>
      <c r="D24" s="52"/>
      <c r="E24" s="55"/>
      <c r="F24" s="372"/>
      <c r="G24" s="372"/>
      <c r="H24" s="372"/>
      <c r="I24" s="254"/>
      <c r="J24" s="122"/>
      <c r="K24" s="122"/>
      <c r="L24" s="122"/>
      <c r="M24" s="120"/>
      <c r="N24" s="122"/>
      <c r="O24" s="122"/>
      <c r="P24" s="122"/>
      <c r="Q24" s="119"/>
      <c r="R24" s="122"/>
      <c r="S24" s="122"/>
      <c r="T24" s="122"/>
      <c r="U24" s="122"/>
      <c r="V24" s="122"/>
      <c r="W24" s="120"/>
      <c r="X24" s="125"/>
      <c r="Y24" s="121"/>
      <c r="Z24" s="125"/>
      <c r="AA24" s="119"/>
      <c r="AB24" s="122"/>
      <c r="AC24" s="120"/>
      <c r="AD24" s="122"/>
      <c r="AE24" s="122"/>
      <c r="AF24" s="122"/>
      <c r="AG24" s="119"/>
      <c r="AH24" s="122"/>
      <c r="AI24" s="122"/>
      <c r="AJ24" s="122"/>
      <c r="AK24" s="120"/>
      <c r="AL24" s="122"/>
      <c r="AM24" s="122"/>
      <c r="AN24" s="122"/>
      <c r="AO24" s="52"/>
      <c r="AQ24" s="86"/>
      <c r="AR24" s="86"/>
      <c r="AS24" s="86"/>
      <c r="AT24" s="228"/>
    </row>
    <row r="25" spans="2:54" ht="18" customHeight="1" thickBot="1" x14ac:dyDescent="0.2">
      <c r="B25" s="42">
        <v>3</v>
      </c>
      <c r="C25" s="49"/>
      <c r="D25" s="52" t="s">
        <v>158</v>
      </c>
      <c r="E25" s="50"/>
      <c r="F25" s="371"/>
      <c r="G25" s="371"/>
      <c r="H25" s="371"/>
      <c r="I25" s="254"/>
      <c r="J25" s="374"/>
      <c r="K25" s="375"/>
      <c r="L25" s="376"/>
      <c r="M25" s="120"/>
      <c r="N25" s="369"/>
      <c r="O25" s="369"/>
      <c r="P25" s="369"/>
      <c r="Q25" s="119"/>
      <c r="R25" s="369"/>
      <c r="S25" s="369"/>
      <c r="T25" s="369"/>
      <c r="U25" s="369"/>
      <c r="V25" s="369"/>
      <c r="W25" s="120"/>
      <c r="X25" s="123"/>
      <c r="Y25" s="121" t="s">
        <v>156</v>
      </c>
      <c r="Z25" s="123"/>
      <c r="AA25" s="119"/>
      <c r="AB25" s="124"/>
      <c r="AC25" s="120"/>
      <c r="AD25" s="369"/>
      <c r="AE25" s="369"/>
      <c r="AF25" s="369"/>
      <c r="AG25" s="119"/>
      <c r="AH25" s="369"/>
      <c r="AI25" s="369"/>
      <c r="AJ25" s="369"/>
      <c r="AK25" s="120"/>
      <c r="AL25" s="369"/>
      <c r="AM25" s="369"/>
      <c r="AN25" s="369"/>
      <c r="AO25" s="49"/>
      <c r="AQ25" s="86"/>
      <c r="AR25" s="86"/>
      <c r="AS25" s="86"/>
      <c r="AT25" s="228" t="str">
        <f>IF($B25&lt;=入力シート!$F$85,IF(AU25&lt;&gt;"OK",AU25,IF(AV25&lt;&gt;"OK",AV25,IF(AW25&lt;&gt;"OK",AW25,IF(AX25&lt;&gt;"OK",AX25,IF(AY25&lt;&gt;"OK",AY25,IF(AZ25&lt;&gt;"OK",AZ25,IF(BA25&lt;&gt;"OK",BA25,BB25))))))),"")</f>
        <v/>
      </c>
      <c r="AU25" s="42" t="str">
        <f ca="1">中間シート!X79</f>
        <v>書類の種類を選択してください。</v>
      </c>
      <c r="AV25" s="41" t="str">
        <f ca="1">中間シート!X80</f>
        <v>認証・指定・認定番号または、整備士合格証書番号を入力してください。</v>
      </c>
      <c r="AW25" s="42" t="str">
        <f ca="1">中間シート!X81</f>
        <v>管轄運輸局を入力してください。</v>
      </c>
      <c r="AX25" s="41" t="str">
        <f ca="1">中間シート!X82</f>
        <v>事業場名を入力してください。</v>
      </c>
      <c r="AY25" s="42" t="str">
        <f ca="1">中間シート!X83</f>
        <v>郵便番号を入力してください。</v>
      </c>
      <c r="AZ25" s="41" t="str">
        <f ca="1">中間シート!X84</f>
        <v>都道府県を選択してください。</v>
      </c>
      <c r="BA25" s="42" t="str">
        <f ca="1">中間シート!X85</f>
        <v>市区町村を入力してください。</v>
      </c>
      <c r="BB25" s="41" t="str">
        <f ca="1">中間シート!X86</f>
        <v>町名地番を入力してください。</v>
      </c>
    </row>
    <row r="26" spans="2:54" s="41" customFormat="1" ht="5.0999999999999996" customHeight="1" thickBot="1" x14ac:dyDescent="0.2">
      <c r="C26" s="51"/>
      <c r="D26" s="52"/>
      <c r="E26" s="55"/>
      <c r="F26" s="380"/>
      <c r="G26" s="380"/>
      <c r="H26" s="380"/>
      <c r="I26" s="254"/>
      <c r="J26" s="122"/>
      <c r="K26" s="122"/>
      <c r="L26" s="122"/>
      <c r="M26" s="120"/>
      <c r="N26" s="122"/>
      <c r="O26" s="122"/>
      <c r="P26" s="122"/>
      <c r="Q26" s="119"/>
      <c r="R26" s="122"/>
      <c r="S26" s="122"/>
      <c r="T26" s="122"/>
      <c r="U26" s="122"/>
      <c r="V26" s="122"/>
      <c r="W26" s="120"/>
      <c r="X26" s="125"/>
      <c r="Y26" s="121"/>
      <c r="Z26" s="125"/>
      <c r="AA26" s="119"/>
      <c r="AB26" s="122"/>
      <c r="AC26" s="120"/>
      <c r="AD26" s="122"/>
      <c r="AE26" s="122"/>
      <c r="AF26" s="122"/>
      <c r="AG26" s="119"/>
      <c r="AH26" s="122"/>
      <c r="AI26" s="122"/>
      <c r="AJ26" s="122"/>
      <c r="AK26" s="120"/>
      <c r="AL26" s="122"/>
      <c r="AM26" s="122"/>
      <c r="AN26" s="122"/>
      <c r="AO26" s="52"/>
      <c r="AQ26" s="86"/>
      <c r="AR26" s="86"/>
      <c r="AS26" s="86"/>
      <c r="AT26" s="228"/>
    </row>
    <row r="27" spans="2:54" ht="18" customHeight="1" thickBot="1" x14ac:dyDescent="0.2">
      <c r="B27" s="42">
        <v>4</v>
      </c>
      <c r="C27" s="49"/>
      <c r="D27" s="52" t="s">
        <v>159</v>
      </c>
      <c r="E27" s="50"/>
      <c r="F27" s="371"/>
      <c r="G27" s="371"/>
      <c r="H27" s="371"/>
      <c r="I27" s="254"/>
      <c r="J27" s="374"/>
      <c r="K27" s="375"/>
      <c r="L27" s="376"/>
      <c r="M27" s="120"/>
      <c r="N27" s="369"/>
      <c r="O27" s="369"/>
      <c r="P27" s="369"/>
      <c r="Q27" s="119"/>
      <c r="R27" s="369"/>
      <c r="S27" s="369"/>
      <c r="T27" s="369"/>
      <c r="U27" s="369"/>
      <c r="V27" s="369"/>
      <c r="W27" s="120"/>
      <c r="X27" s="123"/>
      <c r="Y27" s="121" t="s">
        <v>156</v>
      </c>
      <c r="Z27" s="123"/>
      <c r="AA27" s="119"/>
      <c r="AB27" s="124"/>
      <c r="AC27" s="120"/>
      <c r="AD27" s="369"/>
      <c r="AE27" s="369"/>
      <c r="AF27" s="369"/>
      <c r="AG27" s="119"/>
      <c r="AH27" s="369"/>
      <c r="AI27" s="369"/>
      <c r="AJ27" s="369"/>
      <c r="AK27" s="120"/>
      <c r="AL27" s="369"/>
      <c r="AM27" s="369"/>
      <c r="AN27" s="369"/>
      <c r="AO27" s="49"/>
      <c r="AQ27" s="86"/>
      <c r="AR27" s="86"/>
      <c r="AS27" s="86"/>
      <c r="AT27" s="228" t="str">
        <f>IF($B27&lt;=入力シート!$F$85,IF(AU27&lt;&gt;"OK",AU27,IF(AV27&lt;&gt;"OK",AV27,IF(AW27&lt;&gt;"OK",AW27,IF(AX27&lt;&gt;"OK",AX27,IF(AY27&lt;&gt;"OK",AY27,IF(AZ27&lt;&gt;"OK",AZ27,IF(BA27&lt;&gt;"OK",BA27,BB27))))))),"")</f>
        <v/>
      </c>
      <c r="AU27" s="42" t="str">
        <f ca="1">中間シート!X88</f>
        <v>書類の種類を選択してください。</v>
      </c>
      <c r="AV27" s="41" t="str">
        <f ca="1">中間シート!X89</f>
        <v>認証・指定・認定番号または、整備士合格証書番号を入力してください。</v>
      </c>
      <c r="AW27" s="42" t="str">
        <f ca="1">中間シート!X90</f>
        <v>管轄運輸局を入力してください。</v>
      </c>
      <c r="AX27" s="41" t="str">
        <f ca="1">中間シート!X91</f>
        <v>事業場名を入力してください。</v>
      </c>
      <c r="AY27" s="42" t="str">
        <f ca="1">中間シート!X92</f>
        <v>郵便番号を入力してください。</v>
      </c>
      <c r="AZ27" s="41" t="str">
        <f ca="1">中間シート!X93</f>
        <v>都道府県を選択してください。</v>
      </c>
      <c r="BA27" s="42" t="str">
        <f ca="1">中間シート!X94</f>
        <v>市区町村を入力してください。</v>
      </c>
      <c r="BB27" s="41" t="str">
        <f ca="1">中間シート!X95</f>
        <v>町名地番を入力してください。</v>
      </c>
    </row>
    <row r="28" spans="2:54" s="41" customFormat="1" ht="5.0999999999999996" customHeight="1" thickBot="1" x14ac:dyDescent="0.2">
      <c r="C28" s="51"/>
      <c r="D28" s="52"/>
      <c r="E28" s="55"/>
      <c r="F28" s="380"/>
      <c r="G28" s="380"/>
      <c r="H28" s="380"/>
      <c r="I28" s="254"/>
      <c r="J28" s="122"/>
      <c r="K28" s="122"/>
      <c r="L28" s="122"/>
      <c r="M28" s="120"/>
      <c r="N28" s="122"/>
      <c r="O28" s="122"/>
      <c r="P28" s="122"/>
      <c r="Q28" s="119"/>
      <c r="R28" s="122"/>
      <c r="S28" s="122"/>
      <c r="T28" s="122"/>
      <c r="U28" s="122"/>
      <c r="V28" s="122"/>
      <c r="W28" s="120"/>
      <c r="X28" s="125"/>
      <c r="Y28" s="121"/>
      <c r="Z28" s="125"/>
      <c r="AA28" s="119"/>
      <c r="AB28" s="122"/>
      <c r="AC28" s="120"/>
      <c r="AD28" s="122"/>
      <c r="AE28" s="122"/>
      <c r="AF28" s="122"/>
      <c r="AG28" s="119"/>
      <c r="AH28" s="122"/>
      <c r="AI28" s="122"/>
      <c r="AJ28" s="122"/>
      <c r="AK28" s="120"/>
      <c r="AL28" s="122"/>
      <c r="AM28" s="122"/>
      <c r="AN28" s="122"/>
      <c r="AO28" s="52"/>
      <c r="AQ28" s="86"/>
      <c r="AR28" s="86"/>
      <c r="AS28" s="86"/>
      <c r="AT28" s="228"/>
    </row>
    <row r="29" spans="2:54" ht="18" customHeight="1" thickBot="1" x14ac:dyDescent="0.2">
      <c r="B29" s="42">
        <v>5</v>
      </c>
      <c r="C29" s="49"/>
      <c r="D29" s="52" t="s">
        <v>160</v>
      </c>
      <c r="E29" s="50"/>
      <c r="F29" s="371"/>
      <c r="G29" s="371"/>
      <c r="H29" s="371"/>
      <c r="I29" s="254"/>
      <c r="J29" s="374"/>
      <c r="K29" s="375"/>
      <c r="L29" s="376"/>
      <c r="M29" s="120"/>
      <c r="N29" s="369"/>
      <c r="O29" s="369"/>
      <c r="P29" s="369"/>
      <c r="Q29" s="119"/>
      <c r="R29" s="369"/>
      <c r="S29" s="369"/>
      <c r="T29" s="369"/>
      <c r="U29" s="369"/>
      <c r="V29" s="369"/>
      <c r="W29" s="120"/>
      <c r="X29" s="123"/>
      <c r="Y29" s="121" t="s">
        <v>156</v>
      </c>
      <c r="Z29" s="123"/>
      <c r="AA29" s="119"/>
      <c r="AB29" s="124"/>
      <c r="AC29" s="120"/>
      <c r="AD29" s="369"/>
      <c r="AE29" s="369"/>
      <c r="AF29" s="369"/>
      <c r="AG29" s="119"/>
      <c r="AH29" s="369"/>
      <c r="AI29" s="369"/>
      <c r="AJ29" s="369"/>
      <c r="AK29" s="120"/>
      <c r="AL29" s="369"/>
      <c r="AM29" s="369"/>
      <c r="AN29" s="369"/>
      <c r="AO29" s="49"/>
      <c r="AQ29" s="86"/>
      <c r="AR29" s="86"/>
      <c r="AS29" s="86"/>
      <c r="AT29" s="228" t="str">
        <f>IF($B29&lt;=入力シート!$F$85,IF(AU29&lt;&gt;"OK",AU29,IF(AV29&lt;&gt;"OK",AV29,IF(AW29&lt;&gt;"OK",AW29,IF(AX29&lt;&gt;"OK",AX29,IF(AY29&lt;&gt;"OK",AY29,IF(AZ29&lt;&gt;"OK",AZ29,IF(BA29&lt;&gt;"OK",BA29,BB29))))))),"")</f>
        <v/>
      </c>
      <c r="AU29" s="42" t="str">
        <f ca="1">中間シート!X97</f>
        <v>書類の種類を選択してください。</v>
      </c>
      <c r="AV29" s="41" t="str">
        <f ca="1">中間シート!X98</f>
        <v>認証・指定・認定番号または、整備士合格証書番号を入力してください。</v>
      </c>
      <c r="AW29" s="42" t="str">
        <f ca="1">中間シート!X99</f>
        <v>管轄運輸局を入力してください。</v>
      </c>
      <c r="AX29" s="41" t="str">
        <f ca="1">中間シート!X100</f>
        <v>事業場名を入力してください。</v>
      </c>
      <c r="AY29" s="42" t="str">
        <f ca="1">中間シート!X101</f>
        <v>郵便番号を入力してください。</v>
      </c>
      <c r="AZ29" s="41" t="str">
        <f ca="1">中間シート!X102</f>
        <v>都道府県を選択してください。</v>
      </c>
      <c r="BA29" s="42" t="str">
        <f ca="1">中間シート!X103</f>
        <v>市区町村を入力してください。</v>
      </c>
      <c r="BB29" s="41" t="str">
        <f ca="1">中間シート!X104</f>
        <v>町名地番を入力してください。</v>
      </c>
    </row>
    <row r="30" spans="2:54" s="41" customFormat="1" ht="5.0999999999999996" customHeight="1" thickBot="1" x14ac:dyDescent="0.2">
      <c r="C30" s="51"/>
      <c r="D30" s="52"/>
      <c r="E30" s="55"/>
      <c r="F30" s="380"/>
      <c r="G30" s="380"/>
      <c r="H30" s="380"/>
      <c r="I30" s="254"/>
      <c r="J30" s="122"/>
      <c r="K30" s="122"/>
      <c r="L30" s="122"/>
      <c r="M30" s="120"/>
      <c r="N30" s="122"/>
      <c r="O30" s="122"/>
      <c r="P30" s="122"/>
      <c r="Q30" s="119"/>
      <c r="R30" s="122"/>
      <c r="S30" s="122"/>
      <c r="T30" s="122"/>
      <c r="U30" s="122"/>
      <c r="V30" s="122"/>
      <c r="W30" s="120"/>
      <c r="X30" s="125"/>
      <c r="Y30" s="121"/>
      <c r="Z30" s="125"/>
      <c r="AA30" s="119"/>
      <c r="AB30" s="122"/>
      <c r="AC30" s="120"/>
      <c r="AD30" s="122"/>
      <c r="AE30" s="122"/>
      <c r="AF30" s="122"/>
      <c r="AG30" s="119"/>
      <c r="AH30" s="122"/>
      <c r="AI30" s="122"/>
      <c r="AJ30" s="122"/>
      <c r="AK30" s="120"/>
      <c r="AL30" s="122"/>
      <c r="AM30" s="122"/>
      <c r="AN30" s="122"/>
      <c r="AO30" s="52"/>
      <c r="AQ30" s="86"/>
      <c r="AR30" s="86"/>
      <c r="AS30" s="86"/>
      <c r="AT30" s="228"/>
    </row>
    <row r="31" spans="2:54" ht="18" customHeight="1" thickBot="1" x14ac:dyDescent="0.2">
      <c r="B31" s="42">
        <v>6</v>
      </c>
      <c r="C31" s="49"/>
      <c r="D31" s="52" t="s">
        <v>161</v>
      </c>
      <c r="E31" s="50"/>
      <c r="F31" s="371"/>
      <c r="G31" s="371"/>
      <c r="H31" s="371"/>
      <c r="I31" s="254"/>
      <c r="J31" s="374"/>
      <c r="K31" s="375"/>
      <c r="L31" s="376"/>
      <c r="M31" s="120"/>
      <c r="N31" s="369"/>
      <c r="O31" s="369"/>
      <c r="P31" s="369"/>
      <c r="Q31" s="119"/>
      <c r="R31" s="369"/>
      <c r="S31" s="369"/>
      <c r="T31" s="369"/>
      <c r="U31" s="369"/>
      <c r="V31" s="369"/>
      <c r="W31" s="120"/>
      <c r="X31" s="123"/>
      <c r="Y31" s="121" t="s">
        <v>156</v>
      </c>
      <c r="Z31" s="123"/>
      <c r="AA31" s="119"/>
      <c r="AB31" s="124"/>
      <c r="AC31" s="120"/>
      <c r="AD31" s="369"/>
      <c r="AE31" s="369"/>
      <c r="AF31" s="369"/>
      <c r="AG31" s="119"/>
      <c r="AH31" s="369"/>
      <c r="AI31" s="369"/>
      <c r="AJ31" s="369"/>
      <c r="AK31" s="120"/>
      <c r="AL31" s="369"/>
      <c r="AM31" s="369"/>
      <c r="AN31" s="369"/>
      <c r="AO31" s="49"/>
      <c r="AQ31" s="86"/>
      <c r="AR31" s="86"/>
      <c r="AS31" s="86"/>
      <c r="AT31" s="228" t="str">
        <f>IF($B31&lt;=入力シート!$F$85,IF(AU31&lt;&gt;"OK",AU31,IF(AV31&lt;&gt;"OK",AV31,IF(AW31&lt;&gt;"OK",AW31,IF(AX31&lt;&gt;"OK",AX31,IF(AY31&lt;&gt;"OK",AY31,IF(AZ31&lt;&gt;"OK",AZ31,IF(BA31&lt;&gt;"OK",BA31,BB31))))))),"")</f>
        <v/>
      </c>
      <c r="AU31" s="42" t="str">
        <f ca="1">中間シート!X106</f>
        <v>書類の種類を選択してください。</v>
      </c>
      <c r="AV31" s="41" t="str">
        <f ca="1">中間シート!X107</f>
        <v>認証・指定・認定番号または、整備士合格証書番号を入力してください。</v>
      </c>
      <c r="AW31" s="42" t="str">
        <f ca="1">中間シート!X108</f>
        <v>管轄運輸局を入力してください。</v>
      </c>
      <c r="AX31" s="41" t="str">
        <f ca="1">中間シート!X109</f>
        <v>事業場名を入力してください。</v>
      </c>
      <c r="AY31" s="118" t="str">
        <f ca="1">中間シート!X110</f>
        <v>郵便番号を入力してください。</v>
      </c>
      <c r="AZ31" s="41" t="str">
        <f ca="1">中間シート!X111</f>
        <v>都道府県を選択してください。</v>
      </c>
      <c r="BA31" s="42" t="str">
        <f ca="1">中間シート!X112</f>
        <v>市区町村を入力してください。</v>
      </c>
      <c r="BB31" s="41" t="str">
        <f ca="1">中間シート!X113</f>
        <v>町名地番を入力してください。</v>
      </c>
    </row>
    <row r="32" spans="2:54" s="41" customFormat="1" ht="5.0999999999999996" customHeight="1" thickBot="1" x14ac:dyDescent="0.2">
      <c r="C32" s="51"/>
      <c r="D32" s="52"/>
      <c r="E32" s="55"/>
      <c r="F32" s="380"/>
      <c r="G32" s="380"/>
      <c r="H32" s="380"/>
      <c r="I32" s="254"/>
      <c r="J32" s="122"/>
      <c r="K32" s="122"/>
      <c r="L32" s="122"/>
      <c r="M32" s="120"/>
      <c r="N32" s="122"/>
      <c r="O32" s="122"/>
      <c r="P32" s="122"/>
      <c r="Q32" s="119"/>
      <c r="R32" s="122"/>
      <c r="S32" s="122"/>
      <c r="T32" s="122"/>
      <c r="U32" s="122"/>
      <c r="V32" s="122"/>
      <c r="W32" s="120"/>
      <c r="X32" s="125"/>
      <c r="Y32" s="121"/>
      <c r="Z32" s="125"/>
      <c r="AA32" s="119"/>
      <c r="AB32" s="122"/>
      <c r="AC32" s="120"/>
      <c r="AD32" s="122"/>
      <c r="AE32" s="122"/>
      <c r="AF32" s="122"/>
      <c r="AG32" s="119"/>
      <c r="AH32" s="122"/>
      <c r="AI32" s="122"/>
      <c r="AJ32" s="122"/>
      <c r="AK32" s="120"/>
      <c r="AL32" s="122"/>
      <c r="AM32" s="122"/>
      <c r="AN32" s="122"/>
      <c r="AO32" s="52"/>
      <c r="AQ32" s="86"/>
      <c r="AR32" s="86"/>
      <c r="AS32" s="86"/>
      <c r="AT32" s="228"/>
    </row>
    <row r="33" spans="2:55" ht="18" customHeight="1" thickBot="1" x14ac:dyDescent="0.2">
      <c r="B33" s="42">
        <v>7</v>
      </c>
      <c r="C33" s="49"/>
      <c r="D33" s="52" t="s">
        <v>162</v>
      </c>
      <c r="E33" s="50"/>
      <c r="F33" s="371"/>
      <c r="G33" s="371"/>
      <c r="H33" s="371"/>
      <c r="I33" s="254"/>
      <c r="J33" s="374"/>
      <c r="K33" s="375"/>
      <c r="L33" s="376"/>
      <c r="M33" s="120"/>
      <c r="N33" s="369"/>
      <c r="O33" s="369"/>
      <c r="P33" s="369"/>
      <c r="Q33" s="119"/>
      <c r="R33" s="369"/>
      <c r="S33" s="369"/>
      <c r="T33" s="369"/>
      <c r="U33" s="369"/>
      <c r="V33" s="369"/>
      <c r="W33" s="120"/>
      <c r="X33" s="123"/>
      <c r="Y33" s="121" t="s">
        <v>156</v>
      </c>
      <c r="Z33" s="123"/>
      <c r="AA33" s="119"/>
      <c r="AB33" s="124"/>
      <c r="AC33" s="120"/>
      <c r="AD33" s="369"/>
      <c r="AE33" s="369"/>
      <c r="AF33" s="369"/>
      <c r="AG33" s="119"/>
      <c r="AH33" s="369"/>
      <c r="AI33" s="369"/>
      <c r="AJ33" s="369"/>
      <c r="AK33" s="120"/>
      <c r="AL33" s="369"/>
      <c r="AM33" s="369"/>
      <c r="AN33" s="369"/>
      <c r="AO33" s="49"/>
      <c r="AQ33" s="86"/>
      <c r="AR33" s="86"/>
      <c r="AS33" s="86"/>
      <c r="AT33" s="228" t="str">
        <f>IF($B33&lt;=入力シート!$F$85,IF(AU33&lt;&gt;"OK",AU33,IF(AV33&lt;&gt;"OK",AV33,IF(AW33&lt;&gt;"OK",AW33,IF(AX33&lt;&gt;"OK",AX33,IF(AY33&lt;&gt;"OK",AY33,IF(AZ33&lt;&gt;"OK",AZ33,IF(BA33&lt;&gt;"OK",BA33,BB33))))))),"")</f>
        <v/>
      </c>
      <c r="AU33" s="42" t="str">
        <f ca="1">中間シート!X115</f>
        <v>書類の種類を選択してください。</v>
      </c>
      <c r="AV33" s="41" t="str">
        <f ca="1">中間シート!X116</f>
        <v>認証・指定・認定番号または、整備士合格証書番号を入力してください。</v>
      </c>
      <c r="AW33" s="118" t="str">
        <f ca="1">中間シート!X117</f>
        <v>管轄運輸局を入力してください。</v>
      </c>
      <c r="AX33" s="41" t="str">
        <f ca="1">中間シート!X118</f>
        <v>事業場名を入力してください。</v>
      </c>
      <c r="AY33" s="42" t="str">
        <f ca="1">中間シート!X119</f>
        <v>郵便番号を入力してください。</v>
      </c>
      <c r="AZ33" s="41" t="str">
        <f ca="1">中間シート!X120</f>
        <v>都道府県を選択してください。</v>
      </c>
      <c r="BA33" s="42" t="str">
        <f ca="1">中間シート!X121</f>
        <v>市区町村を入力してください。</v>
      </c>
      <c r="BB33" s="41" t="str">
        <f ca="1">中間シート!X122</f>
        <v>町名地番を入力してください。</v>
      </c>
    </row>
    <row r="34" spans="2:55" s="41" customFormat="1" ht="5.0999999999999996" customHeight="1" thickBot="1" x14ac:dyDescent="0.2">
      <c r="C34" s="51"/>
      <c r="D34" s="52"/>
      <c r="E34" s="55"/>
      <c r="F34" s="380"/>
      <c r="G34" s="380"/>
      <c r="H34" s="380"/>
      <c r="I34" s="254"/>
      <c r="J34" s="122"/>
      <c r="K34" s="122"/>
      <c r="L34" s="122"/>
      <c r="M34" s="120"/>
      <c r="N34" s="122"/>
      <c r="O34" s="122"/>
      <c r="P34" s="122"/>
      <c r="Q34" s="119"/>
      <c r="R34" s="122"/>
      <c r="S34" s="122"/>
      <c r="T34" s="122"/>
      <c r="U34" s="122"/>
      <c r="V34" s="122"/>
      <c r="W34" s="120"/>
      <c r="X34" s="125"/>
      <c r="Y34" s="121"/>
      <c r="Z34" s="125"/>
      <c r="AA34" s="119"/>
      <c r="AB34" s="122"/>
      <c r="AC34" s="120"/>
      <c r="AD34" s="122"/>
      <c r="AE34" s="122"/>
      <c r="AF34" s="122"/>
      <c r="AG34" s="119"/>
      <c r="AH34" s="122"/>
      <c r="AI34" s="122"/>
      <c r="AJ34" s="122"/>
      <c r="AK34" s="120"/>
      <c r="AL34" s="122"/>
      <c r="AM34" s="122"/>
      <c r="AN34" s="122"/>
      <c r="AO34" s="52"/>
      <c r="AQ34" s="86"/>
      <c r="AR34" s="86"/>
      <c r="AS34" s="86"/>
      <c r="AT34" s="228"/>
    </row>
    <row r="35" spans="2:55" s="45" customFormat="1" ht="18" customHeight="1" thickBot="1" x14ac:dyDescent="0.2">
      <c r="B35" s="45">
        <v>8</v>
      </c>
      <c r="C35" s="49"/>
      <c r="D35" s="52" t="s">
        <v>163</v>
      </c>
      <c r="E35" s="56"/>
      <c r="F35" s="371"/>
      <c r="G35" s="371"/>
      <c r="H35" s="371"/>
      <c r="I35" s="254"/>
      <c r="J35" s="374"/>
      <c r="K35" s="375"/>
      <c r="L35" s="376"/>
      <c r="M35" s="120"/>
      <c r="N35" s="369"/>
      <c r="O35" s="369"/>
      <c r="P35" s="369"/>
      <c r="Q35" s="119"/>
      <c r="R35" s="369"/>
      <c r="S35" s="369"/>
      <c r="T35" s="369"/>
      <c r="U35" s="369"/>
      <c r="V35" s="369"/>
      <c r="W35" s="120"/>
      <c r="X35" s="123"/>
      <c r="Y35" s="121" t="s">
        <v>156</v>
      </c>
      <c r="Z35" s="123"/>
      <c r="AA35" s="119"/>
      <c r="AB35" s="124"/>
      <c r="AC35" s="120"/>
      <c r="AD35" s="369"/>
      <c r="AE35" s="369"/>
      <c r="AF35" s="369"/>
      <c r="AG35" s="119"/>
      <c r="AH35" s="369"/>
      <c r="AI35" s="369"/>
      <c r="AJ35" s="369"/>
      <c r="AK35" s="120"/>
      <c r="AL35" s="369"/>
      <c r="AM35" s="369"/>
      <c r="AN35" s="369"/>
      <c r="AO35" s="53"/>
      <c r="AQ35" s="86"/>
      <c r="AR35" s="86"/>
      <c r="AS35" s="86"/>
      <c r="AT35" s="228" t="str">
        <f>IF($B35&lt;=入力シート!$F$85,IF(AU35&lt;&gt;"OK",AU35,IF(AV35&lt;&gt;"OK",AV35,IF(AW35&lt;&gt;"OK",AW35,IF(AX35&lt;&gt;"OK",AX35,IF(AY35&lt;&gt;"OK",AY35,IF(AZ35&lt;&gt;"OK",AZ35,IF(BA35&lt;&gt;"OK",BA35,BB35))))))),"")</f>
        <v/>
      </c>
      <c r="AU35" s="118" t="str">
        <f ca="1">中間シート!X124</f>
        <v>書類の種類を選択してください。</v>
      </c>
      <c r="AV35" s="41" t="str">
        <f ca="1">中間シート!X125</f>
        <v>認証・指定・認定番号または、整備士合格証書番号を入力してください。</v>
      </c>
      <c r="AW35" s="42" t="str">
        <f ca="1">中間シート!X126</f>
        <v>管轄運輸局を入力してください。</v>
      </c>
      <c r="AX35" s="41" t="str">
        <f ca="1">中間シート!X127</f>
        <v>事業場名を入力してください。</v>
      </c>
      <c r="AY35" s="42" t="str">
        <f ca="1">中間シート!X128</f>
        <v>郵便番号を入力してください。</v>
      </c>
      <c r="AZ35" s="41" t="str">
        <f ca="1">中間シート!X129</f>
        <v>都道府県を選択してください。</v>
      </c>
      <c r="BA35" s="42" t="str">
        <f ca="1">中間シート!X130</f>
        <v>市区町村を入力してください。</v>
      </c>
      <c r="BB35" s="41" t="str">
        <f ca="1">中間シート!X131</f>
        <v>町名地番を入力してください。</v>
      </c>
      <c r="BC35" s="118"/>
    </row>
    <row r="36" spans="2:55" s="41" customFormat="1" ht="5.0999999999999996" customHeight="1" thickBot="1" x14ac:dyDescent="0.2">
      <c r="C36" s="51"/>
      <c r="D36" s="52"/>
      <c r="E36" s="55"/>
      <c r="F36" s="380"/>
      <c r="G36" s="380"/>
      <c r="H36" s="380"/>
      <c r="I36" s="254"/>
      <c r="J36" s="122"/>
      <c r="K36" s="122"/>
      <c r="L36" s="122"/>
      <c r="M36" s="120"/>
      <c r="N36" s="122"/>
      <c r="O36" s="122"/>
      <c r="P36" s="122"/>
      <c r="Q36" s="119"/>
      <c r="R36" s="122"/>
      <c r="S36" s="122"/>
      <c r="T36" s="122"/>
      <c r="U36" s="122"/>
      <c r="V36" s="122"/>
      <c r="W36" s="120"/>
      <c r="X36" s="125"/>
      <c r="Y36" s="121"/>
      <c r="Z36" s="125"/>
      <c r="AA36" s="119"/>
      <c r="AB36" s="122"/>
      <c r="AC36" s="120"/>
      <c r="AD36" s="122"/>
      <c r="AE36" s="122"/>
      <c r="AF36" s="122"/>
      <c r="AG36" s="119"/>
      <c r="AH36" s="122"/>
      <c r="AI36" s="122"/>
      <c r="AJ36" s="122"/>
      <c r="AK36" s="120"/>
      <c r="AL36" s="122"/>
      <c r="AM36" s="122"/>
      <c r="AN36" s="122"/>
      <c r="AO36" s="52"/>
      <c r="AQ36" s="86"/>
      <c r="AR36" s="86"/>
      <c r="AS36" s="86"/>
      <c r="AT36" s="228"/>
    </row>
    <row r="37" spans="2:55" ht="18" customHeight="1" thickBot="1" x14ac:dyDescent="0.2">
      <c r="B37" s="42">
        <v>9</v>
      </c>
      <c r="C37" s="49"/>
      <c r="D37" s="52" t="s">
        <v>164</v>
      </c>
      <c r="E37" s="50"/>
      <c r="F37" s="371"/>
      <c r="G37" s="371"/>
      <c r="H37" s="371"/>
      <c r="I37" s="254"/>
      <c r="J37" s="374"/>
      <c r="K37" s="375"/>
      <c r="L37" s="376"/>
      <c r="M37" s="120"/>
      <c r="N37" s="369"/>
      <c r="O37" s="369"/>
      <c r="P37" s="369"/>
      <c r="Q37" s="119"/>
      <c r="R37" s="369"/>
      <c r="S37" s="369"/>
      <c r="T37" s="369"/>
      <c r="U37" s="369"/>
      <c r="V37" s="369"/>
      <c r="W37" s="120"/>
      <c r="X37" s="123"/>
      <c r="Y37" s="121" t="s">
        <v>156</v>
      </c>
      <c r="Z37" s="123"/>
      <c r="AA37" s="119"/>
      <c r="AB37" s="124"/>
      <c r="AC37" s="120"/>
      <c r="AD37" s="369"/>
      <c r="AE37" s="369"/>
      <c r="AF37" s="369"/>
      <c r="AG37" s="119"/>
      <c r="AH37" s="369"/>
      <c r="AI37" s="369"/>
      <c r="AJ37" s="369"/>
      <c r="AK37" s="120"/>
      <c r="AL37" s="369"/>
      <c r="AM37" s="369"/>
      <c r="AN37" s="369"/>
      <c r="AO37" s="49"/>
      <c r="AQ37" s="86"/>
      <c r="AR37" s="86"/>
      <c r="AS37" s="86"/>
      <c r="AT37" s="228" t="str">
        <f>IF($B37&lt;=入力シート!$F$85,IF(AU37&lt;&gt;"OK",AU37,IF(AV37&lt;&gt;"OK",AV37,IF(AW37&lt;&gt;"OK",AW37,IF(AX37&lt;&gt;"OK",AX37,IF(AY37&lt;&gt;"OK",AY37,IF(AZ37&lt;&gt;"OK",AZ37,IF(BA37&lt;&gt;"OK",BA37,BB37))))))),"")</f>
        <v/>
      </c>
      <c r="AU37" s="42" t="str">
        <f ca="1">中間シート!X133</f>
        <v>書類の種類を選択してください。</v>
      </c>
      <c r="AV37" s="41" t="str">
        <f ca="1">中間シート!X134</f>
        <v>認証・指定・認定番号または、整備士合格証書番号を入力してください。</v>
      </c>
      <c r="AW37" s="42" t="str">
        <f ca="1">中間シート!X135</f>
        <v>管轄運輸局を入力してください。</v>
      </c>
      <c r="AX37" s="41" t="str">
        <f ca="1">中間シート!X136</f>
        <v>事業場名を入力してください。</v>
      </c>
      <c r="AY37" s="42" t="str">
        <f ca="1">中間シート!X137</f>
        <v>郵便番号を入力してください。</v>
      </c>
      <c r="AZ37" s="41" t="str">
        <f ca="1">中間シート!X138</f>
        <v>都道府県を選択してください。</v>
      </c>
      <c r="BA37" s="42" t="str">
        <f ca="1">中間シート!X139</f>
        <v>市区町村を入力してください。</v>
      </c>
      <c r="BB37" s="41" t="str">
        <f ca="1">中間シート!X140</f>
        <v>町名地番を入力してください。</v>
      </c>
    </row>
    <row r="38" spans="2:55" s="41" customFormat="1" ht="5.0999999999999996" customHeight="1" thickBot="1" x14ac:dyDescent="0.2">
      <c r="C38" s="51"/>
      <c r="D38" s="52"/>
      <c r="E38" s="55"/>
      <c r="F38" s="380"/>
      <c r="G38" s="380"/>
      <c r="H38" s="380"/>
      <c r="I38" s="254"/>
      <c r="J38" s="122"/>
      <c r="K38" s="122"/>
      <c r="L38" s="122"/>
      <c r="M38" s="120"/>
      <c r="N38" s="122"/>
      <c r="O38" s="122"/>
      <c r="P38" s="122"/>
      <c r="Q38" s="119"/>
      <c r="R38" s="122"/>
      <c r="S38" s="122"/>
      <c r="T38" s="122"/>
      <c r="U38" s="122"/>
      <c r="V38" s="122"/>
      <c r="W38" s="120"/>
      <c r="X38" s="125"/>
      <c r="Y38" s="121"/>
      <c r="Z38" s="125"/>
      <c r="AA38" s="119"/>
      <c r="AB38" s="122"/>
      <c r="AC38" s="120"/>
      <c r="AD38" s="122"/>
      <c r="AE38" s="122"/>
      <c r="AF38" s="122"/>
      <c r="AG38" s="119"/>
      <c r="AH38" s="122"/>
      <c r="AI38" s="122"/>
      <c r="AJ38" s="122"/>
      <c r="AK38" s="120"/>
      <c r="AL38" s="122"/>
      <c r="AM38" s="122"/>
      <c r="AN38" s="122"/>
      <c r="AO38" s="52"/>
      <c r="AQ38" s="86"/>
      <c r="AR38" s="86"/>
      <c r="AS38" s="86"/>
      <c r="AT38" s="228"/>
    </row>
    <row r="39" spans="2:55" ht="18" customHeight="1" thickBot="1" x14ac:dyDescent="0.2">
      <c r="B39" s="42">
        <v>10</v>
      </c>
      <c r="C39" s="49"/>
      <c r="D39" s="52" t="s">
        <v>165</v>
      </c>
      <c r="E39" s="50"/>
      <c r="F39" s="371"/>
      <c r="G39" s="371"/>
      <c r="H39" s="371"/>
      <c r="I39" s="254"/>
      <c r="J39" s="374"/>
      <c r="K39" s="375"/>
      <c r="L39" s="376"/>
      <c r="M39" s="120"/>
      <c r="N39" s="369"/>
      <c r="O39" s="369"/>
      <c r="P39" s="369"/>
      <c r="Q39" s="119"/>
      <c r="R39" s="369"/>
      <c r="S39" s="369"/>
      <c r="T39" s="369"/>
      <c r="U39" s="369"/>
      <c r="V39" s="369"/>
      <c r="W39" s="120"/>
      <c r="X39" s="123"/>
      <c r="Y39" s="121" t="s">
        <v>156</v>
      </c>
      <c r="Z39" s="123"/>
      <c r="AA39" s="119"/>
      <c r="AB39" s="124"/>
      <c r="AC39" s="120"/>
      <c r="AD39" s="369"/>
      <c r="AE39" s="369"/>
      <c r="AF39" s="369"/>
      <c r="AG39" s="119"/>
      <c r="AH39" s="369"/>
      <c r="AI39" s="369"/>
      <c r="AJ39" s="369"/>
      <c r="AK39" s="120"/>
      <c r="AL39" s="369"/>
      <c r="AM39" s="369"/>
      <c r="AN39" s="369"/>
      <c r="AO39" s="49"/>
      <c r="AQ39" s="86"/>
      <c r="AR39" s="86"/>
      <c r="AS39" s="86"/>
      <c r="AT39" s="228" t="str">
        <f>IF($B39&lt;=入力シート!$F$85,IF(AU39&lt;&gt;"OK",AU39,IF(AV39&lt;&gt;"OK",AV39,IF(AW39&lt;&gt;"OK",AW39,IF(AX39&lt;&gt;"OK",AX39,IF(AY39&lt;&gt;"OK",AY39,IF(AZ39&lt;&gt;"OK",AZ39,IF(BA39&lt;&gt;"OK",BA39,BB39))))))),"")</f>
        <v/>
      </c>
      <c r="AU39" s="42" t="str">
        <f ca="1">中間シート!X142</f>
        <v>書類の種類を選択してください。</v>
      </c>
      <c r="AV39" s="41" t="str">
        <f ca="1">中間シート!X143</f>
        <v>認証・指定・認定番号または、整備士合格証書番号を入力してください。</v>
      </c>
      <c r="AW39" s="42" t="str">
        <f ca="1">中間シート!X144</f>
        <v>管轄運輸局を入力してください。</v>
      </c>
      <c r="AX39" s="41" t="str">
        <f ca="1">中間シート!X145</f>
        <v>事業場名を入力してください。</v>
      </c>
      <c r="AY39" s="42" t="str">
        <f ca="1">中間シート!X146</f>
        <v>郵便番号を入力してください。</v>
      </c>
      <c r="AZ39" s="41" t="str">
        <f ca="1">中間シート!X147</f>
        <v>都道府県を選択してください。</v>
      </c>
      <c r="BA39" s="42" t="str">
        <f ca="1">中間シート!X148</f>
        <v>市区町村を入力してください。</v>
      </c>
      <c r="BB39" s="41" t="str">
        <f ca="1">中間シート!X149</f>
        <v>町名地番を入力してください。</v>
      </c>
    </row>
    <row r="40" spans="2:55" s="41" customFormat="1" ht="5.0999999999999996" customHeight="1" thickBot="1" x14ac:dyDescent="0.2">
      <c r="C40" s="51"/>
      <c r="D40" s="52"/>
      <c r="E40" s="55"/>
      <c r="F40" s="380"/>
      <c r="G40" s="380"/>
      <c r="H40" s="380"/>
      <c r="I40" s="254"/>
      <c r="J40" s="122"/>
      <c r="K40" s="122"/>
      <c r="L40" s="122"/>
      <c r="M40" s="120"/>
      <c r="N40" s="122"/>
      <c r="O40" s="122"/>
      <c r="P40" s="122"/>
      <c r="Q40" s="119"/>
      <c r="R40" s="122"/>
      <c r="S40" s="122"/>
      <c r="T40" s="122"/>
      <c r="U40" s="122"/>
      <c r="V40" s="122"/>
      <c r="W40" s="120"/>
      <c r="X40" s="125"/>
      <c r="Y40" s="121"/>
      <c r="Z40" s="125"/>
      <c r="AA40" s="119"/>
      <c r="AB40" s="122"/>
      <c r="AC40" s="120"/>
      <c r="AD40" s="122"/>
      <c r="AE40" s="122"/>
      <c r="AF40" s="122"/>
      <c r="AG40" s="119"/>
      <c r="AH40" s="122"/>
      <c r="AI40" s="122"/>
      <c r="AJ40" s="122"/>
      <c r="AK40" s="120"/>
      <c r="AL40" s="122"/>
      <c r="AM40" s="122"/>
      <c r="AN40" s="122"/>
      <c r="AO40" s="52"/>
      <c r="AQ40" s="86"/>
      <c r="AR40" s="86"/>
      <c r="AS40" s="86"/>
      <c r="AT40" s="228"/>
    </row>
    <row r="41" spans="2:55" ht="18" customHeight="1" thickBot="1" x14ac:dyDescent="0.2">
      <c r="B41" s="42">
        <v>11</v>
      </c>
      <c r="C41" s="49"/>
      <c r="D41" s="52" t="s">
        <v>166</v>
      </c>
      <c r="E41" s="50"/>
      <c r="F41" s="371"/>
      <c r="G41" s="371"/>
      <c r="H41" s="371"/>
      <c r="I41" s="254"/>
      <c r="J41" s="374"/>
      <c r="K41" s="375"/>
      <c r="L41" s="376"/>
      <c r="M41" s="120"/>
      <c r="N41" s="369"/>
      <c r="O41" s="369"/>
      <c r="P41" s="369"/>
      <c r="Q41" s="119"/>
      <c r="R41" s="369"/>
      <c r="S41" s="369"/>
      <c r="T41" s="369"/>
      <c r="U41" s="369"/>
      <c r="V41" s="369"/>
      <c r="W41" s="120"/>
      <c r="X41" s="123"/>
      <c r="Y41" s="121" t="s">
        <v>156</v>
      </c>
      <c r="Z41" s="123"/>
      <c r="AA41" s="119"/>
      <c r="AB41" s="124"/>
      <c r="AC41" s="120"/>
      <c r="AD41" s="369"/>
      <c r="AE41" s="369"/>
      <c r="AF41" s="369"/>
      <c r="AG41" s="119"/>
      <c r="AH41" s="369"/>
      <c r="AI41" s="369"/>
      <c r="AJ41" s="369"/>
      <c r="AK41" s="120"/>
      <c r="AL41" s="369"/>
      <c r="AM41" s="369"/>
      <c r="AN41" s="369"/>
      <c r="AO41" s="49"/>
      <c r="AQ41" s="86"/>
      <c r="AR41" s="86"/>
      <c r="AS41" s="86"/>
      <c r="AT41" s="228" t="str">
        <f>IF($B41&lt;=入力シート!$F$85,IF(AU41&lt;&gt;"OK",AU41,IF(AV41&lt;&gt;"OK",AV41,IF(AW41&lt;&gt;"OK",AW41,IF(AX41&lt;&gt;"OK",AX41,IF(AY41&lt;&gt;"OK",AY41,IF(AZ41&lt;&gt;"OK",AZ41,IF(BA41&lt;&gt;"OK",BA41,BB41))))))),"")</f>
        <v/>
      </c>
      <c r="AU41" s="42" t="str">
        <f ca="1">中間シート!X151</f>
        <v>書類の種類を選択してください。</v>
      </c>
      <c r="AV41" s="41" t="str">
        <f ca="1">中間シート!X152</f>
        <v>認証・指定・認定番号または、整備士合格証書番号を入力してください。</v>
      </c>
      <c r="AW41" s="42" t="str">
        <f ca="1">中間シート!X153</f>
        <v>管轄運輸局を入力してください。</v>
      </c>
      <c r="AX41" s="41" t="str">
        <f ca="1">中間シート!X154</f>
        <v>事業場名を入力してください。</v>
      </c>
      <c r="AY41" s="42" t="str">
        <f ca="1">中間シート!X155</f>
        <v>郵便番号を入力してください。</v>
      </c>
      <c r="AZ41" s="41" t="str">
        <f ca="1">中間シート!X156</f>
        <v>都道府県を選択してください。</v>
      </c>
      <c r="BA41" s="42" t="str">
        <f ca="1">中間シート!X157</f>
        <v>市区町村を入力してください。</v>
      </c>
      <c r="BB41" s="41" t="str">
        <f ca="1">中間シート!X158</f>
        <v>町名地番を入力してください。</v>
      </c>
    </row>
    <row r="42" spans="2:55" s="41" customFormat="1" ht="5.0999999999999996" customHeight="1" thickBot="1" x14ac:dyDescent="0.2">
      <c r="C42" s="51"/>
      <c r="D42" s="52"/>
      <c r="E42" s="55"/>
      <c r="F42" s="380"/>
      <c r="G42" s="380"/>
      <c r="H42" s="380"/>
      <c r="I42" s="254"/>
      <c r="J42" s="122"/>
      <c r="K42" s="122"/>
      <c r="L42" s="122"/>
      <c r="M42" s="120"/>
      <c r="N42" s="122"/>
      <c r="O42" s="122"/>
      <c r="P42" s="122"/>
      <c r="Q42" s="119"/>
      <c r="R42" s="122"/>
      <c r="S42" s="122"/>
      <c r="T42" s="122"/>
      <c r="U42" s="122"/>
      <c r="V42" s="122"/>
      <c r="W42" s="120"/>
      <c r="X42" s="125"/>
      <c r="Y42" s="121"/>
      <c r="Z42" s="125"/>
      <c r="AA42" s="119"/>
      <c r="AB42" s="122"/>
      <c r="AC42" s="120"/>
      <c r="AD42" s="122"/>
      <c r="AE42" s="122"/>
      <c r="AF42" s="122"/>
      <c r="AG42" s="119"/>
      <c r="AH42" s="122"/>
      <c r="AI42" s="122"/>
      <c r="AJ42" s="122"/>
      <c r="AK42" s="120"/>
      <c r="AL42" s="122"/>
      <c r="AM42" s="122"/>
      <c r="AN42" s="122"/>
      <c r="AO42" s="52"/>
      <c r="AQ42" s="86"/>
      <c r="AR42" s="86"/>
      <c r="AS42" s="86"/>
      <c r="AT42" s="228"/>
    </row>
    <row r="43" spans="2:55" ht="18" customHeight="1" thickBot="1" x14ac:dyDescent="0.2">
      <c r="B43" s="42">
        <v>12</v>
      </c>
      <c r="C43" s="49"/>
      <c r="D43" s="52" t="s">
        <v>167</v>
      </c>
      <c r="E43" s="50"/>
      <c r="F43" s="371"/>
      <c r="G43" s="371"/>
      <c r="H43" s="371"/>
      <c r="I43" s="254"/>
      <c r="J43" s="374"/>
      <c r="K43" s="375"/>
      <c r="L43" s="376"/>
      <c r="M43" s="120"/>
      <c r="N43" s="369"/>
      <c r="O43" s="369"/>
      <c r="P43" s="369"/>
      <c r="Q43" s="119"/>
      <c r="R43" s="369"/>
      <c r="S43" s="369"/>
      <c r="T43" s="369"/>
      <c r="U43" s="369"/>
      <c r="V43" s="369"/>
      <c r="W43" s="120"/>
      <c r="X43" s="123"/>
      <c r="Y43" s="121" t="s">
        <v>156</v>
      </c>
      <c r="Z43" s="123"/>
      <c r="AA43" s="119"/>
      <c r="AB43" s="124"/>
      <c r="AC43" s="120"/>
      <c r="AD43" s="369"/>
      <c r="AE43" s="369"/>
      <c r="AF43" s="369"/>
      <c r="AG43" s="119"/>
      <c r="AH43" s="369"/>
      <c r="AI43" s="369"/>
      <c r="AJ43" s="369"/>
      <c r="AK43" s="120"/>
      <c r="AL43" s="369"/>
      <c r="AM43" s="369"/>
      <c r="AN43" s="369"/>
      <c r="AO43" s="49"/>
      <c r="AQ43" s="86"/>
      <c r="AR43" s="86"/>
      <c r="AS43" s="86"/>
      <c r="AT43" s="228" t="str">
        <f>IF($B43&lt;=入力シート!$F$85,IF(AU43&lt;&gt;"OK",AU43,IF(AV43&lt;&gt;"OK",AV43,IF(AW43&lt;&gt;"OK",AW43,IF(AX43&lt;&gt;"OK",AX43,IF(AY43&lt;&gt;"OK",AY43,IF(AZ43&lt;&gt;"OK",AZ43,IF(BA43&lt;&gt;"OK",BA43,BB43))))))),"")</f>
        <v/>
      </c>
      <c r="AU43" s="42" t="str">
        <f ca="1">中間シート!X160</f>
        <v>書類の種類を選択してください。</v>
      </c>
      <c r="AV43" s="41" t="str">
        <f ca="1">中間シート!X161</f>
        <v>認証・指定・認定番号または、整備士合格証書番号を入力してください。</v>
      </c>
      <c r="AW43" s="42" t="str">
        <f ca="1">中間シート!X162</f>
        <v>管轄運輸局を入力してください。</v>
      </c>
      <c r="AX43" s="41" t="str">
        <f ca="1">中間シート!X163</f>
        <v>事業場名を入力してください。</v>
      </c>
      <c r="AY43" s="42" t="str">
        <f ca="1">中間シート!X164</f>
        <v>郵便番号を入力してください。</v>
      </c>
      <c r="AZ43" s="41" t="str">
        <f ca="1">中間シート!X165</f>
        <v>都道府県を選択してください。</v>
      </c>
      <c r="BA43" s="42" t="str">
        <f ca="1">中間シート!X166</f>
        <v>市区町村を入力してください。</v>
      </c>
      <c r="BB43" s="41" t="str">
        <f ca="1">中間シート!X167</f>
        <v>町名地番を入力してください。</v>
      </c>
    </row>
    <row r="44" spans="2:55" s="41" customFormat="1" ht="5.0999999999999996" customHeight="1" thickBot="1" x14ac:dyDescent="0.2">
      <c r="C44" s="51"/>
      <c r="D44" s="52"/>
      <c r="E44" s="55"/>
      <c r="F44" s="380"/>
      <c r="G44" s="380"/>
      <c r="H44" s="380"/>
      <c r="I44" s="254"/>
      <c r="J44" s="122"/>
      <c r="K44" s="122"/>
      <c r="L44" s="122"/>
      <c r="M44" s="120"/>
      <c r="N44" s="122"/>
      <c r="O44" s="122"/>
      <c r="P44" s="122"/>
      <c r="Q44" s="119"/>
      <c r="R44" s="122"/>
      <c r="S44" s="122"/>
      <c r="T44" s="122"/>
      <c r="U44" s="122"/>
      <c r="V44" s="122"/>
      <c r="W44" s="120"/>
      <c r="X44" s="125"/>
      <c r="Y44" s="121"/>
      <c r="Z44" s="125"/>
      <c r="AA44" s="119"/>
      <c r="AB44" s="122"/>
      <c r="AC44" s="120"/>
      <c r="AD44" s="122"/>
      <c r="AE44" s="122"/>
      <c r="AF44" s="122"/>
      <c r="AG44" s="119"/>
      <c r="AH44" s="122"/>
      <c r="AI44" s="122"/>
      <c r="AJ44" s="122"/>
      <c r="AK44" s="120"/>
      <c r="AL44" s="122"/>
      <c r="AM44" s="122"/>
      <c r="AN44" s="122"/>
      <c r="AO44" s="52"/>
      <c r="AQ44" s="86"/>
      <c r="AR44" s="86"/>
      <c r="AS44" s="86"/>
      <c r="AT44" s="228"/>
    </row>
    <row r="45" spans="2:55" ht="18" customHeight="1" thickBot="1" x14ac:dyDescent="0.2">
      <c r="B45" s="42">
        <v>13</v>
      </c>
      <c r="C45" s="49"/>
      <c r="D45" s="52" t="s">
        <v>168</v>
      </c>
      <c r="E45" s="50"/>
      <c r="F45" s="371"/>
      <c r="G45" s="371"/>
      <c r="H45" s="371"/>
      <c r="I45" s="254"/>
      <c r="J45" s="374"/>
      <c r="K45" s="375"/>
      <c r="L45" s="376"/>
      <c r="M45" s="120"/>
      <c r="N45" s="369"/>
      <c r="O45" s="369"/>
      <c r="P45" s="369"/>
      <c r="Q45" s="119"/>
      <c r="R45" s="369"/>
      <c r="S45" s="369"/>
      <c r="T45" s="369"/>
      <c r="U45" s="369"/>
      <c r="V45" s="369"/>
      <c r="W45" s="120"/>
      <c r="X45" s="123"/>
      <c r="Y45" s="121" t="s">
        <v>156</v>
      </c>
      <c r="Z45" s="123"/>
      <c r="AA45" s="119"/>
      <c r="AB45" s="124"/>
      <c r="AC45" s="120"/>
      <c r="AD45" s="369"/>
      <c r="AE45" s="369"/>
      <c r="AF45" s="369"/>
      <c r="AG45" s="119"/>
      <c r="AH45" s="369"/>
      <c r="AI45" s="369"/>
      <c r="AJ45" s="369"/>
      <c r="AK45" s="120"/>
      <c r="AL45" s="369"/>
      <c r="AM45" s="369"/>
      <c r="AN45" s="369"/>
      <c r="AO45" s="49"/>
      <c r="AQ45" s="86"/>
      <c r="AR45" s="86"/>
      <c r="AS45" s="86"/>
      <c r="AT45" s="228" t="str">
        <f>IF($B45&lt;=入力シート!$F$85,IF(AU45&lt;&gt;"OK",AU45,IF(AV45&lt;&gt;"OK",AV45,IF(AW45&lt;&gt;"OK",AW45,IF(AX45&lt;&gt;"OK",AX45,IF(AY45&lt;&gt;"OK",AY45,IF(AZ45&lt;&gt;"OK",AZ45,IF(BA45&lt;&gt;"OK",BA45,BB45))))))),"")</f>
        <v/>
      </c>
      <c r="AU45" s="42" t="str">
        <f ca="1">中間シート!X169</f>
        <v>書類の種類を選択してください。</v>
      </c>
      <c r="AV45" s="41" t="str">
        <f ca="1">中間シート!X170</f>
        <v>認証・指定・認定番号または、整備士合格証書番号を入力してください。</v>
      </c>
      <c r="AW45" s="42" t="str">
        <f ca="1">中間シート!X171</f>
        <v>管轄運輸局を入力してください。</v>
      </c>
      <c r="AX45" s="41" t="str">
        <f ca="1">中間シート!X172</f>
        <v>事業場名を入力してください。</v>
      </c>
      <c r="AY45" s="42" t="str">
        <f ca="1">中間シート!X173</f>
        <v>郵便番号を入力してください。</v>
      </c>
      <c r="AZ45" s="41" t="str">
        <f ca="1">中間シート!X174</f>
        <v>都道府県を選択してください。</v>
      </c>
      <c r="BA45" s="42" t="str">
        <f ca="1">中間シート!X175</f>
        <v>市区町村を入力してください。</v>
      </c>
      <c r="BB45" s="41" t="str">
        <f ca="1">中間シート!X176</f>
        <v>町名地番を入力してください。</v>
      </c>
    </row>
    <row r="46" spans="2:55" s="41" customFormat="1" ht="5.0999999999999996" customHeight="1" thickBot="1" x14ac:dyDescent="0.2">
      <c r="C46" s="51"/>
      <c r="D46" s="52"/>
      <c r="E46" s="55"/>
      <c r="F46" s="380"/>
      <c r="G46" s="380"/>
      <c r="H46" s="380"/>
      <c r="I46" s="254"/>
      <c r="J46" s="122"/>
      <c r="K46" s="122"/>
      <c r="L46" s="122"/>
      <c r="M46" s="120"/>
      <c r="N46" s="122"/>
      <c r="O46" s="122"/>
      <c r="P46" s="122"/>
      <c r="Q46" s="119"/>
      <c r="R46" s="122"/>
      <c r="S46" s="122"/>
      <c r="T46" s="122"/>
      <c r="U46" s="122"/>
      <c r="V46" s="122"/>
      <c r="W46" s="120"/>
      <c r="X46" s="125"/>
      <c r="Y46" s="121"/>
      <c r="Z46" s="125"/>
      <c r="AA46" s="119"/>
      <c r="AB46" s="122"/>
      <c r="AC46" s="120"/>
      <c r="AD46" s="122"/>
      <c r="AE46" s="122"/>
      <c r="AF46" s="122"/>
      <c r="AG46" s="119"/>
      <c r="AH46" s="122"/>
      <c r="AI46" s="122"/>
      <c r="AJ46" s="122"/>
      <c r="AK46" s="120"/>
      <c r="AL46" s="122"/>
      <c r="AM46" s="122"/>
      <c r="AN46" s="122"/>
      <c r="AO46" s="52"/>
      <c r="AQ46" s="86"/>
      <c r="AR46" s="86"/>
      <c r="AS46" s="86"/>
      <c r="AT46" s="228"/>
    </row>
    <row r="47" spans="2:55" ht="18" customHeight="1" thickBot="1" x14ac:dyDescent="0.2">
      <c r="B47" s="42">
        <v>14</v>
      </c>
      <c r="C47" s="49"/>
      <c r="D47" s="52" t="s">
        <v>169</v>
      </c>
      <c r="E47" s="50"/>
      <c r="F47" s="371"/>
      <c r="G47" s="371"/>
      <c r="H47" s="371"/>
      <c r="I47" s="254"/>
      <c r="J47" s="374"/>
      <c r="K47" s="375"/>
      <c r="L47" s="376"/>
      <c r="M47" s="120"/>
      <c r="N47" s="369"/>
      <c r="O47" s="369"/>
      <c r="P47" s="369"/>
      <c r="Q47" s="119"/>
      <c r="R47" s="369"/>
      <c r="S47" s="369"/>
      <c r="T47" s="369"/>
      <c r="U47" s="369"/>
      <c r="V47" s="369"/>
      <c r="W47" s="120"/>
      <c r="X47" s="123"/>
      <c r="Y47" s="121" t="s">
        <v>156</v>
      </c>
      <c r="Z47" s="123"/>
      <c r="AA47" s="119"/>
      <c r="AB47" s="124"/>
      <c r="AC47" s="120"/>
      <c r="AD47" s="369"/>
      <c r="AE47" s="369"/>
      <c r="AF47" s="369"/>
      <c r="AG47" s="119"/>
      <c r="AH47" s="369"/>
      <c r="AI47" s="369"/>
      <c r="AJ47" s="369"/>
      <c r="AK47" s="120"/>
      <c r="AL47" s="369"/>
      <c r="AM47" s="369"/>
      <c r="AN47" s="369"/>
      <c r="AO47" s="49"/>
      <c r="AQ47" s="86"/>
      <c r="AR47" s="86"/>
      <c r="AS47" s="86"/>
      <c r="AT47" s="228" t="str">
        <f>IF($B47&lt;=入力シート!$F$85,IF(AU47&lt;&gt;"OK",AU47,IF(AV47&lt;&gt;"OK",AV47,IF(AW47&lt;&gt;"OK",AW47,IF(AX47&lt;&gt;"OK",AX47,IF(AY47&lt;&gt;"OK",AY47,IF(AZ47&lt;&gt;"OK",AZ47,IF(BA47&lt;&gt;"OK",BA47,BB47))))))),"")</f>
        <v/>
      </c>
      <c r="AU47" s="42" t="str">
        <f ca="1">中間シート!X178</f>
        <v>書類の種類を選択してください。</v>
      </c>
      <c r="AV47" s="41" t="str">
        <f ca="1">中間シート!X179</f>
        <v>認証・指定・認定番号または、整備士合格証書番号を入力してください。</v>
      </c>
      <c r="AW47" s="42" t="str">
        <f ca="1">中間シート!X180</f>
        <v>管轄運輸局を入力してください。</v>
      </c>
      <c r="AX47" s="41" t="str">
        <f ca="1">中間シート!X181</f>
        <v>事業場名を入力してください。</v>
      </c>
      <c r="AY47" s="42" t="str">
        <f ca="1">中間シート!X182</f>
        <v>郵便番号を入力してください。</v>
      </c>
      <c r="AZ47" s="41" t="str">
        <f ca="1">中間シート!X183</f>
        <v>都道府県を選択してください。</v>
      </c>
      <c r="BA47" s="42" t="str">
        <f ca="1">中間シート!X184</f>
        <v>市区町村を入力してください。</v>
      </c>
      <c r="BB47" s="41" t="str">
        <f ca="1">中間シート!X185</f>
        <v>町名地番を入力してください。</v>
      </c>
    </row>
    <row r="48" spans="2:55" s="41" customFormat="1" ht="5.0999999999999996" customHeight="1" thickBot="1" x14ac:dyDescent="0.2">
      <c r="C48" s="51"/>
      <c r="D48" s="52"/>
      <c r="E48" s="55"/>
      <c r="F48" s="380"/>
      <c r="G48" s="380"/>
      <c r="H48" s="380"/>
      <c r="I48" s="254"/>
      <c r="J48" s="122"/>
      <c r="K48" s="122"/>
      <c r="L48" s="122"/>
      <c r="M48" s="120"/>
      <c r="N48" s="122"/>
      <c r="O48" s="122"/>
      <c r="P48" s="122"/>
      <c r="Q48" s="119"/>
      <c r="R48" s="122"/>
      <c r="S48" s="122"/>
      <c r="T48" s="122"/>
      <c r="U48" s="122"/>
      <c r="V48" s="122"/>
      <c r="W48" s="120"/>
      <c r="X48" s="125"/>
      <c r="Y48" s="121"/>
      <c r="Z48" s="125"/>
      <c r="AA48" s="119"/>
      <c r="AB48" s="122"/>
      <c r="AC48" s="120"/>
      <c r="AD48" s="122"/>
      <c r="AE48" s="122"/>
      <c r="AF48" s="122"/>
      <c r="AG48" s="119"/>
      <c r="AH48" s="122"/>
      <c r="AI48" s="122"/>
      <c r="AJ48" s="122"/>
      <c r="AK48" s="120"/>
      <c r="AL48" s="122"/>
      <c r="AM48" s="122"/>
      <c r="AN48" s="122"/>
      <c r="AO48" s="52"/>
      <c r="AQ48" s="86"/>
      <c r="AR48" s="86"/>
      <c r="AS48" s="86"/>
      <c r="AT48" s="228"/>
    </row>
    <row r="49" spans="2:54" ht="18" customHeight="1" thickBot="1" x14ac:dyDescent="0.2">
      <c r="B49" s="42">
        <v>15</v>
      </c>
      <c r="C49" s="49"/>
      <c r="D49" s="52" t="s">
        <v>170</v>
      </c>
      <c r="E49" s="50"/>
      <c r="F49" s="371"/>
      <c r="G49" s="371"/>
      <c r="H49" s="371"/>
      <c r="I49" s="254"/>
      <c r="J49" s="374"/>
      <c r="K49" s="375"/>
      <c r="L49" s="376"/>
      <c r="M49" s="120"/>
      <c r="N49" s="369"/>
      <c r="O49" s="369"/>
      <c r="P49" s="369"/>
      <c r="Q49" s="119"/>
      <c r="R49" s="369"/>
      <c r="S49" s="369"/>
      <c r="T49" s="369"/>
      <c r="U49" s="369"/>
      <c r="V49" s="369"/>
      <c r="W49" s="120"/>
      <c r="X49" s="123"/>
      <c r="Y49" s="121" t="s">
        <v>156</v>
      </c>
      <c r="Z49" s="123"/>
      <c r="AA49" s="119"/>
      <c r="AB49" s="124"/>
      <c r="AC49" s="120"/>
      <c r="AD49" s="369"/>
      <c r="AE49" s="369"/>
      <c r="AF49" s="369"/>
      <c r="AG49" s="119"/>
      <c r="AH49" s="369"/>
      <c r="AI49" s="369"/>
      <c r="AJ49" s="369"/>
      <c r="AK49" s="120"/>
      <c r="AL49" s="369"/>
      <c r="AM49" s="369"/>
      <c r="AN49" s="369"/>
      <c r="AO49" s="49"/>
      <c r="AQ49" s="86"/>
      <c r="AR49" s="86"/>
      <c r="AS49" s="86"/>
      <c r="AT49" s="228" t="str">
        <f>IF($B49&lt;=入力シート!$F$85,IF(AU49&lt;&gt;"OK",AU49,IF(AV49&lt;&gt;"OK",AV49,IF(AW49&lt;&gt;"OK",AW49,IF(AX49&lt;&gt;"OK",AX49,IF(AY49&lt;&gt;"OK",AY49,IF(AZ49&lt;&gt;"OK",AZ49,IF(BA49&lt;&gt;"OK",BA49,BB49))))))),"")</f>
        <v/>
      </c>
      <c r="AU49" s="42" t="str">
        <f ca="1">中間シート!X187</f>
        <v>書類の種類を選択してください。</v>
      </c>
      <c r="AV49" s="41" t="str">
        <f ca="1">中間シート!X188</f>
        <v>認証・指定・認定番号または、整備士合格証書番号を入力してください。</v>
      </c>
      <c r="AW49" s="42" t="str">
        <f ca="1">中間シート!X189</f>
        <v>管轄運輸局を入力してください。</v>
      </c>
      <c r="AX49" s="41" t="str">
        <f ca="1">中間シート!X190</f>
        <v>事業場名を入力してください。</v>
      </c>
      <c r="AY49" s="42" t="str">
        <f ca="1">中間シート!X191</f>
        <v>郵便番号を入力してください。</v>
      </c>
      <c r="AZ49" s="41" t="str">
        <f ca="1">中間シート!X192</f>
        <v>都道府県を選択してください。</v>
      </c>
      <c r="BA49" s="42" t="str">
        <f ca="1">中間シート!X193</f>
        <v>市区町村を入力してください。</v>
      </c>
      <c r="BB49" s="41" t="str">
        <f ca="1">中間シート!X194</f>
        <v>町名地番を入力してください。</v>
      </c>
    </row>
    <row r="50" spans="2:54" s="41" customFormat="1" ht="5.0999999999999996" customHeight="1" thickBot="1" x14ac:dyDescent="0.2">
      <c r="C50" s="51"/>
      <c r="D50" s="52"/>
      <c r="E50" s="55"/>
      <c r="F50" s="380"/>
      <c r="G50" s="380"/>
      <c r="H50" s="380"/>
      <c r="I50" s="254"/>
      <c r="J50" s="122"/>
      <c r="K50" s="122"/>
      <c r="L50" s="122"/>
      <c r="M50" s="120"/>
      <c r="N50" s="122"/>
      <c r="O50" s="122"/>
      <c r="P50" s="122"/>
      <c r="Q50" s="119"/>
      <c r="R50" s="122"/>
      <c r="S50" s="122"/>
      <c r="T50" s="122"/>
      <c r="U50" s="122"/>
      <c r="V50" s="122"/>
      <c r="W50" s="120"/>
      <c r="X50" s="125"/>
      <c r="Y50" s="121"/>
      <c r="Z50" s="125"/>
      <c r="AA50" s="119"/>
      <c r="AB50" s="122"/>
      <c r="AC50" s="120"/>
      <c r="AD50" s="122"/>
      <c r="AE50" s="122"/>
      <c r="AF50" s="122"/>
      <c r="AG50" s="119"/>
      <c r="AH50" s="122"/>
      <c r="AI50" s="122"/>
      <c r="AJ50" s="122"/>
      <c r="AK50" s="120"/>
      <c r="AL50" s="122"/>
      <c r="AM50" s="122"/>
      <c r="AN50" s="122"/>
      <c r="AO50" s="52"/>
      <c r="AQ50" s="86"/>
      <c r="AR50" s="86"/>
      <c r="AS50" s="86"/>
      <c r="AT50" s="228"/>
    </row>
    <row r="51" spans="2:54" ht="18" customHeight="1" thickBot="1" x14ac:dyDescent="0.2">
      <c r="B51" s="42">
        <v>16</v>
      </c>
      <c r="C51" s="49"/>
      <c r="D51" s="52" t="s">
        <v>171</v>
      </c>
      <c r="E51" s="50"/>
      <c r="F51" s="371"/>
      <c r="G51" s="371"/>
      <c r="H51" s="371"/>
      <c r="I51" s="254"/>
      <c r="J51" s="374"/>
      <c r="K51" s="375"/>
      <c r="L51" s="376"/>
      <c r="M51" s="120"/>
      <c r="N51" s="369"/>
      <c r="O51" s="369"/>
      <c r="P51" s="369"/>
      <c r="Q51" s="119"/>
      <c r="R51" s="369"/>
      <c r="S51" s="369"/>
      <c r="T51" s="369"/>
      <c r="U51" s="369"/>
      <c r="V51" s="369"/>
      <c r="W51" s="120"/>
      <c r="X51" s="123"/>
      <c r="Y51" s="121" t="s">
        <v>156</v>
      </c>
      <c r="Z51" s="123"/>
      <c r="AA51" s="119"/>
      <c r="AB51" s="124"/>
      <c r="AC51" s="120"/>
      <c r="AD51" s="369"/>
      <c r="AE51" s="369"/>
      <c r="AF51" s="369"/>
      <c r="AG51" s="119"/>
      <c r="AH51" s="369"/>
      <c r="AI51" s="369"/>
      <c r="AJ51" s="369"/>
      <c r="AK51" s="120"/>
      <c r="AL51" s="369"/>
      <c r="AM51" s="369"/>
      <c r="AN51" s="369"/>
      <c r="AO51" s="49"/>
      <c r="AQ51" s="86"/>
      <c r="AR51" s="86"/>
      <c r="AS51" s="86"/>
      <c r="AT51" s="228" t="str">
        <f>IF($B51&lt;=入力シート!$F$85,IF(AU51&lt;&gt;"OK",AU51,IF(AV51&lt;&gt;"OK",AV51,IF(AW51&lt;&gt;"OK",AW51,IF(AX51&lt;&gt;"OK",AX51,IF(AY51&lt;&gt;"OK",AY51,IF(AZ51&lt;&gt;"OK",AZ51,IF(BA51&lt;&gt;"OK",BA51,BB51))))))),"")</f>
        <v/>
      </c>
      <c r="AU51" s="42" t="str">
        <f ca="1">中間シート!X196</f>
        <v>書類の種類を選択してください。</v>
      </c>
      <c r="AV51" s="41" t="str">
        <f ca="1">中間シート!X197</f>
        <v>認証・指定・認定番号または、整備士合格証書番号を入力してください。</v>
      </c>
      <c r="AW51" s="42" t="str">
        <f ca="1">中間シート!X198</f>
        <v>管轄運輸局を入力してください。</v>
      </c>
      <c r="AX51" s="41" t="str">
        <f ca="1">中間シート!X199</f>
        <v>事業場名を入力してください。</v>
      </c>
      <c r="AY51" s="42" t="str">
        <f ca="1">中間シート!X200</f>
        <v>郵便番号を入力してください。</v>
      </c>
      <c r="AZ51" s="41" t="str">
        <f ca="1">中間シート!X201</f>
        <v>都道府県を選択してください。</v>
      </c>
      <c r="BA51" s="42" t="str">
        <f ca="1">中間シート!X202</f>
        <v>市区町村を入力してください。</v>
      </c>
      <c r="BB51" s="41" t="str">
        <f ca="1">中間シート!X203</f>
        <v>町名地番を入力してください。</v>
      </c>
    </row>
    <row r="52" spans="2:54" s="41" customFormat="1" ht="5.0999999999999996" customHeight="1" thickBot="1" x14ac:dyDescent="0.2">
      <c r="C52" s="51"/>
      <c r="D52" s="52"/>
      <c r="E52" s="55"/>
      <c r="F52" s="380"/>
      <c r="G52" s="380"/>
      <c r="H52" s="380"/>
      <c r="I52" s="254"/>
      <c r="J52" s="122"/>
      <c r="K52" s="122"/>
      <c r="L52" s="122"/>
      <c r="M52" s="120"/>
      <c r="N52" s="122"/>
      <c r="O52" s="122"/>
      <c r="P52" s="122"/>
      <c r="Q52" s="119"/>
      <c r="R52" s="122"/>
      <c r="S52" s="122"/>
      <c r="T52" s="122"/>
      <c r="U52" s="122"/>
      <c r="V52" s="122"/>
      <c r="W52" s="120"/>
      <c r="X52" s="125"/>
      <c r="Y52" s="121"/>
      <c r="Z52" s="125"/>
      <c r="AA52" s="119"/>
      <c r="AB52" s="122"/>
      <c r="AC52" s="120"/>
      <c r="AD52" s="122"/>
      <c r="AE52" s="122"/>
      <c r="AF52" s="122"/>
      <c r="AG52" s="119"/>
      <c r="AH52" s="122"/>
      <c r="AI52" s="122"/>
      <c r="AJ52" s="122"/>
      <c r="AK52" s="120"/>
      <c r="AL52" s="122"/>
      <c r="AM52" s="122"/>
      <c r="AN52" s="122"/>
      <c r="AO52" s="52"/>
      <c r="AQ52" s="86"/>
      <c r="AR52" s="86"/>
      <c r="AS52" s="86"/>
      <c r="AT52" s="228"/>
    </row>
    <row r="53" spans="2:54" ht="18" customHeight="1" thickBot="1" x14ac:dyDescent="0.2">
      <c r="B53" s="42">
        <v>17</v>
      </c>
      <c r="C53" s="49"/>
      <c r="D53" s="52" t="s">
        <v>172</v>
      </c>
      <c r="E53" s="50"/>
      <c r="F53" s="371"/>
      <c r="G53" s="371"/>
      <c r="H53" s="371"/>
      <c r="I53" s="254"/>
      <c r="J53" s="374"/>
      <c r="K53" s="375"/>
      <c r="L53" s="376"/>
      <c r="M53" s="120"/>
      <c r="N53" s="369"/>
      <c r="O53" s="369"/>
      <c r="P53" s="369"/>
      <c r="Q53" s="119"/>
      <c r="R53" s="369"/>
      <c r="S53" s="369"/>
      <c r="T53" s="369"/>
      <c r="U53" s="369"/>
      <c r="V53" s="369"/>
      <c r="W53" s="120"/>
      <c r="X53" s="123"/>
      <c r="Y53" s="121" t="s">
        <v>156</v>
      </c>
      <c r="Z53" s="123"/>
      <c r="AA53" s="119"/>
      <c r="AB53" s="124"/>
      <c r="AC53" s="120"/>
      <c r="AD53" s="369"/>
      <c r="AE53" s="369"/>
      <c r="AF53" s="369"/>
      <c r="AG53" s="119"/>
      <c r="AH53" s="369"/>
      <c r="AI53" s="369"/>
      <c r="AJ53" s="369"/>
      <c r="AK53" s="120"/>
      <c r="AL53" s="369"/>
      <c r="AM53" s="369"/>
      <c r="AN53" s="369"/>
      <c r="AO53" s="49"/>
      <c r="AQ53" s="86"/>
      <c r="AR53" s="86"/>
      <c r="AS53" s="86"/>
      <c r="AT53" s="228" t="str">
        <f>IF($B53&lt;=入力シート!$F$85,IF(AU53&lt;&gt;"OK",AU53,IF(AV53&lt;&gt;"OK",AV53,IF(AW53&lt;&gt;"OK",AW53,IF(AX53&lt;&gt;"OK",AX53,IF(AY53&lt;&gt;"OK",AY53,IF(AZ53&lt;&gt;"OK",AZ53,IF(BA53&lt;&gt;"OK",BA53,BB53))))))),"")</f>
        <v/>
      </c>
      <c r="AU53" s="42" t="str">
        <f ca="1">中間シート!X205</f>
        <v>書類の種類を選択してください。</v>
      </c>
      <c r="AV53" s="41" t="str">
        <f ca="1">中間シート!X206</f>
        <v>認証・指定・認定番号または、整備士合格証書番号を入力してください。</v>
      </c>
      <c r="AW53" s="42" t="str">
        <f ca="1">中間シート!X207</f>
        <v>管轄運輸局を入力してください。</v>
      </c>
      <c r="AX53" s="41" t="str">
        <f ca="1">中間シート!X208</f>
        <v>事業場名を入力してください。</v>
      </c>
      <c r="AY53" s="42" t="str">
        <f ca="1">中間シート!X209</f>
        <v>郵便番号を入力してください。</v>
      </c>
      <c r="AZ53" s="41" t="str">
        <f ca="1">中間シート!X210</f>
        <v>都道府県を選択してください。</v>
      </c>
      <c r="BA53" s="42" t="str">
        <f ca="1">中間シート!X211</f>
        <v>市区町村を入力してください。</v>
      </c>
      <c r="BB53" s="41" t="str">
        <f ca="1">中間シート!X212</f>
        <v>町名地番を入力してください。</v>
      </c>
    </row>
    <row r="54" spans="2:54" s="41" customFormat="1" ht="5.0999999999999996" customHeight="1" thickBot="1" x14ac:dyDescent="0.2">
      <c r="C54" s="51"/>
      <c r="D54" s="52"/>
      <c r="E54" s="55"/>
      <c r="F54" s="380"/>
      <c r="G54" s="380"/>
      <c r="H54" s="380"/>
      <c r="I54" s="254"/>
      <c r="J54" s="122"/>
      <c r="K54" s="122"/>
      <c r="L54" s="122"/>
      <c r="M54" s="120"/>
      <c r="N54" s="122"/>
      <c r="O54" s="122"/>
      <c r="P54" s="122"/>
      <c r="Q54" s="119"/>
      <c r="R54" s="122"/>
      <c r="S54" s="122"/>
      <c r="T54" s="122"/>
      <c r="U54" s="122"/>
      <c r="V54" s="122"/>
      <c r="W54" s="120"/>
      <c r="X54" s="125"/>
      <c r="Y54" s="121"/>
      <c r="Z54" s="125"/>
      <c r="AA54" s="119"/>
      <c r="AB54" s="122"/>
      <c r="AC54" s="120"/>
      <c r="AD54" s="122"/>
      <c r="AE54" s="122"/>
      <c r="AF54" s="122"/>
      <c r="AG54" s="119"/>
      <c r="AH54" s="122"/>
      <c r="AI54" s="122"/>
      <c r="AJ54" s="122"/>
      <c r="AK54" s="120"/>
      <c r="AL54" s="122"/>
      <c r="AM54" s="122"/>
      <c r="AN54" s="122"/>
      <c r="AO54" s="52"/>
      <c r="AQ54" s="86"/>
      <c r="AR54" s="86"/>
      <c r="AS54" s="86"/>
      <c r="AT54" s="228"/>
    </row>
    <row r="55" spans="2:54" ht="18" customHeight="1" thickBot="1" x14ac:dyDescent="0.2">
      <c r="B55" s="42">
        <v>18</v>
      </c>
      <c r="C55" s="49"/>
      <c r="D55" s="52" t="s">
        <v>173</v>
      </c>
      <c r="E55" s="50"/>
      <c r="F55" s="371"/>
      <c r="G55" s="371"/>
      <c r="H55" s="371"/>
      <c r="I55" s="254"/>
      <c r="J55" s="374"/>
      <c r="K55" s="375"/>
      <c r="L55" s="376"/>
      <c r="M55" s="120"/>
      <c r="N55" s="369"/>
      <c r="O55" s="369"/>
      <c r="P55" s="369"/>
      <c r="Q55" s="119"/>
      <c r="R55" s="369"/>
      <c r="S55" s="369"/>
      <c r="T55" s="369"/>
      <c r="U55" s="369"/>
      <c r="V55" s="369"/>
      <c r="W55" s="120"/>
      <c r="X55" s="123"/>
      <c r="Y55" s="121" t="s">
        <v>156</v>
      </c>
      <c r="Z55" s="123"/>
      <c r="AA55" s="119"/>
      <c r="AB55" s="124"/>
      <c r="AC55" s="120"/>
      <c r="AD55" s="369"/>
      <c r="AE55" s="369"/>
      <c r="AF55" s="369"/>
      <c r="AG55" s="119"/>
      <c r="AH55" s="369"/>
      <c r="AI55" s="369"/>
      <c r="AJ55" s="369"/>
      <c r="AK55" s="120"/>
      <c r="AL55" s="369"/>
      <c r="AM55" s="369"/>
      <c r="AN55" s="369"/>
      <c r="AO55" s="49"/>
      <c r="AQ55" s="86"/>
      <c r="AR55" s="86"/>
      <c r="AS55" s="86"/>
      <c r="AT55" s="228" t="str">
        <f>IF($B55&lt;=入力シート!$F$85,IF(AU55&lt;&gt;"OK",AU55,IF(AV55&lt;&gt;"OK",AV55,IF(AW55&lt;&gt;"OK",AW55,IF(AX55&lt;&gt;"OK",AX55,IF(AY55&lt;&gt;"OK",AY55,IF(AZ55&lt;&gt;"OK",AZ55,IF(BA55&lt;&gt;"OK",BA55,BB55))))))),"")</f>
        <v/>
      </c>
      <c r="AU55" s="42" t="str">
        <f ca="1">中間シート!X214</f>
        <v>書類の種類を選択してください。</v>
      </c>
      <c r="AV55" s="41" t="str">
        <f ca="1">中間シート!X215</f>
        <v>認証・指定・認定番号または、整備士合格証書番号を入力してください。</v>
      </c>
      <c r="AW55" s="42" t="str">
        <f ca="1">中間シート!X216</f>
        <v>管轄運輸局を入力してください。</v>
      </c>
      <c r="AX55" s="41" t="str">
        <f ca="1">中間シート!X217</f>
        <v>事業場名を入力してください。</v>
      </c>
      <c r="AY55" s="42" t="str">
        <f ca="1">中間シート!X218</f>
        <v>郵便番号を入力してください。</v>
      </c>
      <c r="AZ55" s="41" t="str">
        <f ca="1">中間シート!X219</f>
        <v>都道府県を選択してください。</v>
      </c>
      <c r="BA55" s="42" t="str">
        <f ca="1">中間シート!X220</f>
        <v>市区町村を入力してください。</v>
      </c>
      <c r="BB55" s="41" t="str">
        <f ca="1">中間シート!X221</f>
        <v>町名地番を入力してください。</v>
      </c>
    </row>
    <row r="56" spans="2:54" s="41" customFormat="1" ht="5.0999999999999996" customHeight="1" thickBot="1" x14ac:dyDescent="0.2">
      <c r="C56" s="51"/>
      <c r="D56" s="52"/>
      <c r="E56" s="55"/>
      <c r="F56" s="380"/>
      <c r="G56" s="380"/>
      <c r="H56" s="380"/>
      <c r="I56" s="254"/>
      <c r="J56" s="122"/>
      <c r="K56" s="122"/>
      <c r="L56" s="122"/>
      <c r="M56" s="120"/>
      <c r="N56" s="122"/>
      <c r="O56" s="122"/>
      <c r="P56" s="122"/>
      <c r="Q56" s="119"/>
      <c r="R56" s="122"/>
      <c r="S56" s="122"/>
      <c r="T56" s="122"/>
      <c r="U56" s="122"/>
      <c r="V56" s="122"/>
      <c r="W56" s="120"/>
      <c r="X56" s="125"/>
      <c r="Y56" s="121"/>
      <c r="Z56" s="125"/>
      <c r="AA56" s="119"/>
      <c r="AB56" s="122"/>
      <c r="AC56" s="120"/>
      <c r="AD56" s="122"/>
      <c r="AE56" s="122"/>
      <c r="AF56" s="122"/>
      <c r="AG56" s="119"/>
      <c r="AH56" s="122"/>
      <c r="AI56" s="122"/>
      <c r="AJ56" s="122"/>
      <c r="AK56" s="120"/>
      <c r="AL56" s="122"/>
      <c r="AM56" s="122"/>
      <c r="AN56" s="122"/>
      <c r="AO56" s="52"/>
      <c r="AQ56" s="86"/>
      <c r="AR56" s="86"/>
      <c r="AS56" s="86"/>
      <c r="AT56" s="228"/>
    </row>
    <row r="57" spans="2:54" ht="18" customHeight="1" thickBot="1" x14ac:dyDescent="0.2">
      <c r="B57" s="42">
        <v>19</v>
      </c>
      <c r="C57" s="49"/>
      <c r="D57" s="52" t="s">
        <v>174</v>
      </c>
      <c r="E57" s="50"/>
      <c r="F57" s="371"/>
      <c r="G57" s="371"/>
      <c r="H57" s="371"/>
      <c r="I57" s="254"/>
      <c r="J57" s="374"/>
      <c r="K57" s="375"/>
      <c r="L57" s="376"/>
      <c r="M57" s="120"/>
      <c r="N57" s="369"/>
      <c r="O57" s="369"/>
      <c r="P57" s="369"/>
      <c r="Q57" s="119"/>
      <c r="R57" s="369"/>
      <c r="S57" s="369"/>
      <c r="T57" s="369"/>
      <c r="U57" s="369"/>
      <c r="V57" s="369"/>
      <c r="W57" s="120"/>
      <c r="X57" s="123"/>
      <c r="Y57" s="121" t="s">
        <v>156</v>
      </c>
      <c r="Z57" s="123"/>
      <c r="AA57" s="119"/>
      <c r="AB57" s="124"/>
      <c r="AC57" s="120"/>
      <c r="AD57" s="369"/>
      <c r="AE57" s="369"/>
      <c r="AF57" s="369"/>
      <c r="AG57" s="119"/>
      <c r="AH57" s="369"/>
      <c r="AI57" s="369"/>
      <c r="AJ57" s="369"/>
      <c r="AK57" s="120"/>
      <c r="AL57" s="369"/>
      <c r="AM57" s="369"/>
      <c r="AN57" s="369"/>
      <c r="AO57" s="49"/>
      <c r="AQ57" s="86"/>
      <c r="AR57" s="86"/>
      <c r="AS57" s="86"/>
      <c r="AT57" s="228" t="str">
        <f>IF($B57&lt;=入力シート!$F$85,IF(AU57&lt;&gt;"OK",AU57,IF(AV57&lt;&gt;"OK",AV57,IF(AW57&lt;&gt;"OK",AW57,IF(AX57&lt;&gt;"OK",AX57,IF(AY57&lt;&gt;"OK",AY57,IF(AZ57&lt;&gt;"OK",AZ57,IF(BA57&lt;&gt;"OK",BA57,BB57))))))),"")</f>
        <v/>
      </c>
      <c r="AU57" s="42" t="str">
        <f ca="1">中間シート!X223</f>
        <v>書類の種類を選択してください。</v>
      </c>
      <c r="AV57" s="41" t="str">
        <f ca="1">中間シート!X224</f>
        <v>認証・指定・認定番号または、整備士合格証書番号を入力してください。</v>
      </c>
      <c r="AW57" s="42" t="str">
        <f ca="1">中間シート!X225</f>
        <v>管轄運輸局を入力してください。</v>
      </c>
      <c r="AX57" s="41" t="str">
        <f ca="1">中間シート!X226</f>
        <v>事業場名を入力してください。</v>
      </c>
      <c r="AY57" s="42" t="str">
        <f ca="1">中間シート!X227</f>
        <v>郵便番号を入力してください。</v>
      </c>
      <c r="AZ57" s="41" t="str">
        <f ca="1">中間シート!X228</f>
        <v>都道府県を選択してください。</v>
      </c>
      <c r="BA57" s="42" t="str">
        <f ca="1">中間シート!X229</f>
        <v>市区町村を入力してください。</v>
      </c>
      <c r="BB57" s="41" t="str">
        <f ca="1">中間シート!X230</f>
        <v>町名地番を入力してください。</v>
      </c>
    </row>
    <row r="58" spans="2:54" s="41" customFormat="1" ht="5.0999999999999996" customHeight="1" thickBot="1" x14ac:dyDescent="0.2">
      <c r="C58" s="51"/>
      <c r="D58" s="52"/>
      <c r="E58" s="55"/>
      <c r="F58" s="380"/>
      <c r="G58" s="380"/>
      <c r="H58" s="380"/>
      <c r="I58" s="254"/>
      <c r="J58" s="122"/>
      <c r="K58" s="122"/>
      <c r="L58" s="122"/>
      <c r="M58" s="120"/>
      <c r="N58" s="122"/>
      <c r="O58" s="122"/>
      <c r="P58" s="122"/>
      <c r="Q58" s="119"/>
      <c r="R58" s="122"/>
      <c r="S58" s="122"/>
      <c r="T58" s="122"/>
      <c r="U58" s="122"/>
      <c r="V58" s="122"/>
      <c r="W58" s="120"/>
      <c r="X58" s="125"/>
      <c r="Y58" s="121"/>
      <c r="Z58" s="125"/>
      <c r="AA58" s="119"/>
      <c r="AB58" s="122"/>
      <c r="AC58" s="120"/>
      <c r="AD58" s="122"/>
      <c r="AE58" s="122"/>
      <c r="AF58" s="122"/>
      <c r="AG58" s="119"/>
      <c r="AH58" s="122"/>
      <c r="AI58" s="122"/>
      <c r="AJ58" s="122"/>
      <c r="AK58" s="120"/>
      <c r="AL58" s="122"/>
      <c r="AM58" s="122"/>
      <c r="AN58" s="122"/>
      <c r="AO58" s="52"/>
      <c r="AQ58" s="86"/>
      <c r="AR58" s="86"/>
      <c r="AS58" s="86"/>
      <c r="AT58" s="228"/>
    </row>
    <row r="59" spans="2:54" ht="18" customHeight="1" thickBot="1" x14ac:dyDescent="0.2">
      <c r="B59" s="42">
        <v>20</v>
      </c>
      <c r="C59" s="49"/>
      <c r="D59" s="52" t="s">
        <v>175</v>
      </c>
      <c r="E59" s="50"/>
      <c r="F59" s="371"/>
      <c r="G59" s="371"/>
      <c r="H59" s="371"/>
      <c r="I59" s="254"/>
      <c r="J59" s="374"/>
      <c r="K59" s="375"/>
      <c r="L59" s="376"/>
      <c r="M59" s="120"/>
      <c r="N59" s="369"/>
      <c r="O59" s="369"/>
      <c r="P59" s="369"/>
      <c r="Q59" s="119"/>
      <c r="R59" s="369"/>
      <c r="S59" s="369"/>
      <c r="T59" s="369"/>
      <c r="U59" s="369"/>
      <c r="V59" s="369"/>
      <c r="W59" s="120"/>
      <c r="X59" s="123"/>
      <c r="Y59" s="121" t="s">
        <v>156</v>
      </c>
      <c r="Z59" s="123"/>
      <c r="AA59" s="119"/>
      <c r="AB59" s="124"/>
      <c r="AC59" s="120"/>
      <c r="AD59" s="369"/>
      <c r="AE59" s="369"/>
      <c r="AF59" s="369"/>
      <c r="AG59" s="119"/>
      <c r="AH59" s="369"/>
      <c r="AI59" s="369"/>
      <c r="AJ59" s="369"/>
      <c r="AK59" s="120"/>
      <c r="AL59" s="369"/>
      <c r="AM59" s="369"/>
      <c r="AN59" s="369"/>
      <c r="AO59" s="49"/>
      <c r="AQ59" s="86"/>
      <c r="AR59" s="86"/>
      <c r="AS59" s="86"/>
      <c r="AT59" s="228" t="str">
        <f>IF($B59&lt;=入力シート!$F$85,IF(AU59&lt;&gt;"OK",AU59,IF(AV59&lt;&gt;"OK",AV59,IF(AW59&lt;&gt;"OK",AW59,IF(AX59&lt;&gt;"OK",AX59,IF(AY59&lt;&gt;"OK",AY59,IF(AZ59&lt;&gt;"OK",AZ59,IF(BA59&lt;&gt;"OK",BA59,BB59))))))),"")</f>
        <v/>
      </c>
      <c r="AU59" s="42" t="str">
        <f ca="1">中間シート!X232</f>
        <v>書類の種類を選択してください。</v>
      </c>
      <c r="AV59" s="41" t="str">
        <f ca="1">中間シート!X233</f>
        <v>認証・指定・認定番号または、整備士合格証書番号を入力してください。</v>
      </c>
      <c r="AW59" s="42" t="str">
        <f ca="1">中間シート!X234</f>
        <v>管轄運輸局を入力してください。</v>
      </c>
      <c r="AX59" s="41" t="str">
        <f ca="1">中間シート!X235</f>
        <v>事業場名を入力してください。</v>
      </c>
      <c r="AY59" s="42" t="str">
        <f ca="1">中間シート!X236</f>
        <v>郵便番号を入力してください。</v>
      </c>
      <c r="AZ59" s="41" t="str">
        <f ca="1">中間シート!X237</f>
        <v>都道府県を選択してください。</v>
      </c>
      <c r="BA59" s="42" t="str">
        <f ca="1">中間シート!X238</f>
        <v>市区町村を入力してください。</v>
      </c>
      <c r="BB59" s="41" t="str">
        <f ca="1">中間シート!X239</f>
        <v>町名地番を入力してください。</v>
      </c>
    </row>
    <row r="60" spans="2:54" s="41" customFormat="1" ht="5.0999999999999996" customHeight="1" thickBot="1" x14ac:dyDescent="0.2">
      <c r="C60" s="51"/>
      <c r="D60" s="52"/>
      <c r="E60" s="55"/>
      <c r="F60" s="380"/>
      <c r="G60" s="380"/>
      <c r="H60" s="380"/>
      <c r="I60" s="254"/>
      <c r="J60" s="122"/>
      <c r="K60" s="122"/>
      <c r="L60" s="122"/>
      <c r="M60" s="120"/>
      <c r="N60" s="122"/>
      <c r="O60" s="122"/>
      <c r="P60" s="122"/>
      <c r="Q60" s="119"/>
      <c r="R60" s="122"/>
      <c r="S60" s="122"/>
      <c r="T60" s="122"/>
      <c r="U60" s="122"/>
      <c r="V60" s="122"/>
      <c r="W60" s="120"/>
      <c r="X60" s="125"/>
      <c r="Y60" s="121"/>
      <c r="Z60" s="125"/>
      <c r="AA60" s="119"/>
      <c r="AB60" s="122"/>
      <c r="AC60" s="120"/>
      <c r="AD60" s="122"/>
      <c r="AE60" s="122"/>
      <c r="AF60" s="122"/>
      <c r="AG60" s="119"/>
      <c r="AH60" s="122"/>
      <c r="AI60" s="122"/>
      <c r="AJ60" s="122"/>
      <c r="AK60" s="120"/>
      <c r="AL60" s="122"/>
      <c r="AM60" s="122"/>
      <c r="AN60" s="122"/>
      <c r="AO60" s="52"/>
      <c r="AQ60" s="86"/>
      <c r="AR60" s="86"/>
      <c r="AS60" s="86"/>
      <c r="AT60" s="228"/>
    </row>
    <row r="61" spans="2:54" ht="18" customHeight="1" thickBot="1" x14ac:dyDescent="0.2">
      <c r="B61" s="42">
        <v>21</v>
      </c>
      <c r="C61" s="49"/>
      <c r="D61" s="52" t="s">
        <v>176</v>
      </c>
      <c r="E61" s="50"/>
      <c r="F61" s="371"/>
      <c r="G61" s="371"/>
      <c r="H61" s="371"/>
      <c r="I61" s="254"/>
      <c r="J61" s="374"/>
      <c r="K61" s="375"/>
      <c r="L61" s="376"/>
      <c r="M61" s="120"/>
      <c r="N61" s="369"/>
      <c r="O61" s="369"/>
      <c r="P61" s="369"/>
      <c r="Q61" s="119"/>
      <c r="R61" s="369"/>
      <c r="S61" s="369"/>
      <c r="T61" s="369"/>
      <c r="U61" s="369"/>
      <c r="V61" s="369"/>
      <c r="W61" s="120"/>
      <c r="X61" s="123"/>
      <c r="Y61" s="121" t="s">
        <v>156</v>
      </c>
      <c r="Z61" s="123"/>
      <c r="AA61" s="119"/>
      <c r="AB61" s="124"/>
      <c r="AC61" s="120"/>
      <c r="AD61" s="369"/>
      <c r="AE61" s="369"/>
      <c r="AF61" s="369"/>
      <c r="AG61" s="119"/>
      <c r="AH61" s="369"/>
      <c r="AI61" s="369"/>
      <c r="AJ61" s="369"/>
      <c r="AK61" s="120"/>
      <c r="AL61" s="369"/>
      <c r="AM61" s="369"/>
      <c r="AN61" s="369"/>
      <c r="AO61" s="49"/>
      <c r="AQ61" s="86"/>
      <c r="AR61" s="86"/>
      <c r="AS61" s="86"/>
      <c r="AT61" s="228" t="str">
        <f>IF($B61&lt;=入力シート!$F$85,IF(AU61&lt;&gt;"OK",AU61,IF(AV61&lt;&gt;"OK",AV61,IF(AW61&lt;&gt;"OK",AW61,IF(AX61&lt;&gt;"OK",AX61,IF(AY61&lt;&gt;"OK",AY61,IF(AZ61&lt;&gt;"OK",AZ61,IF(BA61&lt;&gt;"OK",BA61,BB61))))))),"")</f>
        <v/>
      </c>
      <c r="AU61" s="42" t="str">
        <f ca="1">中間シート!X241</f>
        <v>書類の種類を選択してください。</v>
      </c>
      <c r="AV61" s="41" t="str">
        <f ca="1">中間シート!X242</f>
        <v>認証・指定・認定番号または、整備士合格証書番号を入力してください。</v>
      </c>
      <c r="AW61" s="42" t="str">
        <f ca="1">中間シート!X243</f>
        <v>管轄運輸局を入力してください。</v>
      </c>
      <c r="AX61" s="41" t="str">
        <f ca="1">中間シート!X244</f>
        <v>事業場名を入力してください。</v>
      </c>
      <c r="AY61" s="42" t="str">
        <f ca="1">中間シート!X245</f>
        <v>郵便番号を入力してください。</v>
      </c>
      <c r="AZ61" s="41" t="str">
        <f ca="1">中間シート!X246</f>
        <v>都道府県を選択してください。</v>
      </c>
      <c r="BA61" s="42" t="str">
        <f ca="1">中間シート!X247</f>
        <v>市区町村を入力してください。</v>
      </c>
      <c r="BB61" s="41" t="str">
        <f ca="1">中間シート!X248</f>
        <v>町名地番を入力してください。</v>
      </c>
    </row>
    <row r="62" spans="2:54" s="41" customFormat="1" ht="5.0999999999999996" customHeight="1" thickBot="1" x14ac:dyDescent="0.2">
      <c r="C62" s="51"/>
      <c r="D62" s="52"/>
      <c r="E62" s="55"/>
      <c r="F62" s="372"/>
      <c r="G62" s="372"/>
      <c r="H62" s="372"/>
      <c r="I62" s="254"/>
      <c r="J62" s="122"/>
      <c r="K62" s="122"/>
      <c r="L62" s="122"/>
      <c r="M62" s="120"/>
      <c r="N62" s="122"/>
      <c r="O62" s="122"/>
      <c r="P62" s="122"/>
      <c r="Q62" s="119"/>
      <c r="R62" s="122"/>
      <c r="S62" s="122"/>
      <c r="T62" s="122"/>
      <c r="U62" s="122"/>
      <c r="V62" s="122"/>
      <c r="W62" s="120"/>
      <c r="X62" s="125"/>
      <c r="Y62" s="121"/>
      <c r="Z62" s="125"/>
      <c r="AA62" s="119"/>
      <c r="AB62" s="122"/>
      <c r="AC62" s="120"/>
      <c r="AD62" s="122"/>
      <c r="AE62" s="122"/>
      <c r="AF62" s="122"/>
      <c r="AG62" s="119"/>
      <c r="AH62" s="122"/>
      <c r="AI62" s="122"/>
      <c r="AJ62" s="122"/>
      <c r="AK62" s="120"/>
      <c r="AL62" s="122"/>
      <c r="AM62" s="122"/>
      <c r="AN62" s="122"/>
      <c r="AO62" s="52"/>
      <c r="AQ62" s="86"/>
      <c r="AR62" s="86"/>
      <c r="AS62" s="86"/>
      <c r="AT62" s="228"/>
    </row>
    <row r="63" spans="2:54" ht="18" customHeight="1" thickBot="1" x14ac:dyDescent="0.2">
      <c r="B63" s="42">
        <v>22</v>
      </c>
      <c r="C63" s="49"/>
      <c r="D63" s="52" t="s">
        <v>177</v>
      </c>
      <c r="E63" s="50"/>
      <c r="F63" s="371"/>
      <c r="G63" s="371"/>
      <c r="H63" s="371"/>
      <c r="I63" s="254"/>
      <c r="J63" s="374"/>
      <c r="K63" s="375"/>
      <c r="L63" s="376"/>
      <c r="M63" s="120"/>
      <c r="N63" s="369"/>
      <c r="O63" s="369"/>
      <c r="P63" s="369"/>
      <c r="Q63" s="119"/>
      <c r="R63" s="369"/>
      <c r="S63" s="369"/>
      <c r="T63" s="369"/>
      <c r="U63" s="369"/>
      <c r="V63" s="369"/>
      <c r="W63" s="120"/>
      <c r="X63" s="123"/>
      <c r="Y63" s="121" t="s">
        <v>156</v>
      </c>
      <c r="Z63" s="123"/>
      <c r="AA63" s="119"/>
      <c r="AB63" s="124"/>
      <c r="AC63" s="120"/>
      <c r="AD63" s="369"/>
      <c r="AE63" s="369"/>
      <c r="AF63" s="369"/>
      <c r="AG63" s="119"/>
      <c r="AH63" s="369"/>
      <c r="AI63" s="369"/>
      <c r="AJ63" s="369"/>
      <c r="AK63" s="120"/>
      <c r="AL63" s="369"/>
      <c r="AM63" s="369"/>
      <c r="AN63" s="369"/>
      <c r="AO63" s="49"/>
      <c r="AQ63" s="86"/>
      <c r="AR63" s="86"/>
      <c r="AS63" s="86"/>
      <c r="AT63" s="228" t="str">
        <f>IF($B63&lt;=入力シート!$F$85,IF(AU63&lt;&gt;"OK",AU63,IF(AV63&lt;&gt;"OK",AV63,IF(AW63&lt;&gt;"OK",AW63,IF(AX63&lt;&gt;"OK",AX63,IF(AY63&lt;&gt;"OK",AY63,IF(AZ63&lt;&gt;"OK",AZ63,IF(BA63&lt;&gt;"OK",BA63,BB63))))))),"")</f>
        <v/>
      </c>
      <c r="AU63" s="42" t="str">
        <f ca="1">中間シート!X250</f>
        <v>書類の種類を選択してください。</v>
      </c>
      <c r="AV63" s="41" t="str">
        <f ca="1">中間シート!X251</f>
        <v>認証・指定・認定番号または、整備士合格証書番号を入力してください。</v>
      </c>
      <c r="AW63" s="42" t="str">
        <f ca="1">中間シート!X252</f>
        <v>管轄運輸局を入力してください。</v>
      </c>
      <c r="AX63" s="41" t="str">
        <f ca="1">中間シート!X253</f>
        <v>事業場名を入力してください。</v>
      </c>
      <c r="AY63" s="42" t="str">
        <f ca="1">中間シート!X254</f>
        <v>郵便番号を入力してください。</v>
      </c>
      <c r="AZ63" s="41" t="str">
        <f ca="1">中間シート!X255</f>
        <v>都道府県を選択してください。</v>
      </c>
      <c r="BA63" s="42" t="str">
        <f ca="1">中間シート!X256</f>
        <v>市区町村を入力してください。</v>
      </c>
      <c r="BB63" s="41" t="str">
        <f ca="1">中間シート!X257</f>
        <v>町名地番を入力してください。</v>
      </c>
    </row>
    <row r="64" spans="2:54" s="41" customFormat="1" ht="5.0999999999999996" customHeight="1" thickBot="1" x14ac:dyDescent="0.2">
      <c r="C64" s="51"/>
      <c r="D64" s="52"/>
      <c r="E64" s="55"/>
      <c r="F64" s="372"/>
      <c r="G64" s="372"/>
      <c r="H64" s="372"/>
      <c r="I64" s="254"/>
      <c r="J64" s="122"/>
      <c r="K64" s="122"/>
      <c r="L64" s="122"/>
      <c r="M64" s="120"/>
      <c r="N64" s="122"/>
      <c r="O64" s="122"/>
      <c r="P64" s="122"/>
      <c r="Q64" s="119"/>
      <c r="R64" s="122"/>
      <c r="S64" s="122"/>
      <c r="T64" s="122"/>
      <c r="U64" s="122"/>
      <c r="V64" s="122"/>
      <c r="W64" s="120"/>
      <c r="X64" s="125"/>
      <c r="Y64" s="121"/>
      <c r="Z64" s="125"/>
      <c r="AA64" s="119"/>
      <c r="AB64" s="122"/>
      <c r="AC64" s="120"/>
      <c r="AD64" s="122"/>
      <c r="AE64" s="122"/>
      <c r="AF64" s="122"/>
      <c r="AG64" s="119"/>
      <c r="AH64" s="122"/>
      <c r="AI64" s="122"/>
      <c r="AJ64" s="122"/>
      <c r="AK64" s="120"/>
      <c r="AL64" s="122"/>
      <c r="AM64" s="122"/>
      <c r="AN64" s="122"/>
      <c r="AO64" s="52"/>
      <c r="AQ64" s="86"/>
      <c r="AR64" s="86"/>
      <c r="AS64" s="86"/>
      <c r="AT64" s="228"/>
    </row>
    <row r="65" spans="2:54" ht="18" customHeight="1" thickBot="1" x14ac:dyDescent="0.2">
      <c r="B65" s="42">
        <v>23</v>
      </c>
      <c r="C65" s="49"/>
      <c r="D65" s="52" t="s">
        <v>178</v>
      </c>
      <c r="E65" s="50"/>
      <c r="F65" s="371"/>
      <c r="G65" s="371"/>
      <c r="H65" s="371"/>
      <c r="I65" s="254"/>
      <c r="J65" s="374"/>
      <c r="K65" s="375"/>
      <c r="L65" s="376"/>
      <c r="M65" s="120"/>
      <c r="N65" s="369"/>
      <c r="O65" s="369"/>
      <c r="P65" s="369"/>
      <c r="Q65" s="119"/>
      <c r="R65" s="369"/>
      <c r="S65" s="369"/>
      <c r="T65" s="369"/>
      <c r="U65" s="369"/>
      <c r="V65" s="369"/>
      <c r="W65" s="120"/>
      <c r="X65" s="123"/>
      <c r="Y65" s="121" t="s">
        <v>156</v>
      </c>
      <c r="Z65" s="123"/>
      <c r="AA65" s="119"/>
      <c r="AB65" s="124"/>
      <c r="AC65" s="120"/>
      <c r="AD65" s="369"/>
      <c r="AE65" s="369"/>
      <c r="AF65" s="369"/>
      <c r="AG65" s="119"/>
      <c r="AH65" s="369"/>
      <c r="AI65" s="369"/>
      <c r="AJ65" s="369"/>
      <c r="AK65" s="120"/>
      <c r="AL65" s="369"/>
      <c r="AM65" s="369"/>
      <c r="AN65" s="369"/>
      <c r="AO65" s="49"/>
      <c r="AQ65" s="86"/>
      <c r="AR65" s="86"/>
      <c r="AS65" s="86"/>
      <c r="AT65" s="228" t="str">
        <f>IF($B65&lt;=入力シート!$F$85,IF(AU65&lt;&gt;"OK",AU65,IF(AV65&lt;&gt;"OK",AV65,IF(AW65&lt;&gt;"OK",AW65,IF(AX65&lt;&gt;"OK",AX65,IF(AY65&lt;&gt;"OK",AY65,IF(AZ65&lt;&gt;"OK",AZ65,IF(BA65&lt;&gt;"OK",BA65,BB65))))))),"")</f>
        <v/>
      </c>
      <c r="AU65" s="42" t="str">
        <f ca="1">中間シート!X259</f>
        <v>書類の種類を選択してください。</v>
      </c>
      <c r="AV65" s="41" t="str">
        <f ca="1">中間シート!X260</f>
        <v>認証・指定・認定番号または、整備士合格証書番号を入力してください。</v>
      </c>
      <c r="AW65" s="42" t="str">
        <f ca="1">中間シート!X261</f>
        <v>管轄運輸局を入力してください。</v>
      </c>
      <c r="AX65" s="41" t="str">
        <f ca="1">中間シート!X262</f>
        <v>事業場名を入力してください。</v>
      </c>
      <c r="AY65" s="42" t="str">
        <f ca="1">中間シート!X263</f>
        <v>郵便番号を入力してください。</v>
      </c>
      <c r="AZ65" s="41" t="str">
        <f ca="1">中間シート!X264</f>
        <v>都道府県を選択してください。</v>
      </c>
      <c r="BA65" s="42" t="str">
        <f ca="1">中間シート!X265</f>
        <v>市区町村を入力してください。</v>
      </c>
      <c r="BB65" s="41" t="str">
        <f ca="1">中間シート!X266</f>
        <v>町名地番を入力してください。</v>
      </c>
    </row>
    <row r="66" spans="2:54" s="41" customFormat="1" ht="5.0999999999999996" customHeight="1" thickBot="1" x14ac:dyDescent="0.2">
      <c r="C66" s="51"/>
      <c r="D66" s="52"/>
      <c r="E66" s="55"/>
      <c r="F66" s="372"/>
      <c r="G66" s="372"/>
      <c r="H66" s="372"/>
      <c r="I66" s="254"/>
      <c r="J66" s="122"/>
      <c r="K66" s="122"/>
      <c r="L66" s="122"/>
      <c r="M66" s="120"/>
      <c r="N66" s="122"/>
      <c r="O66" s="122"/>
      <c r="P66" s="122"/>
      <c r="Q66" s="119"/>
      <c r="R66" s="122"/>
      <c r="S66" s="122"/>
      <c r="T66" s="122"/>
      <c r="U66" s="122"/>
      <c r="V66" s="122"/>
      <c r="W66" s="120"/>
      <c r="X66" s="125"/>
      <c r="Y66" s="121"/>
      <c r="Z66" s="125"/>
      <c r="AA66" s="119"/>
      <c r="AB66" s="122"/>
      <c r="AC66" s="120"/>
      <c r="AD66" s="122"/>
      <c r="AE66" s="122"/>
      <c r="AF66" s="122"/>
      <c r="AG66" s="119"/>
      <c r="AH66" s="122"/>
      <c r="AI66" s="122"/>
      <c r="AJ66" s="122"/>
      <c r="AK66" s="120"/>
      <c r="AL66" s="122"/>
      <c r="AM66" s="122"/>
      <c r="AN66" s="122"/>
      <c r="AO66" s="52"/>
      <c r="AQ66" s="86"/>
      <c r="AR66" s="86"/>
      <c r="AS66" s="86"/>
      <c r="AT66" s="228"/>
    </row>
    <row r="67" spans="2:54" ht="18" customHeight="1" thickBot="1" x14ac:dyDescent="0.2">
      <c r="B67" s="42">
        <v>24</v>
      </c>
      <c r="C67" s="49"/>
      <c r="D67" s="52" t="s">
        <v>179</v>
      </c>
      <c r="E67" s="50"/>
      <c r="F67" s="371"/>
      <c r="G67" s="371"/>
      <c r="H67" s="371"/>
      <c r="I67" s="254"/>
      <c r="J67" s="374"/>
      <c r="K67" s="375"/>
      <c r="L67" s="376"/>
      <c r="M67" s="120"/>
      <c r="N67" s="369"/>
      <c r="O67" s="369"/>
      <c r="P67" s="369"/>
      <c r="Q67" s="119"/>
      <c r="R67" s="369"/>
      <c r="S67" s="369"/>
      <c r="T67" s="369"/>
      <c r="U67" s="369"/>
      <c r="V67" s="369"/>
      <c r="W67" s="120"/>
      <c r="X67" s="123"/>
      <c r="Y67" s="121" t="s">
        <v>156</v>
      </c>
      <c r="Z67" s="123"/>
      <c r="AA67" s="119"/>
      <c r="AB67" s="124"/>
      <c r="AC67" s="120"/>
      <c r="AD67" s="369"/>
      <c r="AE67" s="369"/>
      <c r="AF67" s="369"/>
      <c r="AG67" s="119"/>
      <c r="AH67" s="369"/>
      <c r="AI67" s="369"/>
      <c r="AJ67" s="369"/>
      <c r="AK67" s="120"/>
      <c r="AL67" s="369"/>
      <c r="AM67" s="369"/>
      <c r="AN67" s="369"/>
      <c r="AO67" s="49"/>
      <c r="AQ67" s="86"/>
      <c r="AR67" s="86"/>
      <c r="AS67" s="86"/>
      <c r="AT67" s="228" t="str">
        <f>IF($B67&lt;=入力シート!$F$85,IF(AU67&lt;&gt;"OK",AU67,IF(AV67&lt;&gt;"OK",AV67,IF(AW67&lt;&gt;"OK",AW67,IF(AX67&lt;&gt;"OK",AX67,IF(AY67&lt;&gt;"OK",AY67,IF(AZ67&lt;&gt;"OK",AZ67,IF(BA67&lt;&gt;"OK",BA67,BB67))))))),"")</f>
        <v/>
      </c>
      <c r="AU67" s="42" t="str">
        <f ca="1">中間シート!X268</f>
        <v>書類の種類を選択してください。</v>
      </c>
      <c r="AV67" s="41" t="str">
        <f ca="1">中間シート!X269</f>
        <v>認証・指定・認定番号または、整備士合格証書番号を入力してください。</v>
      </c>
      <c r="AW67" s="42" t="str">
        <f ca="1">中間シート!X270</f>
        <v>管轄運輸局を入力してください。</v>
      </c>
      <c r="AX67" s="41" t="str">
        <f ca="1">中間シート!X271</f>
        <v>事業場名を入力してください。</v>
      </c>
      <c r="AY67" s="42" t="str">
        <f ca="1">中間シート!X272</f>
        <v>郵便番号を入力してください。</v>
      </c>
      <c r="AZ67" s="41" t="str">
        <f ca="1">中間シート!X273</f>
        <v>都道府県を選択してください。</v>
      </c>
      <c r="BA67" s="42" t="str">
        <f ca="1">中間シート!X274</f>
        <v>市区町村を入力してください。</v>
      </c>
      <c r="BB67" s="41" t="str">
        <f ca="1">中間シート!X275</f>
        <v>町名地番を入力してください。</v>
      </c>
    </row>
    <row r="68" spans="2:54" s="41" customFormat="1" ht="5.0999999999999996" customHeight="1" thickBot="1" x14ac:dyDescent="0.2">
      <c r="C68" s="51"/>
      <c r="D68" s="52"/>
      <c r="E68" s="55"/>
      <c r="F68" s="372"/>
      <c r="G68" s="372"/>
      <c r="H68" s="372"/>
      <c r="I68" s="254"/>
      <c r="J68" s="122"/>
      <c r="K68" s="122"/>
      <c r="L68" s="122"/>
      <c r="M68" s="120"/>
      <c r="N68" s="122"/>
      <c r="O68" s="122"/>
      <c r="P68" s="122"/>
      <c r="Q68" s="119"/>
      <c r="R68" s="122"/>
      <c r="S68" s="122"/>
      <c r="T68" s="122"/>
      <c r="U68" s="122"/>
      <c r="V68" s="122"/>
      <c r="W68" s="120"/>
      <c r="X68" s="125"/>
      <c r="Y68" s="121"/>
      <c r="Z68" s="125"/>
      <c r="AA68" s="119"/>
      <c r="AB68" s="122"/>
      <c r="AC68" s="120"/>
      <c r="AD68" s="122"/>
      <c r="AE68" s="122"/>
      <c r="AF68" s="122"/>
      <c r="AG68" s="119"/>
      <c r="AH68" s="122"/>
      <c r="AI68" s="122"/>
      <c r="AJ68" s="122"/>
      <c r="AK68" s="120"/>
      <c r="AL68" s="122"/>
      <c r="AM68" s="122"/>
      <c r="AN68" s="122"/>
      <c r="AO68" s="52"/>
      <c r="AQ68" s="86"/>
      <c r="AR68" s="86"/>
      <c r="AS68" s="86"/>
      <c r="AT68" s="228"/>
    </row>
    <row r="69" spans="2:54" ht="18" customHeight="1" thickBot="1" x14ac:dyDescent="0.2">
      <c r="B69" s="42">
        <v>25</v>
      </c>
      <c r="C69" s="49"/>
      <c r="D69" s="52" t="s">
        <v>180</v>
      </c>
      <c r="E69" s="50"/>
      <c r="F69" s="371"/>
      <c r="G69" s="371"/>
      <c r="H69" s="371"/>
      <c r="I69" s="254"/>
      <c r="J69" s="374"/>
      <c r="K69" s="375"/>
      <c r="L69" s="376"/>
      <c r="M69" s="120"/>
      <c r="N69" s="369"/>
      <c r="O69" s="369"/>
      <c r="P69" s="369"/>
      <c r="Q69" s="119"/>
      <c r="R69" s="369"/>
      <c r="S69" s="369"/>
      <c r="T69" s="369"/>
      <c r="U69" s="369"/>
      <c r="V69" s="369"/>
      <c r="W69" s="120"/>
      <c r="X69" s="123"/>
      <c r="Y69" s="121" t="s">
        <v>156</v>
      </c>
      <c r="Z69" s="123"/>
      <c r="AA69" s="119"/>
      <c r="AB69" s="124"/>
      <c r="AC69" s="120"/>
      <c r="AD69" s="369"/>
      <c r="AE69" s="369"/>
      <c r="AF69" s="369"/>
      <c r="AG69" s="119"/>
      <c r="AH69" s="369"/>
      <c r="AI69" s="369"/>
      <c r="AJ69" s="369"/>
      <c r="AK69" s="120"/>
      <c r="AL69" s="369"/>
      <c r="AM69" s="369"/>
      <c r="AN69" s="369"/>
      <c r="AO69" s="49"/>
      <c r="AQ69" s="86"/>
      <c r="AR69" s="86"/>
      <c r="AS69" s="86"/>
      <c r="AT69" s="228" t="str">
        <f>IF($B69&lt;=入力シート!$F$85,IF(AU69&lt;&gt;"OK",AU69,IF(AV69&lt;&gt;"OK",AV69,IF(AW69&lt;&gt;"OK",AW69,IF(AX69&lt;&gt;"OK",AX69,IF(AY69&lt;&gt;"OK",AY69,IF(AZ69&lt;&gt;"OK",AZ69,IF(BA69&lt;&gt;"OK",BA69,BB69))))))),"")</f>
        <v/>
      </c>
      <c r="AU69" s="42" t="str">
        <f ca="1">中間シート!X277</f>
        <v>書類の種類を選択してください。</v>
      </c>
      <c r="AV69" s="41" t="str">
        <f ca="1">中間シート!X278</f>
        <v>認証・指定・認定番号または、整備士合格証書番号を入力してください。</v>
      </c>
      <c r="AW69" s="42" t="str">
        <f ca="1">中間シート!X279</f>
        <v>管轄運輸局を入力してください。</v>
      </c>
      <c r="AX69" s="41" t="str">
        <f ca="1">中間シート!X280</f>
        <v>事業場名を入力してください。</v>
      </c>
      <c r="AY69" s="42" t="str">
        <f ca="1">中間シート!X281</f>
        <v>郵便番号を入力してください。</v>
      </c>
      <c r="AZ69" s="41" t="str">
        <f ca="1">中間シート!X282</f>
        <v>都道府県を選択してください。</v>
      </c>
      <c r="BA69" s="42" t="str">
        <f ca="1">中間シート!X283</f>
        <v>市区町村を入力してください。</v>
      </c>
      <c r="BB69" s="41" t="str">
        <f ca="1">中間シート!X284</f>
        <v>町名地番を入力してください。</v>
      </c>
    </row>
    <row r="70" spans="2:54" s="41" customFormat="1" ht="5.0999999999999996" customHeight="1" thickBot="1" x14ac:dyDescent="0.2">
      <c r="C70" s="51"/>
      <c r="D70" s="52"/>
      <c r="E70" s="55"/>
      <c r="F70" s="372"/>
      <c r="G70" s="372"/>
      <c r="H70" s="372"/>
      <c r="I70" s="254"/>
      <c r="J70" s="122"/>
      <c r="K70" s="122"/>
      <c r="L70" s="122"/>
      <c r="M70" s="120"/>
      <c r="N70" s="122"/>
      <c r="O70" s="122"/>
      <c r="P70" s="122"/>
      <c r="Q70" s="119"/>
      <c r="R70" s="122"/>
      <c r="S70" s="122"/>
      <c r="T70" s="122"/>
      <c r="U70" s="122"/>
      <c r="V70" s="122"/>
      <c r="W70" s="120"/>
      <c r="X70" s="125"/>
      <c r="Y70" s="121"/>
      <c r="Z70" s="125"/>
      <c r="AA70" s="119"/>
      <c r="AB70" s="122"/>
      <c r="AC70" s="120"/>
      <c r="AD70" s="122"/>
      <c r="AE70" s="122"/>
      <c r="AF70" s="122"/>
      <c r="AG70" s="119"/>
      <c r="AH70" s="122"/>
      <c r="AI70" s="122"/>
      <c r="AJ70" s="122"/>
      <c r="AK70" s="120"/>
      <c r="AL70" s="122"/>
      <c r="AM70" s="122"/>
      <c r="AN70" s="122"/>
      <c r="AO70" s="52"/>
      <c r="AQ70" s="86"/>
      <c r="AR70" s="86"/>
      <c r="AS70" s="86"/>
      <c r="AT70" s="228"/>
    </row>
    <row r="71" spans="2:54" ht="18" customHeight="1" thickBot="1" x14ac:dyDescent="0.2">
      <c r="B71" s="42">
        <v>26</v>
      </c>
      <c r="C71" s="49"/>
      <c r="D71" s="52" t="s">
        <v>181</v>
      </c>
      <c r="E71" s="50"/>
      <c r="F71" s="371"/>
      <c r="G71" s="371"/>
      <c r="H71" s="371"/>
      <c r="I71" s="254"/>
      <c r="J71" s="374"/>
      <c r="K71" s="375"/>
      <c r="L71" s="376"/>
      <c r="M71" s="120"/>
      <c r="N71" s="369"/>
      <c r="O71" s="369"/>
      <c r="P71" s="369"/>
      <c r="Q71" s="119"/>
      <c r="R71" s="369"/>
      <c r="S71" s="369"/>
      <c r="T71" s="369"/>
      <c r="U71" s="369"/>
      <c r="V71" s="369"/>
      <c r="W71" s="120"/>
      <c r="X71" s="123"/>
      <c r="Y71" s="121" t="s">
        <v>156</v>
      </c>
      <c r="Z71" s="123"/>
      <c r="AA71" s="119"/>
      <c r="AB71" s="124"/>
      <c r="AC71" s="120"/>
      <c r="AD71" s="369"/>
      <c r="AE71" s="369"/>
      <c r="AF71" s="369"/>
      <c r="AG71" s="119"/>
      <c r="AH71" s="369"/>
      <c r="AI71" s="369"/>
      <c r="AJ71" s="369"/>
      <c r="AK71" s="120"/>
      <c r="AL71" s="369"/>
      <c r="AM71" s="369"/>
      <c r="AN71" s="369"/>
      <c r="AO71" s="49"/>
      <c r="AQ71" s="86"/>
      <c r="AR71" s="86"/>
      <c r="AS71" s="86"/>
      <c r="AT71" s="228" t="str">
        <f>IF($B71&lt;=入力シート!$F$85,IF(AU71&lt;&gt;"OK",AU71,IF(AV71&lt;&gt;"OK",AV71,IF(AW71&lt;&gt;"OK",AW71,IF(AX71&lt;&gt;"OK",AX71,IF(AY71&lt;&gt;"OK",AY71,IF(AZ71&lt;&gt;"OK",AZ71,IF(BA71&lt;&gt;"OK",BA71,BB71))))))),"")</f>
        <v/>
      </c>
      <c r="AU71" s="42" t="str">
        <f ca="1">中間シート!X286</f>
        <v>書類の種類を選択してください。</v>
      </c>
      <c r="AV71" s="41" t="str">
        <f ca="1">中間シート!X287</f>
        <v>認証・指定・認定番号または、整備士合格証書番号を入力してください。</v>
      </c>
      <c r="AW71" s="42" t="str">
        <f ca="1">中間シート!X288</f>
        <v>管轄運輸局を入力してください。</v>
      </c>
      <c r="AX71" s="41" t="str">
        <f ca="1">中間シート!X289</f>
        <v>事業場名を入力してください。</v>
      </c>
      <c r="AY71" s="42" t="str">
        <f ca="1">中間シート!X290</f>
        <v>郵便番号を入力してください。</v>
      </c>
      <c r="AZ71" s="41" t="str">
        <f ca="1">中間シート!X291</f>
        <v>都道府県を選択してください。</v>
      </c>
      <c r="BA71" s="42" t="str">
        <f ca="1">中間シート!X292</f>
        <v>市区町村を入力してください。</v>
      </c>
      <c r="BB71" s="41" t="str">
        <f ca="1">中間シート!X293</f>
        <v>町名地番を入力してください。</v>
      </c>
    </row>
    <row r="72" spans="2:54" s="41" customFormat="1" ht="5.0999999999999996" customHeight="1" thickBot="1" x14ac:dyDescent="0.2">
      <c r="C72" s="51"/>
      <c r="D72" s="52"/>
      <c r="E72" s="55"/>
      <c r="F72" s="372"/>
      <c r="G72" s="372"/>
      <c r="H72" s="372"/>
      <c r="I72" s="254"/>
      <c r="J72" s="122"/>
      <c r="K72" s="122"/>
      <c r="L72" s="122"/>
      <c r="M72" s="120"/>
      <c r="N72" s="122"/>
      <c r="O72" s="122"/>
      <c r="P72" s="122"/>
      <c r="Q72" s="119"/>
      <c r="R72" s="122"/>
      <c r="S72" s="122"/>
      <c r="T72" s="122"/>
      <c r="U72" s="122"/>
      <c r="V72" s="122"/>
      <c r="W72" s="120"/>
      <c r="X72" s="125"/>
      <c r="Y72" s="121"/>
      <c r="Z72" s="125"/>
      <c r="AA72" s="119"/>
      <c r="AB72" s="122"/>
      <c r="AC72" s="120"/>
      <c r="AD72" s="122"/>
      <c r="AE72" s="122"/>
      <c r="AF72" s="122"/>
      <c r="AG72" s="119"/>
      <c r="AH72" s="122"/>
      <c r="AI72" s="122"/>
      <c r="AJ72" s="122"/>
      <c r="AK72" s="120"/>
      <c r="AL72" s="122"/>
      <c r="AM72" s="122"/>
      <c r="AN72" s="122"/>
      <c r="AO72" s="52"/>
      <c r="AQ72" s="86"/>
      <c r="AR72" s="86"/>
      <c r="AS72" s="86"/>
      <c r="AT72" s="228"/>
    </row>
    <row r="73" spans="2:54" ht="18" customHeight="1" thickBot="1" x14ac:dyDescent="0.2">
      <c r="B73" s="42">
        <v>27</v>
      </c>
      <c r="C73" s="49"/>
      <c r="D73" s="52" t="s">
        <v>182</v>
      </c>
      <c r="E73" s="50"/>
      <c r="F73" s="371"/>
      <c r="G73" s="371"/>
      <c r="H73" s="371"/>
      <c r="I73" s="254"/>
      <c r="J73" s="374"/>
      <c r="K73" s="375"/>
      <c r="L73" s="376"/>
      <c r="M73" s="120"/>
      <c r="N73" s="369"/>
      <c r="O73" s="369"/>
      <c r="P73" s="369"/>
      <c r="Q73" s="119"/>
      <c r="R73" s="369"/>
      <c r="S73" s="369"/>
      <c r="T73" s="369"/>
      <c r="U73" s="369"/>
      <c r="V73" s="369"/>
      <c r="W73" s="120"/>
      <c r="X73" s="123"/>
      <c r="Y73" s="121" t="s">
        <v>156</v>
      </c>
      <c r="Z73" s="123"/>
      <c r="AA73" s="119"/>
      <c r="AB73" s="124"/>
      <c r="AC73" s="120"/>
      <c r="AD73" s="369"/>
      <c r="AE73" s="369"/>
      <c r="AF73" s="369"/>
      <c r="AG73" s="119"/>
      <c r="AH73" s="369"/>
      <c r="AI73" s="369"/>
      <c r="AJ73" s="369"/>
      <c r="AK73" s="120"/>
      <c r="AL73" s="369"/>
      <c r="AM73" s="369"/>
      <c r="AN73" s="369"/>
      <c r="AO73" s="49"/>
      <c r="AQ73" s="86"/>
      <c r="AR73" s="86"/>
      <c r="AS73" s="86"/>
      <c r="AT73" s="228" t="str">
        <f>IF($B73&lt;=入力シート!$F$85,IF(AU73&lt;&gt;"OK",AU73,IF(AV73&lt;&gt;"OK",AV73,IF(AW73&lt;&gt;"OK",AW73,IF(AX73&lt;&gt;"OK",AX73,IF(AY73&lt;&gt;"OK",AY73,IF(AZ73&lt;&gt;"OK",AZ73,IF(BA73&lt;&gt;"OK",BA73,BB73))))))),"")</f>
        <v/>
      </c>
      <c r="AU73" s="42" t="str">
        <f ca="1">中間シート!X295</f>
        <v>書類の種類を選択してください。</v>
      </c>
      <c r="AV73" s="41" t="str">
        <f ca="1">中間シート!X296</f>
        <v>認証・指定・認定番号または、整備士合格証書番号を入力してください。</v>
      </c>
      <c r="AW73" s="42" t="str">
        <f ca="1">中間シート!X297</f>
        <v>管轄運輸局を入力してください。</v>
      </c>
      <c r="AX73" s="41" t="str">
        <f ca="1">中間シート!X298</f>
        <v>事業場名を入力してください。</v>
      </c>
      <c r="AY73" s="42" t="str">
        <f ca="1">中間シート!X299</f>
        <v>郵便番号を入力してください。</v>
      </c>
      <c r="AZ73" s="41" t="str">
        <f ca="1">中間シート!X300</f>
        <v>都道府県を選択してください。</v>
      </c>
      <c r="BA73" s="42" t="str">
        <f ca="1">中間シート!X301</f>
        <v>市区町村を入力してください。</v>
      </c>
      <c r="BB73" s="41" t="str">
        <f ca="1">中間シート!X302</f>
        <v>町名地番を入力してください。</v>
      </c>
    </row>
    <row r="74" spans="2:54" s="41" customFormat="1" ht="5.0999999999999996" customHeight="1" thickBot="1" x14ac:dyDescent="0.2">
      <c r="C74" s="51"/>
      <c r="D74" s="52"/>
      <c r="E74" s="55"/>
      <c r="F74" s="372"/>
      <c r="G74" s="372"/>
      <c r="H74" s="372"/>
      <c r="I74" s="254"/>
      <c r="J74" s="122"/>
      <c r="K74" s="122"/>
      <c r="L74" s="122"/>
      <c r="M74" s="120"/>
      <c r="N74" s="122"/>
      <c r="O74" s="122"/>
      <c r="P74" s="122"/>
      <c r="Q74" s="119"/>
      <c r="R74" s="122"/>
      <c r="S74" s="122"/>
      <c r="T74" s="122"/>
      <c r="U74" s="122"/>
      <c r="V74" s="122"/>
      <c r="W74" s="120"/>
      <c r="X74" s="125"/>
      <c r="Y74" s="121"/>
      <c r="Z74" s="125"/>
      <c r="AA74" s="119"/>
      <c r="AB74" s="122"/>
      <c r="AC74" s="120"/>
      <c r="AD74" s="122"/>
      <c r="AE74" s="122"/>
      <c r="AF74" s="122"/>
      <c r="AG74" s="119"/>
      <c r="AH74" s="122"/>
      <c r="AI74" s="122"/>
      <c r="AJ74" s="122"/>
      <c r="AK74" s="120"/>
      <c r="AL74" s="122"/>
      <c r="AM74" s="122"/>
      <c r="AN74" s="122"/>
      <c r="AO74" s="52"/>
      <c r="AQ74" s="86"/>
      <c r="AR74" s="86"/>
      <c r="AS74" s="86"/>
      <c r="AT74" s="228"/>
    </row>
    <row r="75" spans="2:54" ht="18" customHeight="1" thickBot="1" x14ac:dyDescent="0.2">
      <c r="B75" s="42">
        <v>28</v>
      </c>
      <c r="C75" s="49"/>
      <c r="D75" s="52" t="s">
        <v>183</v>
      </c>
      <c r="E75" s="50"/>
      <c r="F75" s="371"/>
      <c r="G75" s="371"/>
      <c r="H75" s="371"/>
      <c r="I75" s="254"/>
      <c r="J75" s="374"/>
      <c r="K75" s="375"/>
      <c r="L75" s="376"/>
      <c r="M75" s="120"/>
      <c r="N75" s="369"/>
      <c r="O75" s="369"/>
      <c r="P75" s="369"/>
      <c r="Q75" s="119"/>
      <c r="R75" s="369"/>
      <c r="S75" s="369"/>
      <c r="T75" s="369"/>
      <c r="U75" s="369"/>
      <c r="V75" s="369"/>
      <c r="W75" s="120"/>
      <c r="X75" s="123"/>
      <c r="Y75" s="121" t="s">
        <v>156</v>
      </c>
      <c r="Z75" s="123"/>
      <c r="AA75" s="119"/>
      <c r="AB75" s="124"/>
      <c r="AC75" s="120"/>
      <c r="AD75" s="369"/>
      <c r="AE75" s="369"/>
      <c r="AF75" s="369"/>
      <c r="AG75" s="119"/>
      <c r="AH75" s="369"/>
      <c r="AI75" s="369"/>
      <c r="AJ75" s="369"/>
      <c r="AK75" s="120"/>
      <c r="AL75" s="369"/>
      <c r="AM75" s="369"/>
      <c r="AN75" s="369"/>
      <c r="AO75" s="49"/>
      <c r="AQ75" s="86"/>
      <c r="AR75" s="86"/>
      <c r="AS75" s="86"/>
      <c r="AT75" s="228" t="str">
        <f>IF($B75&lt;=入力シート!$F$85,IF(AU75&lt;&gt;"OK",AU75,IF(AV75&lt;&gt;"OK",AV75,IF(AW75&lt;&gt;"OK",AW75,IF(AX75&lt;&gt;"OK",AX75,IF(AY75&lt;&gt;"OK",AY75,IF(AZ75&lt;&gt;"OK",AZ75,IF(BA75&lt;&gt;"OK",BA75,BB75))))))),"")</f>
        <v/>
      </c>
      <c r="AU75" s="42" t="str">
        <f ca="1">中間シート!X304</f>
        <v>書類の種類を選択してください。</v>
      </c>
      <c r="AV75" s="41" t="str">
        <f ca="1">中間シート!X305</f>
        <v>認証・指定・認定番号または、整備士合格証書番号を入力してください。</v>
      </c>
      <c r="AW75" s="42" t="str">
        <f ca="1">中間シート!X306</f>
        <v>管轄運輸局を入力してください。</v>
      </c>
      <c r="AX75" s="41" t="str">
        <f ca="1">中間シート!X307</f>
        <v>事業場名を入力してください。</v>
      </c>
      <c r="AY75" s="42" t="str">
        <f ca="1">中間シート!X308</f>
        <v>郵便番号を入力してください。</v>
      </c>
      <c r="AZ75" s="41" t="str">
        <f ca="1">中間シート!X309</f>
        <v>都道府県を選択してください。</v>
      </c>
      <c r="BA75" s="42" t="str">
        <f ca="1">中間シート!X310</f>
        <v>市区町村を入力してください。</v>
      </c>
      <c r="BB75" s="41" t="str">
        <f ca="1">中間シート!X311</f>
        <v>町名地番を入力してください。</v>
      </c>
    </row>
    <row r="76" spans="2:54" s="41" customFormat="1" ht="5.0999999999999996" customHeight="1" thickBot="1" x14ac:dyDescent="0.2">
      <c r="C76" s="51"/>
      <c r="D76" s="52"/>
      <c r="E76" s="55"/>
      <c r="F76" s="372"/>
      <c r="G76" s="372"/>
      <c r="H76" s="372"/>
      <c r="I76" s="254"/>
      <c r="J76" s="122"/>
      <c r="K76" s="122"/>
      <c r="L76" s="122"/>
      <c r="M76" s="120"/>
      <c r="N76" s="122"/>
      <c r="O76" s="122"/>
      <c r="P76" s="122"/>
      <c r="Q76" s="119"/>
      <c r="R76" s="122"/>
      <c r="S76" s="122"/>
      <c r="T76" s="122"/>
      <c r="U76" s="122"/>
      <c r="V76" s="122"/>
      <c r="W76" s="120"/>
      <c r="X76" s="125"/>
      <c r="Y76" s="121"/>
      <c r="Z76" s="125"/>
      <c r="AA76" s="119"/>
      <c r="AB76" s="122"/>
      <c r="AC76" s="120"/>
      <c r="AD76" s="122"/>
      <c r="AE76" s="122"/>
      <c r="AF76" s="122"/>
      <c r="AG76" s="119"/>
      <c r="AH76" s="122"/>
      <c r="AI76" s="122"/>
      <c r="AJ76" s="122"/>
      <c r="AK76" s="120"/>
      <c r="AL76" s="122"/>
      <c r="AM76" s="122"/>
      <c r="AN76" s="122"/>
      <c r="AO76" s="52"/>
      <c r="AQ76" s="86"/>
      <c r="AR76" s="86"/>
      <c r="AS76" s="86"/>
      <c r="AT76" s="228"/>
    </row>
    <row r="77" spans="2:54" ht="18" customHeight="1" thickBot="1" x14ac:dyDescent="0.2">
      <c r="B77" s="42">
        <v>29</v>
      </c>
      <c r="C77" s="49"/>
      <c r="D77" s="52" t="s">
        <v>184</v>
      </c>
      <c r="E77" s="50"/>
      <c r="F77" s="371"/>
      <c r="G77" s="371"/>
      <c r="H77" s="371"/>
      <c r="I77" s="254"/>
      <c r="J77" s="374"/>
      <c r="K77" s="375"/>
      <c r="L77" s="376"/>
      <c r="M77" s="120"/>
      <c r="N77" s="369"/>
      <c r="O77" s="369"/>
      <c r="P77" s="369"/>
      <c r="Q77" s="119"/>
      <c r="R77" s="369"/>
      <c r="S77" s="369"/>
      <c r="T77" s="369"/>
      <c r="U77" s="369"/>
      <c r="V77" s="369"/>
      <c r="W77" s="120"/>
      <c r="X77" s="123"/>
      <c r="Y77" s="121" t="s">
        <v>156</v>
      </c>
      <c r="Z77" s="123"/>
      <c r="AA77" s="119"/>
      <c r="AB77" s="124"/>
      <c r="AC77" s="120"/>
      <c r="AD77" s="369"/>
      <c r="AE77" s="369"/>
      <c r="AF77" s="369"/>
      <c r="AG77" s="119"/>
      <c r="AH77" s="369"/>
      <c r="AI77" s="369"/>
      <c r="AJ77" s="369"/>
      <c r="AK77" s="120"/>
      <c r="AL77" s="369"/>
      <c r="AM77" s="369"/>
      <c r="AN77" s="369"/>
      <c r="AO77" s="49"/>
      <c r="AQ77" s="86"/>
      <c r="AR77" s="86"/>
      <c r="AS77" s="86"/>
      <c r="AT77" s="228" t="str">
        <f>IF($B77&lt;=入力シート!$F$85,IF(AU77&lt;&gt;"OK",AU77,IF(AV77&lt;&gt;"OK",AV77,IF(AW77&lt;&gt;"OK",AW77,IF(AX77&lt;&gt;"OK",AX77,IF(AY77&lt;&gt;"OK",AY77,IF(AZ77&lt;&gt;"OK",AZ77,IF(BA77&lt;&gt;"OK",BA77,BB77))))))),"")</f>
        <v/>
      </c>
      <c r="AU77" s="42" t="str">
        <f ca="1">中間シート!X313</f>
        <v>書類の種類を選択してください。</v>
      </c>
      <c r="AV77" s="41" t="str">
        <f ca="1">中間シート!X314</f>
        <v>認証・指定・認定番号または、整備士合格証書番号を入力してください。</v>
      </c>
      <c r="AW77" s="42" t="str">
        <f ca="1">中間シート!X315</f>
        <v>管轄運輸局を入力してください。</v>
      </c>
      <c r="AX77" s="41" t="str">
        <f ca="1">中間シート!X316</f>
        <v>事業場名を入力してください。</v>
      </c>
      <c r="AY77" s="42" t="str">
        <f ca="1">中間シート!X317</f>
        <v>郵便番号を入力してください。</v>
      </c>
      <c r="AZ77" s="41" t="str">
        <f ca="1">中間シート!X318</f>
        <v>都道府県を選択してください。</v>
      </c>
      <c r="BA77" s="42" t="str">
        <f ca="1">中間シート!X319</f>
        <v>市区町村を入力してください。</v>
      </c>
      <c r="BB77" s="41" t="str">
        <f ca="1">中間シート!X320</f>
        <v>町名地番を入力してください。</v>
      </c>
    </row>
    <row r="78" spans="2:54" s="41" customFormat="1" ht="5.0999999999999996" customHeight="1" thickBot="1" x14ac:dyDescent="0.2">
      <c r="C78" s="51"/>
      <c r="D78" s="52"/>
      <c r="E78" s="55"/>
      <c r="F78" s="372"/>
      <c r="G78" s="372"/>
      <c r="H78" s="372"/>
      <c r="I78" s="254"/>
      <c r="J78" s="122"/>
      <c r="K78" s="122"/>
      <c r="L78" s="122"/>
      <c r="M78" s="120"/>
      <c r="N78" s="122"/>
      <c r="O78" s="122"/>
      <c r="P78" s="122"/>
      <c r="Q78" s="119"/>
      <c r="R78" s="122"/>
      <c r="S78" s="122"/>
      <c r="T78" s="122"/>
      <c r="U78" s="122"/>
      <c r="V78" s="122"/>
      <c r="W78" s="120"/>
      <c r="X78" s="125"/>
      <c r="Y78" s="121"/>
      <c r="Z78" s="125"/>
      <c r="AA78" s="119"/>
      <c r="AB78" s="122"/>
      <c r="AC78" s="120"/>
      <c r="AD78" s="122"/>
      <c r="AE78" s="122"/>
      <c r="AF78" s="122"/>
      <c r="AG78" s="119"/>
      <c r="AH78" s="122"/>
      <c r="AI78" s="122"/>
      <c r="AJ78" s="122"/>
      <c r="AK78" s="120"/>
      <c r="AL78" s="122"/>
      <c r="AM78" s="122"/>
      <c r="AN78" s="122"/>
      <c r="AO78" s="52"/>
      <c r="AQ78" s="86"/>
      <c r="AR78" s="86"/>
      <c r="AS78" s="86"/>
      <c r="AT78" s="228"/>
    </row>
    <row r="79" spans="2:54" ht="18" customHeight="1" thickBot="1" x14ac:dyDescent="0.2">
      <c r="B79" s="42">
        <v>30</v>
      </c>
      <c r="C79" s="49"/>
      <c r="D79" s="52" t="s">
        <v>185</v>
      </c>
      <c r="E79" s="50"/>
      <c r="F79" s="371"/>
      <c r="G79" s="371"/>
      <c r="H79" s="371"/>
      <c r="I79" s="254"/>
      <c r="J79" s="374"/>
      <c r="K79" s="375"/>
      <c r="L79" s="376"/>
      <c r="M79" s="120"/>
      <c r="N79" s="369"/>
      <c r="O79" s="369"/>
      <c r="P79" s="369"/>
      <c r="Q79" s="119"/>
      <c r="R79" s="369"/>
      <c r="S79" s="369"/>
      <c r="T79" s="369"/>
      <c r="U79" s="369"/>
      <c r="V79" s="369"/>
      <c r="W79" s="120"/>
      <c r="X79" s="123"/>
      <c r="Y79" s="121" t="s">
        <v>156</v>
      </c>
      <c r="Z79" s="123"/>
      <c r="AA79" s="119"/>
      <c r="AB79" s="124"/>
      <c r="AC79" s="120"/>
      <c r="AD79" s="369"/>
      <c r="AE79" s="369"/>
      <c r="AF79" s="369"/>
      <c r="AG79" s="119"/>
      <c r="AH79" s="369"/>
      <c r="AI79" s="369"/>
      <c r="AJ79" s="369"/>
      <c r="AK79" s="120"/>
      <c r="AL79" s="369"/>
      <c r="AM79" s="369"/>
      <c r="AN79" s="369"/>
      <c r="AO79" s="49"/>
      <c r="AQ79" s="86"/>
      <c r="AR79" s="86"/>
      <c r="AS79" s="86"/>
      <c r="AT79" s="228" t="str">
        <f>IF($B79&lt;=入力シート!$F$85,IF(AU79&lt;&gt;"OK",AU79,IF(AV79&lt;&gt;"OK",AV79,IF(AW79&lt;&gt;"OK",AW79,IF(AX79&lt;&gt;"OK",AX79,IF(AY79&lt;&gt;"OK",AY79,IF(AZ79&lt;&gt;"OK",AZ79,IF(BA79&lt;&gt;"OK",BA79,BB79))))))),"")</f>
        <v/>
      </c>
      <c r="AU79" s="42" t="str">
        <f ca="1">中間シート!X322</f>
        <v>書類の種類を選択してください。</v>
      </c>
      <c r="AV79" s="41" t="str">
        <f ca="1">中間シート!X323</f>
        <v>認証・指定・認定番号または、整備士合格証書番号を入力してください。</v>
      </c>
      <c r="AW79" s="42" t="str">
        <f ca="1">中間シート!X324</f>
        <v>管轄運輸局を入力してください。</v>
      </c>
      <c r="AX79" s="41" t="str">
        <f ca="1">中間シート!X325</f>
        <v>事業場名を入力してください。</v>
      </c>
      <c r="AY79" s="42" t="str">
        <f ca="1">中間シート!X326</f>
        <v>郵便番号を入力してください。</v>
      </c>
      <c r="AZ79" s="41" t="str">
        <f ca="1">中間シート!X327</f>
        <v>都道府県を選択してください。</v>
      </c>
      <c r="BA79" s="42" t="str">
        <f ca="1">中間シート!X328</f>
        <v>市区町村を入力してください。</v>
      </c>
      <c r="BB79" s="41" t="str">
        <f ca="1">中間シート!X329</f>
        <v>町名地番を入力してください。</v>
      </c>
    </row>
    <row r="80" spans="2:54" s="41" customFormat="1" ht="5.0999999999999996" customHeight="1" thickBot="1" x14ac:dyDescent="0.2">
      <c r="C80" s="51"/>
      <c r="D80" s="52"/>
      <c r="E80" s="55"/>
      <c r="F80" s="372"/>
      <c r="G80" s="372"/>
      <c r="H80" s="372"/>
      <c r="I80" s="254"/>
      <c r="J80" s="122"/>
      <c r="K80" s="122"/>
      <c r="L80" s="122"/>
      <c r="M80" s="120"/>
      <c r="N80" s="122"/>
      <c r="O80" s="122"/>
      <c r="P80" s="122"/>
      <c r="Q80" s="119"/>
      <c r="R80" s="122"/>
      <c r="S80" s="122"/>
      <c r="T80" s="122"/>
      <c r="U80" s="122"/>
      <c r="V80" s="122"/>
      <c r="W80" s="120"/>
      <c r="X80" s="125"/>
      <c r="Y80" s="121"/>
      <c r="Z80" s="125"/>
      <c r="AA80" s="119"/>
      <c r="AB80" s="122"/>
      <c r="AC80" s="120"/>
      <c r="AD80" s="122"/>
      <c r="AE80" s="122"/>
      <c r="AF80" s="122"/>
      <c r="AG80" s="119"/>
      <c r="AH80" s="122"/>
      <c r="AI80" s="122"/>
      <c r="AJ80" s="122"/>
      <c r="AK80" s="120"/>
      <c r="AL80" s="122"/>
      <c r="AM80" s="122"/>
      <c r="AN80" s="122"/>
      <c r="AO80" s="52"/>
      <c r="AQ80" s="86"/>
      <c r="AR80" s="86"/>
      <c r="AS80" s="86"/>
      <c r="AT80" s="228"/>
    </row>
    <row r="81" spans="2:54" ht="18" customHeight="1" thickBot="1" x14ac:dyDescent="0.2">
      <c r="B81" s="42">
        <v>31</v>
      </c>
      <c r="C81" s="49"/>
      <c r="D81" s="52" t="s">
        <v>186</v>
      </c>
      <c r="E81" s="50"/>
      <c r="F81" s="371"/>
      <c r="G81" s="371"/>
      <c r="H81" s="371"/>
      <c r="I81" s="254"/>
      <c r="J81" s="374"/>
      <c r="K81" s="375"/>
      <c r="L81" s="376"/>
      <c r="M81" s="120"/>
      <c r="N81" s="369"/>
      <c r="O81" s="369"/>
      <c r="P81" s="369"/>
      <c r="Q81" s="119"/>
      <c r="R81" s="369"/>
      <c r="S81" s="369"/>
      <c r="T81" s="369"/>
      <c r="U81" s="369"/>
      <c r="V81" s="369"/>
      <c r="W81" s="120"/>
      <c r="X81" s="123"/>
      <c r="Y81" s="121" t="s">
        <v>156</v>
      </c>
      <c r="Z81" s="123"/>
      <c r="AA81" s="119"/>
      <c r="AB81" s="124"/>
      <c r="AC81" s="120"/>
      <c r="AD81" s="369"/>
      <c r="AE81" s="369"/>
      <c r="AF81" s="369"/>
      <c r="AG81" s="119"/>
      <c r="AH81" s="369"/>
      <c r="AI81" s="369"/>
      <c r="AJ81" s="369"/>
      <c r="AK81" s="120"/>
      <c r="AL81" s="369"/>
      <c r="AM81" s="369"/>
      <c r="AN81" s="369"/>
      <c r="AO81" s="49"/>
      <c r="AQ81" s="86"/>
      <c r="AR81" s="86"/>
      <c r="AS81" s="86"/>
      <c r="AT81" s="228" t="str">
        <f>IF($B81&lt;=入力シート!$F$85,IF(AU81&lt;&gt;"OK",AU81,IF(AV81&lt;&gt;"OK",AV81,IF(AW81&lt;&gt;"OK",AW81,IF(AX81&lt;&gt;"OK",AX81,IF(AY81&lt;&gt;"OK",AY81,IF(AZ81&lt;&gt;"OK",AZ81,IF(BA81&lt;&gt;"OK",BA81,BB81))))))),"")</f>
        <v/>
      </c>
      <c r="AU81" s="42" t="str">
        <f ca="1">中間シート!X331</f>
        <v>書類の種類を選択してください。</v>
      </c>
      <c r="AV81" s="41" t="str">
        <f ca="1">中間シート!X332</f>
        <v>認証・指定・認定番号または、整備士合格証書番号を入力してください。</v>
      </c>
      <c r="AW81" s="42" t="str">
        <f ca="1">中間シート!X333</f>
        <v>管轄運輸局を入力してください。</v>
      </c>
      <c r="AX81" s="41" t="str">
        <f ca="1">中間シート!X334</f>
        <v>事業場名を入力してください。</v>
      </c>
      <c r="AY81" s="42" t="str">
        <f ca="1">中間シート!X335</f>
        <v>郵便番号を入力してください。</v>
      </c>
      <c r="AZ81" s="41" t="str">
        <f ca="1">中間シート!X336</f>
        <v>都道府県を選択してください。</v>
      </c>
      <c r="BA81" s="42" t="str">
        <f ca="1">中間シート!X337</f>
        <v>市区町村を入力してください。</v>
      </c>
      <c r="BB81" s="41" t="str">
        <f ca="1">中間シート!X338</f>
        <v>町名地番を入力してください。</v>
      </c>
    </row>
    <row r="82" spans="2:54" s="41" customFormat="1" ht="5.0999999999999996" customHeight="1" thickBot="1" x14ac:dyDescent="0.2">
      <c r="C82" s="51"/>
      <c r="D82" s="52"/>
      <c r="E82" s="55"/>
      <c r="F82" s="372"/>
      <c r="G82" s="372"/>
      <c r="H82" s="372"/>
      <c r="I82" s="254"/>
      <c r="J82" s="122"/>
      <c r="K82" s="122"/>
      <c r="L82" s="122"/>
      <c r="M82" s="120"/>
      <c r="N82" s="122"/>
      <c r="O82" s="122"/>
      <c r="P82" s="122"/>
      <c r="Q82" s="119"/>
      <c r="R82" s="122"/>
      <c r="S82" s="122"/>
      <c r="T82" s="122"/>
      <c r="U82" s="122"/>
      <c r="V82" s="122"/>
      <c r="W82" s="120"/>
      <c r="X82" s="125"/>
      <c r="Y82" s="121"/>
      <c r="Z82" s="125"/>
      <c r="AA82" s="119"/>
      <c r="AB82" s="122"/>
      <c r="AC82" s="120"/>
      <c r="AD82" s="122"/>
      <c r="AE82" s="122"/>
      <c r="AF82" s="122"/>
      <c r="AG82" s="119"/>
      <c r="AH82" s="122"/>
      <c r="AI82" s="122"/>
      <c r="AJ82" s="122"/>
      <c r="AK82" s="120"/>
      <c r="AL82" s="122"/>
      <c r="AM82" s="122"/>
      <c r="AN82" s="122"/>
      <c r="AO82" s="52"/>
      <c r="AQ82" s="86"/>
      <c r="AR82" s="86"/>
      <c r="AS82" s="86"/>
      <c r="AT82" s="228"/>
    </row>
    <row r="83" spans="2:54" ht="18" customHeight="1" thickBot="1" x14ac:dyDescent="0.2">
      <c r="B83" s="42">
        <v>32</v>
      </c>
      <c r="C83" s="49"/>
      <c r="D83" s="52" t="s">
        <v>187</v>
      </c>
      <c r="E83" s="50"/>
      <c r="F83" s="371"/>
      <c r="G83" s="371"/>
      <c r="H83" s="371"/>
      <c r="I83" s="254"/>
      <c r="J83" s="374"/>
      <c r="K83" s="375"/>
      <c r="L83" s="376"/>
      <c r="M83" s="120"/>
      <c r="N83" s="369"/>
      <c r="O83" s="369"/>
      <c r="P83" s="369"/>
      <c r="Q83" s="119"/>
      <c r="R83" s="369"/>
      <c r="S83" s="369"/>
      <c r="T83" s="369"/>
      <c r="U83" s="369"/>
      <c r="V83" s="369"/>
      <c r="W83" s="120"/>
      <c r="X83" s="123"/>
      <c r="Y83" s="121" t="s">
        <v>156</v>
      </c>
      <c r="Z83" s="123"/>
      <c r="AA83" s="119"/>
      <c r="AB83" s="124"/>
      <c r="AC83" s="120"/>
      <c r="AD83" s="369"/>
      <c r="AE83" s="369"/>
      <c r="AF83" s="369"/>
      <c r="AG83" s="119"/>
      <c r="AH83" s="369"/>
      <c r="AI83" s="369"/>
      <c r="AJ83" s="369"/>
      <c r="AK83" s="120"/>
      <c r="AL83" s="369"/>
      <c r="AM83" s="369"/>
      <c r="AN83" s="369"/>
      <c r="AO83" s="49"/>
      <c r="AQ83" s="86"/>
      <c r="AR83" s="86"/>
      <c r="AS83" s="86"/>
      <c r="AT83" s="228" t="str">
        <f>IF($B83&lt;=入力シート!$F$85,IF(AU83&lt;&gt;"OK",AU83,IF(AV83&lt;&gt;"OK",AV83,IF(AW83&lt;&gt;"OK",AW83,IF(AX83&lt;&gt;"OK",AX83,IF(AY83&lt;&gt;"OK",AY83,IF(AZ83&lt;&gt;"OK",AZ83,IF(BA83&lt;&gt;"OK",BA83,BB83))))))),"")</f>
        <v/>
      </c>
      <c r="AU83" s="42" t="str">
        <f ca="1">中間シート!X340</f>
        <v>書類の種類を選択してください。</v>
      </c>
      <c r="AV83" s="41" t="str">
        <f ca="1">中間シート!X341</f>
        <v>認証・指定・認定番号または、整備士合格証書番号を入力してください。</v>
      </c>
      <c r="AW83" s="42" t="str">
        <f ca="1">中間シート!X342</f>
        <v>管轄運輸局を入力してください。</v>
      </c>
      <c r="AX83" s="41" t="str">
        <f ca="1">中間シート!X343</f>
        <v>事業場名を入力してください。</v>
      </c>
      <c r="AY83" s="42" t="str">
        <f ca="1">中間シート!X344</f>
        <v>郵便番号を入力してください。</v>
      </c>
      <c r="AZ83" s="41" t="str">
        <f ca="1">中間シート!X345</f>
        <v>都道府県を選択してください。</v>
      </c>
      <c r="BA83" s="42" t="str">
        <f ca="1">中間シート!X346</f>
        <v>市区町村を入力してください。</v>
      </c>
      <c r="BB83" s="41" t="str">
        <f ca="1">中間シート!X347</f>
        <v>町名地番を入力してください。</v>
      </c>
    </row>
    <row r="84" spans="2:54" s="41" customFormat="1" ht="5.0999999999999996" customHeight="1" thickBot="1" x14ac:dyDescent="0.2">
      <c r="C84" s="51"/>
      <c r="D84" s="52"/>
      <c r="E84" s="55"/>
      <c r="F84" s="372"/>
      <c r="G84" s="372"/>
      <c r="H84" s="372"/>
      <c r="I84" s="254"/>
      <c r="J84" s="122"/>
      <c r="K84" s="122"/>
      <c r="L84" s="122"/>
      <c r="M84" s="120"/>
      <c r="N84" s="122"/>
      <c r="O84" s="122"/>
      <c r="P84" s="122"/>
      <c r="Q84" s="119"/>
      <c r="R84" s="122"/>
      <c r="S84" s="122"/>
      <c r="T84" s="122"/>
      <c r="U84" s="122"/>
      <c r="V84" s="122"/>
      <c r="W84" s="120"/>
      <c r="X84" s="125"/>
      <c r="Y84" s="121"/>
      <c r="Z84" s="125"/>
      <c r="AA84" s="119"/>
      <c r="AB84" s="122"/>
      <c r="AC84" s="120"/>
      <c r="AD84" s="122"/>
      <c r="AE84" s="122"/>
      <c r="AF84" s="122"/>
      <c r="AG84" s="119"/>
      <c r="AH84" s="122"/>
      <c r="AI84" s="122"/>
      <c r="AJ84" s="122"/>
      <c r="AK84" s="120"/>
      <c r="AL84" s="122"/>
      <c r="AM84" s="122"/>
      <c r="AN84" s="122"/>
      <c r="AO84" s="52"/>
      <c r="AQ84" s="86"/>
      <c r="AR84" s="86"/>
      <c r="AS84" s="86"/>
      <c r="AT84" s="228"/>
    </row>
    <row r="85" spans="2:54" ht="18" customHeight="1" thickBot="1" x14ac:dyDescent="0.2">
      <c r="B85" s="42">
        <v>33</v>
      </c>
      <c r="C85" s="49"/>
      <c r="D85" s="52" t="s">
        <v>188</v>
      </c>
      <c r="E85" s="50"/>
      <c r="F85" s="371"/>
      <c r="G85" s="371"/>
      <c r="H85" s="371"/>
      <c r="I85" s="254"/>
      <c r="J85" s="374"/>
      <c r="K85" s="375"/>
      <c r="L85" s="376"/>
      <c r="M85" s="120"/>
      <c r="N85" s="369"/>
      <c r="O85" s="369"/>
      <c r="P85" s="369"/>
      <c r="Q85" s="119"/>
      <c r="R85" s="369"/>
      <c r="S85" s="369"/>
      <c r="T85" s="369"/>
      <c r="U85" s="369"/>
      <c r="V85" s="369"/>
      <c r="W85" s="120"/>
      <c r="X85" s="123"/>
      <c r="Y85" s="121" t="s">
        <v>156</v>
      </c>
      <c r="Z85" s="123"/>
      <c r="AA85" s="119"/>
      <c r="AB85" s="124"/>
      <c r="AC85" s="120"/>
      <c r="AD85" s="369"/>
      <c r="AE85" s="369"/>
      <c r="AF85" s="369"/>
      <c r="AG85" s="119"/>
      <c r="AH85" s="369"/>
      <c r="AI85" s="369"/>
      <c r="AJ85" s="369"/>
      <c r="AK85" s="120"/>
      <c r="AL85" s="369"/>
      <c r="AM85" s="369"/>
      <c r="AN85" s="369"/>
      <c r="AO85" s="49"/>
      <c r="AQ85" s="86"/>
      <c r="AR85" s="86"/>
      <c r="AS85" s="86"/>
      <c r="AT85" s="228" t="str">
        <f>IF($B85&lt;=入力シート!$F$85,IF(AU85&lt;&gt;"OK",AU85,IF(AV85&lt;&gt;"OK",AV85,IF(AW85&lt;&gt;"OK",AW85,IF(AX85&lt;&gt;"OK",AX85,IF(AY85&lt;&gt;"OK",AY85,IF(AZ85&lt;&gt;"OK",AZ85,IF(BA85&lt;&gt;"OK",BA85,BB85))))))),"")</f>
        <v/>
      </c>
      <c r="AU85" s="42" t="str">
        <f ca="1">中間シート!X349</f>
        <v>書類の種類を選択してください。</v>
      </c>
      <c r="AV85" s="41" t="str">
        <f ca="1">中間シート!X350</f>
        <v>認証・指定・認定番号または、整備士合格証書番号を入力してください。</v>
      </c>
      <c r="AW85" s="42" t="str">
        <f ca="1">中間シート!X351</f>
        <v>管轄運輸局を入力してください。</v>
      </c>
      <c r="AX85" s="41" t="str">
        <f ca="1">中間シート!X352</f>
        <v>事業場名を入力してください。</v>
      </c>
      <c r="AY85" s="42" t="str">
        <f ca="1">中間シート!X353</f>
        <v>郵便番号を入力してください。</v>
      </c>
      <c r="AZ85" s="41" t="str">
        <f ca="1">中間シート!X354</f>
        <v>都道府県を選択してください。</v>
      </c>
      <c r="BA85" s="42" t="str">
        <f ca="1">中間シート!X355</f>
        <v>市区町村を入力してください。</v>
      </c>
      <c r="BB85" s="41" t="str">
        <f ca="1">中間シート!X356</f>
        <v>町名地番を入力してください。</v>
      </c>
    </row>
    <row r="86" spans="2:54" s="41" customFormat="1" ht="5.0999999999999996" customHeight="1" thickBot="1" x14ac:dyDescent="0.2">
      <c r="C86" s="51"/>
      <c r="D86" s="52"/>
      <c r="E86" s="55"/>
      <c r="F86" s="372"/>
      <c r="G86" s="372"/>
      <c r="H86" s="372"/>
      <c r="I86" s="254"/>
      <c r="J86" s="122"/>
      <c r="K86" s="122"/>
      <c r="L86" s="122"/>
      <c r="M86" s="120"/>
      <c r="N86" s="122"/>
      <c r="O86" s="122"/>
      <c r="P86" s="122"/>
      <c r="Q86" s="119"/>
      <c r="R86" s="122"/>
      <c r="S86" s="122"/>
      <c r="T86" s="122"/>
      <c r="U86" s="122"/>
      <c r="V86" s="122"/>
      <c r="W86" s="120"/>
      <c r="X86" s="125"/>
      <c r="Y86" s="121"/>
      <c r="Z86" s="125"/>
      <c r="AA86" s="119"/>
      <c r="AB86" s="122"/>
      <c r="AC86" s="120"/>
      <c r="AD86" s="122"/>
      <c r="AE86" s="122"/>
      <c r="AF86" s="122"/>
      <c r="AG86" s="119"/>
      <c r="AH86" s="122"/>
      <c r="AI86" s="122"/>
      <c r="AJ86" s="122"/>
      <c r="AK86" s="120"/>
      <c r="AL86" s="122"/>
      <c r="AM86" s="122"/>
      <c r="AN86" s="122"/>
      <c r="AO86" s="52"/>
      <c r="AQ86" s="86"/>
      <c r="AR86" s="86"/>
      <c r="AS86" s="86"/>
      <c r="AT86" s="228"/>
    </row>
    <row r="87" spans="2:54" ht="18" customHeight="1" thickBot="1" x14ac:dyDescent="0.2">
      <c r="B87" s="42">
        <v>34</v>
      </c>
      <c r="C87" s="49"/>
      <c r="D87" s="52" t="s">
        <v>189</v>
      </c>
      <c r="E87" s="50"/>
      <c r="F87" s="371"/>
      <c r="G87" s="371"/>
      <c r="H87" s="371"/>
      <c r="I87" s="254"/>
      <c r="J87" s="374"/>
      <c r="K87" s="375"/>
      <c r="L87" s="376"/>
      <c r="M87" s="120"/>
      <c r="N87" s="369"/>
      <c r="O87" s="369"/>
      <c r="P87" s="369"/>
      <c r="Q87" s="119"/>
      <c r="R87" s="369"/>
      <c r="S87" s="369"/>
      <c r="T87" s="369"/>
      <c r="U87" s="369"/>
      <c r="V87" s="369"/>
      <c r="W87" s="120"/>
      <c r="X87" s="123"/>
      <c r="Y87" s="121" t="s">
        <v>156</v>
      </c>
      <c r="Z87" s="123"/>
      <c r="AA87" s="119"/>
      <c r="AB87" s="124"/>
      <c r="AC87" s="120"/>
      <c r="AD87" s="369"/>
      <c r="AE87" s="369"/>
      <c r="AF87" s="369"/>
      <c r="AG87" s="119"/>
      <c r="AH87" s="369"/>
      <c r="AI87" s="369"/>
      <c r="AJ87" s="369"/>
      <c r="AK87" s="120"/>
      <c r="AL87" s="369"/>
      <c r="AM87" s="369"/>
      <c r="AN87" s="369"/>
      <c r="AO87" s="49"/>
      <c r="AQ87" s="86"/>
      <c r="AR87" s="86"/>
      <c r="AS87" s="86"/>
      <c r="AT87" s="228" t="str">
        <f>IF($B87&lt;=入力シート!$F$85,IF(AU87&lt;&gt;"OK",AU87,IF(AV87&lt;&gt;"OK",AV87,IF(AW87&lt;&gt;"OK",AW87,IF(AX87&lt;&gt;"OK",AX87,IF(AY87&lt;&gt;"OK",AY87,IF(AZ87&lt;&gt;"OK",AZ87,IF(BA87&lt;&gt;"OK",BA87,BB87))))))),"")</f>
        <v/>
      </c>
      <c r="AU87" s="42" t="str">
        <f ca="1">中間シート!X358</f>
        <v>書類の種類を選択してください。</v>
      </c>
      <c r="AV87" s="41" t="str">
        <f ca="1">中間シート!X359</f>
        <v>認証・指定・認定番号または、整備士合格証書番号を入力してください。</v>
      </c>
      <c r="AW87" s="42" t="str">
        <f ca="1">中間シート!X360</f>
        <v>管轄運輸局を入力してください。</v>
      </c>
      <c r="AX87" s="41" t="str">
        <f ca="1">中間シート!X361</f>
        <v>事業場名を入力してください。</v>
      </c>
      <c r="AY87" s="42" t="str">
        <f ca="1">中間シート!X362</f>
        <v>郵便番号を入力してください。</v>
      </c>
      <c r="AZ87" s="41" t="str">
        <f ca="1">中間シート!X363</f>
        <v>都道府県を選択してください。</v>
      </c>
      <c r="BA87" s="42" t="str">
        <f ca="1">中間シート!X364</f>
        <v>市区町村を入力してください。</v>
      </c>
      <c r="BB87" s="41" t="str">
        <f ca="1">中間シート!X365</f>
        <v>町名地番を入力してください。</v>
      </c>
    </row>
    <row r="88" spans="2:54" s="41" customFormat="1" ht="5.0999999999999996" customHeight="1" thickBot="1" x14ac:dyDescent="0.2">
      <c r="C88" s="51"/>
      <c r="D88" s="52"/>
      <c r="E88" s="55"/>
      <c r="F88" s="372"/>
      <c r="G88" s="372"/>
      <c r="H88" s="372"/>
      <c r="I88" s="254"/>
      <c r="J88" s="122"/>
      <c r="K88" s="122"/>
      <c r="L88" s="122"/>
      <c r="M88" s="120"/>
      <c r="N88" s="122"/>
      <c r="O88" s="122"/>
      <c r="P88" s="122"/>
      <c r="Q88" s="119"/>
      <c r="R88" s="122"/>
      <c r="S88" s="122"/>
      <c r="T88" s="122"/>
      <c r="U88" s="122"/>
      <c r="V88" s="122"/>
      <c r="W88" s="120"/>
      <c r="X88" s="125"/>
      <c r="Y88" s="121"/>
      <c r="Z88" s="125"/>
      <c r="AA88" s="119"/>
      <c r="AB88" s="122"/>
      <c r="AC88" s="120"/>
      <c r="AD88" s="122"/>
      <c r="AE88" s="122"/>
      <c r="AF88" s="122"/>
      <c r="AG88" s="119"/>
      <c r="AH88" s="122"/>
      <c r="AI88" s="122"/>
      <c r="AJ88" s="122"/>
      <c r="AK88" s="120"/>
      <c r="AL88" s="122"/>
      <c r="AM88" s="122"/>
      <c r="AN88" s="122"/>
      <c r="AO88" s="52"/>
      <c r="AQ88" s="86"/>
      <c r="AR88" s="86"/>
      <c r="AS88" s="86"/>
      <c r="AT88" s="228"/>
    </row>
    <row r="89" spans="2:54" ht="18" customHeight="1" thickBot="1" x14ac:dyDescent="0.2">
      <c r="B89" s="42">
        <v>35</v>
      </c>
      <c r="C89" s="49"/>
      <c r="D89" s="52" t="s">
        <v>190</v>
      </c>
      <c r="E89" s="50"/>
      <c r="F89" s="371"/>
      <c r="G89" s="371"/>
      <c r="H89" s="371"/>
      <c r="I89" s="254"/>
      <c r="J89" s="374"/>
      <c r="K89" s="375"/>
      <c r="L89" s="376"/>
      <c r="M89" s="120"/>
      <c r="N89" s="369"/>
      <c r="O89" s="369"/>
      <c r="P89" s="369"/>
      <c r="Q89" s="119"/>
      <c r="R89" s="369"/>
      <c r="S89" s="369"/>
      <c r="T89" s="369"/>
      <c r="U89" s="369"/>
      <c r="V89" s="369"/>
      <c r="W89" s="120"/>
      <c r="X89" s="123"/>
      <c r="Y89" s="121" t="s">
        <v>156</v>
      </c>
      <c r="Z89" s="123"/>
      <c r="AA89" s="119"/>
      <c r="AB89" s="124"/>
      <c r="AC89" s="120"/>
      <c r="AD89" s="369"/>
      <c r="AE89" s="369"/>
      <c r="AF89" s="369"/>
      <c r="AG89" s="119"/>
      <c r="AH89" s="369"/>
      <c r="AI89" s="369"/>
      <c r="AJ89" s="369"/>
      <c r="AK89" s="120"/>
      <c r="AL89" s="369"/>
      <c r="AM89" s="369"/>
      <c r="AN89" s="369"/>
      <c r="AO89" s="49"/>
      <c r="AQ89" s="86"/>
      <c r="AR89" s="86"/>
      <c r="AS89" s="86"/>
      <c r="AT89" s="228" t="str">
        <f>IF($B89&lt;=入力シート!$F$85,IF(AU89&lt;&gt;"OK",AU89,IF(AV89&lt;&gt;"OK",AV89,IF(AW89&lt;&gt;"OK",AW89,IF(AX89&lt;&gt;"OK",AX89,IF(AY89&lt;&gt;"OK",AY89,IF(AZ89&lt;&gt;"OK",AZ89,IF(BA89&lt;&gt;"OK",BA89,BB89))))))),"")</f>
        <v/>
      </c>
      <c r="AU89" s="42" t="str">
        <f ca="1">中間シート!X367</f>
        <v>書類の種類を選択してください。</v>
      </c>
      <c r="AV89" s="41" t="str">
        <f ca="1">中間シート!X368</f>
        <v>認証・指定・認定番号または、整備士合格証書番号を入力してください。</v>
      </c>
      <c r="AW89" s="42" t="str">
        <f ca="1">中間シート!X369</f>
        <v>管轄運輸局を入力してください。</v>
      </c>
      <c r="AX89" s="41" t="str">
        <f ca="1">中間シート!X370</f>
        <v>事業場名を入力してください。</v>
      </c>
      <c r="AY89" s="42" t="str">
        <f ca="1">中間シート!X371</f>
        <v>郵便番号を入力してください。</v>
      </c>
      <c r="AZ89" s="41" t="str">
        <f ca="1">中間シート!X372</f>
        <v>都道府県を選択してください。</v>
      </c>
      <c r="BA89" s="42" t="str">
        <f ca="1">中間シート!X373</f>
        <v>市区町村を入力してください。</v>
      </c>
      <c r="BB89" s="41" t="str">
        <f ca="1">中間シート!X374</f>
        <v>町名地番を入力してください。</v>
      </c>
    </row>
    <row r="90" spans="2:54" s="41" customFormat="1" ht="5.0999999999999996" customHeight="1" thickBot="1" x14ac:dyDescent="0.2">
      <c r="C90" s="51"/>
      <c r="D90" s="52"/>
      <c r="E90" s="55"/>
      <c r="F90" s="372"/>
      <c r="G90" s="372"/>
      <c r="H90" s="372"/>
      <c r="I90" s="254"/>
      <c r="J90" s="122"/>
      <c r="K90" s="122"/>
      <c r="L90" s="122"/>
      <c r="M90" s="120"/>
      <c r="N90" s="122"/>
      <c r="O90" s="122"/>
      <c r="P90" s="122"/>
      <c r="Q90" s="119"/>
      <c r="R90" s="122"/>
      <c r="S90" s="122"/>
      <c r="T90" s="122"/>
      <c r="U90" s="122"/>
      <c r="V90" s="122"/>
      <c r="W90" s="120"/>
      <c r="X90" s="125"/>
      <c r="Y90" s="121"/>
      <c r="Z90" s="125"/>
      <c r="AA90" s="119"/>
      <c r="AB90" s="122"/>
      <c r="AC90" s="120"/>
      <c r="AD90" s="122"/>
      <c r="AE90" s="122"/>
      <c r="AF90" s="122"/>
      <c r="AG90" s="119"/>
      <c r="AH90" s="122"/>
      <c r="AI90" s="122"/>
      <c r="AJ90" s="122"/>
      <c r="AK90" s="120"/>
      <c r="AL90" s="122"/>
      <c r="AM90" s="122"/>
      <c r="AN90" s="122"/>
      <c r="AO90" s="52"/>
      <c r="AQ90" s="86"/>
      <c r="AR90" s="86"/>
      <c r="AS90" s="86"/>
      <c r="AT90" s="228"/>
    </row>
    <row r="91" spans="2:54" ht="18" customHeight="1" thickBot="1" x14ac:dyDescent="0.2">
      <c r="B91" s="42">
        <v>36</v>
      </c>
      <c r="C91" s="49"/>
      <c r="D91" s="52" t="s">
        <v>191</v>
      </c>
      <c r="E91" s="50"/>
      <c r="F91" s="371"/>
      <c r="G91" s="371"/>
      <c r="H91" s="371"/>
      <c r="I91" s="254"/>
      <c r="J91" s="374"/>
      <c r="K91" s="375"/>
      <c r="L91" s="376"/>
      <c r="M91" s="120"/>
      <c r="N91" s="369"/>
      <c r="O91" s="369"/>
      <c r="P91" s="369"/>
      <c r="Q91" s="119"/>
      <c r="R91" s="369"/>
      <c r="S91" s="369"/>
      <c r="T91" s="369"/>
      <c r="U91" s="369"/>
      <c r="V91" s="369"/>
      <c r="W91" s="120"/>
      <c r="X91" s="123"/>
      <c r="Y91" s="121" t="s">
        <v>156</v>
      </c>
      <c r="Z91" s="123"/>
      <c r="AA91" s="119"/>
      <c r="AB91" s="124"/>
      <c r="AC91" s="120"/>
      <c r="AD91" s="369"/>
      <c r="AE91" s="369"/>
      <c r="AF91" s="369"/>
      <c r="AG91" s="119"/>
      <c r="AH91" s="369"/>
      <c r="AI91" s="369"/>
      <c r="AJ91" s="369"/>
      <c r="AK91" s="120"/>
      <c r="AL91" s="369"/>
      <c r="AM91" s="369"/>
      <c r="AN91" s="369"/>
      <c r="AO91" s="49"/>
      <c r="AQ91" s="86"/>
      <c r="AR91" s="86"/>
      <c r="AS91" s="86"/>
      <c r="AT91" s="228" t="str">
        <f>IF($B91&lt;=入力シート!$F$85,IF(AU91&lt;&gt;"OK",AU91,IF(AV91&lt;&gt;"OK",AV91,IF(AW91&lt;&gt;"OK",AW91,IF(AX91&lt;&gt;"OK",AX91,IF(AY91&lt;&gt;"OK",AY91,IF(AZ91&lt;&gt;"OK",AZ91,IF(BA91&lt;&gt;"OK",BA91,BB91))))))),"")</f>
        <v/>
      </c>
      <c r="AU91" s="42" t="str">
        <f ca="1">中間シート!X376</f>
        <v>書類の種類を選択してください。</v>
      </c>
      <c r="AV91" s="41" t="str">
        <f ca="1">中間シート!X377</f>
        <v>認証・指定・認定番号または、整備士合格証書番号を入力してください。</v>
      </c>
      <c r="AW91" s="42" t="str">
        <f ca="1">中間シート!X378</f>
        <v>管轄運輸局を入力してください。</v>
      </c>
      <c r="AX91" s="41" t="str">
        <f ca="1">中間シート!X379</f>
        <v>事業場名を入力してください。</v>
      </c>
      <c r="AY91" s="42" t="str">
        <f ca="1">中間シート!X380</f>
        <v>郵便番号を入力してください。</v>
      </c>
      <c r="AZ91" s="41" t="str">
        <f ca="1">中間シート!X381</f>
        <v>都道府県を選択してください。</v>
      </c>
      <c r="BA91" s="42" t="str">
        <f ca="1">中間シート!X382</f>
        <v>市区町村を入力してください。</v>
      </c>
      <c r="BB91" s="41" t="str">
        <f ca="1">中間シート!X383</f>
        <v>町名地番を入力してください。</v>
      </c>
    </row>
    <row r="92" spans="2:54" s="41" customFormat="1" ht="5.0999999999999996" customHeight="1" thickBot="1" x14ac:dyDescent="0.2">
      <c r="C92" s="51"/>
      <c r="D92" s="52"/>
      <c r="E92" s="55"/>
      <c r="F92" s="372"/>
      <c r="G92" s="372"/>
      <c r="H92" s="372"/>
      <c r="I92" s="254"/>
      <c r="J92" s="122"/>
      <c r="K92" s="122"/>
      <c r="L92" s="122"/>
      <c r="M92" s="120"/>
      <c r="N92" s="122"/>
      <c r="O92" s="122"/>
      <c r="P92" s="122"/>
      <c r="Q92" s="119"/>
      <c r="R92" s="122"/>
      <c r="S92" s="122"/>
      <c r="T92" s="122"/>
      <c r="U92" s="122"/>
      <c r="V92" s="122"/>
      <c r="W92" s="120"/>
      <c r="X92" s="125"/>
      <c r="Y92" s="121"/>
      <c r="Z92" s="125"/>
      <c r="AA92" s="119"/>
      <c r="AB92" s="122"/>
      <c r="AC92" s="120"/>
      <c r="AD92" s="122"/>
      <c r="AE92" s="122"/>
      <c r="AF92" s="122"/>
      <c r="AG92" s="119"/>
      <c r="AH92" s="122"/>
      <c r="AI92" s="122"/>
      <c r="AJ92" s="122"/>
      <c r="AK92" s="120"/>
      <c r="AL92" s="122"/>
      <c r="AM92" s="122"/>
      <c r="AN92" s="122"/>
      <c r="AO92" s="52"/>
      <c r="AQ92" s="86"/>
      <c r="AR92" s="86"/>
      <c r="AS92" s="86"/>
      <c r="AT92" s="228"/>
    </row>
    <row r="93" spans="2:54" ht="18" customHeight="1" thickBot="1" x14ac:dyDescent="0.2">
      <c r="B93" s="42">
        <v>37</v>
      </c>
      <c r="C93" s="49"/>
      <c r="D93" s="52" t="s">
        <v>192</v>
      </c>
      <c r="E93" s="50"/>
      <c r="F93" s="371"/>
      <c r="G93" s="371"/>
      <c r="H93" s="371"/>
      <c r="I93" s="254"/>
      <c r="J93" s="374"/>
      <c r="K93" s="375"/>
      <c r="L93" s="376"/>
      <c r="M93" s="120"/>
      <c r="N93" s="369"/>
      <c r="O93" s="369"/>
      <c r="P93" s="369"/>
      <c r="Q93" s="119"/>
      <c r="R93" s="369"/>
      <c r="S93" s="369"/>
      <c r="T93" s="369"/>
      <c r="U93" s="369"/>
      <c r="V93" s="369"/>
      <c r="W93" s="120"/>
      <c r="X93" s="123"/>
      <c r="Y93" s="121" t="s">
        <v>156</v>
      </c>
      <c r="Z93" s="123"/>
      <c r="AA93" s="119"/>
      <c r="AB93" s="124"/>
      <c r="AC93" s="120"/>
      <c r="AD93" s="369"/>
      <c r="AE93" s="369"/>
      <c r="AF93" s="369"/>
      <c r="AG93" s="119"/>
      <c r="AH93" s="369"/>
      <c r="AI93" s="369"/>
      <c r="AJ93" s="369"/>
      <c r="AK93" s="120"/>
      <c r="AL93" s="369"/>
      <c r="AM93" s="369"/>
      <c r="AN93" s="369"/>
      <c r="AO93" s="49"/>
      <c r="AQ93" s="86"/>
      <c r="AR93" s="86"/>
      <c r="AS93" s="86"/>
      <c r="AT93" s="228" t="str">
        <f>IF($B93&lt;=入力シート!$F$85,IF(AU93&lt;&gt;"OK",AU93,IF(AV93&lt;&gt;"OK",AV93,IF(AW93&lt;&gt;"OK",AW93,IF(AX93&lt;&gt;"OK",AX93,IF(AY93&lt;&gt;"OK",AY93,IF(AZ93&lt;&gt;"OK",AZ93,IF(BA93&lt;&gt;"OK",BA93,BB93))))))),"")</f>
        <v/>
      </c>
      <c r="AU93" s="42" t="str">
        <f ca="1">中間シート!X385</f>
        <v>書類の種類を選択してください。</v>
      </c>
      <c r="AV93" s="41" t="str">
        <f ca="1">中間シート!X386</f>
        <v>認証・指定・認定番号または、整備士合格証書番号を入力してください。</v>
      </c>
      <c r="AW93" s="42" t="str">
        <f ca="1">中間シート!X387</f>
        <v>管轄運輸局を入力してください。</v>
      </c>
      <c r="AX93" s="41" t="str">
        <f ca="1">中間シート!X388</f>
        <v>事業場名を入力してください。</v>
      </c>
      <c r="AY93" s="42" t="str">
        <f ca="1">中間シート!X389</f>
        <v>郵便番号を入力してください。</v>
      </c>
      <c r="AZ93" s="41" t="str">
        <f ca="1">中間シート!X390</f>
        <v>都道府県を選択してください。</v>
      </c>
      <c r="BA93" s="42" t="str">
        <f ca="1">中間シート!X391</f>
        <v>市区町村を入力してください。</v>
      </c>
      <c r="BB93" s="41" t="str">
        <f ca="1">中間シート!X392</f>
        <v>町名地番を入力してください。</v>
      </c>
    </row>
    <row r="94" spans="2:54" s="41" customFormat="1" ht="5.0999999999999996" customHeight="1" thickBot="1" x14ac:dyDescent="0.2">
      <c r="C94" s="51"/>
      <c r="D94" s="52"/>
      <c r="E94" s="55"/>
      <c r="F94" s="372"/>
      <c r="G94" s="372"/>
      <c r="H94" s="372"/>
      <c r="I94" s="254"/>
      <c r="J94" s="122"/>
      <c r="K94" s="122"/>
      <c r="L94" s="122"/>
      <c r="M94" s="120"/>
      <c r="N94" s="122"/>
      <c r="O94" s="122"/>
      <c r="P94" s="122"/>
      <c r="Q94" s="119"/>
      <c r="R94" s="122"/>
      <c r="S94" s="122"/>
      <c r="T94" s="122"/>
      <c r="U94" s="122"/>
      <c r="V94" s="122"/>
      <c r="W94" s="120"/>
      <c r="X94" s="125"/>
      <c r="Y94" s="121"/>
      <c r="Z94" s="125"/>
      <c r="AA94" s="119"/>
      <c r="AB94" s="122"/>
      <c r="AC94" s="120"/>
      <c r="AD94" s="122"/>
      <c r="AE94" s="122"/>
      <c r="AF94" s="122"/>
      <c r="AG94" s="119"/>
      <c r="AH94" s="122"/>
      <c r="AI94" s="122"/>
      <c r="AJ94" s="122"/>
      <c r="AK94" s="120"/>
      <c r="AL94" s="122"/>
      <c r="AM94" s="122"/>
      <c r="AN94" s="122"/>
      <c r="AO94" s="52"/>
      <c r="AQ94" s="86"/>
      <c r="AR94" s="86"/>
      <c r="AS94" s="86"/>
      <c r="AT94" s="228"/>
    </row>
    <row r="95" spans="2:54" ht="18" customHeight="1" thickBot="1" x14ac:dyDescent="0.2">
      <c r="B95" s="42">
        <v>38</v>
      </c>
      <c r="C95" s="49"/>
      <c r="D95" s="52" t="s">
        <v>193</v>
      </c>
      <c r="E95" s="50"/>
      <c r="F95" s="371"/>
      <c r="G95" s="371"/>
      <c r="H95" s="371"/>
      <c r="I95" s="254"/>
      <c r="J95" s="374"/>
      <c r="K95" s="375"/>
      <c r="L95" s="376"/>
      <c r="M95" s="120"/>
      <c r="N95" s="369"/>
      <c r="O95" s="369"/>
      <c r="P95" s="369"/>
      <c r="Q95" s="119"/>
      <c r="R95" s="369"/>
      <c r="S95" s="369"/>
      <c r="T95" s="369"/>
      <c r="U95" s="369"/>
      <c r="V95" s="369"/>
      <c r="W95" s="120"/>
      <c r="X95" s="123"/>
      <c r="Y95" s="121" t="s">
        <v>156</v>
      </c>
      <c r="Z95" s="123"/>
      <c r="AA95" s="119"/>
      <c r="AB95" s="124"/>
      <c r="AC95" s="120"/>
      <c r="AD95" s="369"/>
      <c r="AE95" s="369"/>
      <c r="AF95" s="369"/>
      <c r="AG95" s="119"/>
      <c r="AH95" s="369"/>
      <c r="AI95" s="369"/>
      <c r="AJ95" s="369"/>
      <c r="AK95" s="120"/>
      <c r="AL95" s="369"/>
      <c r="AM95" s="369"/>
      <c r="AN95" s="369"/>
      <c r="AO95" s="49"/>
      <c r="AQ95" s="86"/>
      <c r="AR95" s="86"/>
      <c r="AS95" s="86"/>
      <c r="AT95" s="228" t="str">
        <f>IF($B95&lt;=入力シート!$F$85,IF(AU95&lt;&gt;"OK",AU95,IF(AV95&lt;&gt;"OK",AV95,IF(AW95&lt;&gt;"OK",AW95,IF(AX95&lt;&gt;"OK",AX95,IF(AY95&lt;&gt;"OK",AY95,IF(AZ95&lt;&gt;"OK",AZ95,IF(BA95&lt;&gt;"OK",BA95,BB95))))))),"")</f>
        <v/>
      </c>
      <c r="AU95" s="42" t="str">
        <f ca="1">中間シート!X394</f>
        <v>書類の種類を選択してください。</v>
      </c>
      <c r="AV95" s="41" t="str">
        <f ca="1">中間シート!X395</f>
        <v>認証・指定・認定番号または、整備士合格証書番号を入力してください。</v>
      </c>
      <c r="AW95" s="42" t="str">
        <f ca="1">中間シート!X396</f>
        <v>管轄運輸局を入力してください。</v>
      </c>
      <c r="AX95" s="41" t="str">
        <f ca="1">中間シート!X397</f>
        <v>事業場名を入力してください。</v>
      </c>
      <c r="AY95" s="42" t="str">
        <f ca="1">中間シート!X398</f>
        <v>郵便番号を入力してください。</v>
      </c>
      <c r="AZ95" s="41" t="str">
        <f ca="1">中間シート!X399</f>
        <v>都道府県を選択してください。</v>
      </c>
      <c r="BA95" s="42" t="str">
        <f ca="1">中間シート!X400</f>
        <v>市区町村を入力してください。</v>
      </c>
      <c r="BB95" s="41" t="str">
        <f ca="1">中間シート!X401</f>
        <v>町名地番を入力してください。</v>
      </c>
    </row>
    <row r="96" spans="2:54" s="41" customFormat="1" ht="5.0999999999999996" customHeight="1" thickBot="1" x14ac:dyDescent="0.2">
      <c r="C96" s="51"/>
      <c r="D96" s="52"/>
      <c r="E96" s="55"/>
      <c r="F96" s="372"/>
      <c r="G96" s="372"/>
      <c r="H96" s="372"/>
      <c r="I96" s="254"/>
      <c r="J96" s="122"/>
      <c r="K96" s="122"/>
      <c r="L96" s="122"/>
      <c r="M96" s="120"/>
      <c r="N96" s="122"/>
      <c r="O96" s="122"/>
      <c r="P96" s="122"/>
      <c r="Q96" s="119"/>
      <c r="R96" s="122"/>
      <c r="S96" s="122"/>
      <c r="T96" s="122"/>
      <c r="U96" s="122"/>
      <c r="V96" s="122"/>
      <c r="W96" s="120"/>
      <c r="X96" s="125"/>
      <c r="Y96" s="121"/>
      <c r="Z96" s="125"/>
      <c r="AA96" s="119"/>
      <c r="AB96" s="122"/>
      <c r="AC96" s="120"/>
      <c r="AD96" s="122"/>
      <c r="AE96" s="122"/>
      <c r="AF96" s="122"/>
      <c r="AG96" s="119"/>
      <c r="AH96" s="122"/>
      <c r="AI96" s="122"/>
      <c r="AJ96" s="122"/>
      <c r="AK96" s="120"/>
      <c r="AL96" s="122"/>
      <c r="AM96" s="122"/>
      <c r="AN96" s="122"/>
      <c r="AO96" s="52"/>
      <c r="AQ96" s="86"/>
      <c r="AR96" s="86"/>
      <c r="AS96" s="86"/>
      <c r="AT96" s="228"/>
    </row>
    <row r="97" spans="2:54" ht="18" customHeight="1" thickBot="1" x14ac:dyDescent="0.2">
      <c r="B97" s="42">
        <v>39</v>
      </c>
      <c r="C97" s="49"/>
      <c r="D97" s="52" t="s">
        <v>194</v>
      </c>
      <c r="E97" s="50"/>
      <c r="F97" s="371"/>
      <c r="G97" s="371"/>
      <c r="H97" s="371"/>
      <c r="I97" s="254"/>
      <c r="J97" s="374"/>
      <c r="K97" s="375"/>
      <c r="L97" s="376"/>
      <c r="M97" s="120"/>
      <c r="N97" s="369"/>
      <c r="O97" s="369"/>
      <c r="P97" s="369"/>
      <c r="Q97" s="119"/>
      <c r="R97" s="369"/>
      <c r="S97" s="369"/>
      <c r="T97" s="369"/>
      <c r="U97" s="369"/>
      <c r="V97" s="369"/>
      <c r="W97" s="120"/>
      <c r="X97" s="123"/>
      <c r="Y97" s="121" t="s">
        <v>156</v>
      </c>
      <c r="Z97" s="123"/>
      <c r="AA97" s="119"/>
      <c r="AB97" s="124"/>
      <c r="AC97" s="120"/>
      <c r="AD97" s="369"/>
      <c r="AE97" s="369"/>
      <c r="AF97" s="369"/>
      <c r="AG97" s="119"/>
      <c r="AH97" s="369"/>
      <c r="AI97" s="369"/>
      <c r="AJ97" s="369"/>
      <c r="AK97" s="120"/>
      <c r="AL97" s="369"/>
      <c r="AM97" s="369"/>
      <c r="AN97" s="369"/>
      <c r="AO97" s="49"/>
      <c r="AQ97" s="86"/>
      <c r="AR97" s="86"/>
      <c r="AS97" s="86"/>
      <c r="AT97" s="228" t="str">
        <f>IF($B97&lt;=入力シート!$F$85,IF(AU97&lt;&gt;"OK",AU97,IF(AV97&lt;&gt;"OK",AV97,IF(AW97&lt;&gt;"OK",AW97,IF(AX97&lt;&gt;"OK",AX97,IF(AY97&lt;&gt;"OK",AY97,IF(AZ97&lt;&gt;"OK",AZ97,IF(BA97&lt;&gt;"OK",BA97,BB97))))))),"")</f>
        <v/>
      </c>
      <c r="AU97" s="42" t="str">
        <f ca="1">中間シート!X403</f>
        <v>書類の種類を選択してください。</v>
      </c>
      <c r="AV97" s="41" t="str">
        <f ca="1">中間シート!X404</f>
        <v>認証・指定・認定番号または、整備士合格証書番号を入力してください。</v>
      </c>
      <c r="AW97" s="42" t="str">
        <f ca="1">中間シート!X405</f>
        <v>管轄運輸局を入力してください。</v>
      </c>
      <c r="AX97" s="41" t="str">
        <f ca="1">中間シート!X406</f>
        <v>事業場名を入力してください。</v>
      </c>
      <c r="AY97" s="42" t="str">
        <f ca="1">中間シート!X407</f>
        <v>郵便番号を入力してください。</v>
      </c>
      <c r="AZ97" s="41" t="str">
        <f ca="1">中間シート!X408</f>
        <v>都道府県を選択してください。</v>
      </c>
      <c r="BA97" s="42" t="str">
        <f ca="1">中間シート!X409</f>
        <v>市区町村を入力してください。</v>
      </c>
      <c r="BB97" s="41" t="str">
        <f ca="1">中間シート!X410</f>
        <v>町名地番を入力してください。</v>
      </c>
    </row>
    <row r="98" spans="2:54" s="41" customFormat="1" ht="5.0999999999999996" customHeight="1" thickBot="1" x14ac:dyDescent="0.2">
      <c r="C98" s="51"/>
      <c r="D98" s="52"/>
      <c r="E98" s="55"/>
      <c r="F98" s="372"/>
      <c r="G98" s="372"/>
      <c r="H98" s="372"/>
      <c r="I98" s="254"/>
      <c r="J98" s="122"/>
      <c r="K98" s="122"/>
      <c r="L98" s="122"/>
      <c r="M98" s="120"/>
      <c r="N98" s="122"/>
      <c r="O98" s="122"/>
      <c r="P98" s="122"/>
      <c r="Q98" s="119"/>
      <c r="R98" s="122"/>
      <c r="S98" s="122"/>
      <c r="T98" s="122"/>
      <c r="U98" s="122"/>
      <c r="V98" s="122"/>
      <c r="W98" s="120"/>
      <c r="X98" s="125"/>
      <c r="Y98" s="121"/>
      <c r="Z98" s="125"/>
      <c r="AA98" s="119"/>
      <c r="AB98" s="122"/>
      <c r="AC98" s="120"/>
      <c r="AD98" s="122"/>
      <c r="AE98" s="122"/>
      <c r="AF98" s="122"/>
      <c r="AG98" s="119"/>
      <c r="AH98" s="122"/>
      <c r="AI98" s="122"/>
      <c r="AJ98" s="122"/>
      <c r="AK98" s="120"/>
      <c r="AL98" s="122"/>
      <c r="AM98" s="122"/>
      <c r="AN98" s="122"/>
      <c r="AO98" s="52"/>
      <c r="AQ98" s="86"/>
      <c r="AR98" s="86"/>
      <c r="AS98" s="86"/>
      <c r="AT98" s="228"/>
    </row>
    <row r="99" spans="2:54" ht="18" customHeight="1" thickBot="1" x14ac:dyDescent="0.2">
      <c r="B99" s="42">
        <v>40</v>
      </c>
      <c r="C99" s="49"/>
      <c r="D99" s="52" t="s">
        <v>195</v>
      </c>
      <c r="E99" s="50"/>
      <c r="F99" s="371"/>
      <c r="G99" s="371"/>
      <c r="H99" s="371"/>
      <c r="I99" s="254"/>
      <c r="J99" s="374"/>
      <c r="K99" s="375"/>
      <c r="L99" s="376"/>
      <c r="M99" s="120"/>
      <c r="N99" s="369"/>
      <c r="O99" s="369"/>
      <c r="P99" s="369"/>
      <c r="Q99" s="119"/>
      <c r="R99" s="369"/>
      <c r="S99" s="369"/>
      <c r="T99" s="369"/>
      <c r="U99" s="369"/>
      <c r="V99" s="369"/>
      <c r="W99" s="120"/>
      <c r="X99" s="123"/>
      <c r="Y99" s="121" t="s">
        <v>156</v>
      </c>
      <c r="Z99" s="123"/>
      <c r="AA99" s="119"/>
      <c r="AB99" s="124"/>
      <c r="AC99" s="120"/>
      <c r="AD99" s="369"/>
      <c r="AE99" s="369"/>
      <c r="AF99" s="369"/>
      <c r="AG99" s="119"/>
      <c r="AH99" s="369"/>
      <c r="AI99" s="369"/>
      <c r="AJ99" s="369"/>
      <c r="AK99" s="120"/>
      <c r="AL99" s="369"/>
      <c r="AM99" s="369"/>
      <c r="AN99" s="369"/>
      <c r="AO99" s="49"/>
      <c r="AQ99" s="86"/>
      <c r="AR99" s="86"/>
      <c r="AS99" s="86"/>
      <c r="AT99" s="228" t="str">
        <f>IF($B99&lt;=入力シート!$F$85,IF(AU99&lt;&gt;"OK",AU99,IF(AV99&lt;&gt;"OK",AV99,IF(AW99&lt;&gt;"OK",AW99,IF(AX99&lt;&gt;"OK",AX99,IF(AY99&lt;&gt;"OK",AY99,IF(AZ99&lt;&gt;"OK",AZ99,IF(BA99&lt;&gt;"OK",BA99,BB99))))))),"")</f>
        <v/>
      </c>
      <c r="AU99" s="42" t="str">
        <f ca="1">中間シート!X412</f>
        <v>書類の種類を選択してください。</v>
      </c>
      <c r="AV99" s="41" t="str">
        <f ca="1">中間シート!X413</f>
        <v>認証・指定・認定番号または、整備士合格証書番号を入力してください。</v>
      </c>
      <c r="AW99" s="42" t="str">
        <f ca="1">中間シート!X414</f>
        <v>管轄運輸局を入力してください。</v>
      </c>
      <c r="AX99" s="41" t="str">
        <f ca="1">中間シート!X415</f>
        <v>事業場名を入力してください。</v>
      </c>
      <c r="AY99" s="42" t="str">
        <f ca="1">中間シート!X416</f>
        <v>郵便番号を入力してください。</v>
      </c>
      <c r="AZ99" s="41" t="str">
        <f ca="1">中間シート!X417</f>
        <v>都道府県を選択してください。</v>
      </c>
      <c r="BA99" s="42" t="str">
        <f ca="1">中間シート!X418</f>
        <v>市区町村を入力してください。</v>
      </c>
      <c r="BB99" s="41" t="str">
        <f ca="1">中間シート!X419</f>
        <v>町名地番を入力してください。</v>
      </c>
    </row>
    <row r="100" spans="2:54" s="41" customFormat="1" ht="5.0999999999999996" customHeight="1" thickBot="1" x14ac:dyDescent="0.2">
      <c r="C100" s="51"/>
      <c r="D100" s="52"/>
      <c r="E100" s="55"/>
      <c r="F100" s="372"/>
      <c r="G100" s="372"/>
      <c r="H100" s="372"/>
      <c r="I100" s="254"/>
      <c r="J100" s="122"/>
      <c r="K100" s="122"/>
      <c r="L100" s="122"/>
      <c r="M100" s="120"/>
      <c r="N100" s="122"/>
      <c r="O100" s="122"/>
      <c r="P100" s="122"/>
      <c r="Q100" s="119"/>
      <c r="R100" s="122"/>
      <c r="S100" s="122"/>
      <c r="T100" s="122"/>
      <c r="U100" s="122"/>
      <c r="V100" s="122"/>
      <c r="W100" s="120"/>
      <c r="X100" s="125"/>
      <c r="Y100" s="121"/>
      <c r="Z100" s="125"/>
      <c r="AA100" s="119"/>
      <c r="AB100" s="122"/>
      <c r="AC100" s="120"/>
      <c r="AD100" s="122"/>
      <c r="AE100" s="122"/>
      <c r="AF100" s="122"/>
      <c r="AG100" s="119"/>
      <c r="AH100" s="122"/>
      <c r="AI100" s="122"/>
      <c r="AJ100" s="122"/>
      <c r="AK100" s="120"/>
      <c r="AL100" s="122"/>
      <c r="AM100" s="122"/>
      <c r="AN100" s="122"/>
      <c r="AO100" s="52"/>
      <c r="AQ100" s="86"/>
      <c r="AR100" s="86"/>
      <c r="AS100" s="86"/>
      <c r="AT100" s="228"/>
    </row>
    <row r="101" spans="2:54" ht="18" customHeight="1" thickBot="1" x14ac:dyDescent="0.2">
      <c r="B101" s="42">
        <v>41</v>
      </c>
      <c r="C101" s="49"/>
      <c r="D101" s="52" t="s">
        <v>196</v>
      </c>
      <c r="E101" s="50"/>
      <c r="F101" s="371"/>
      <c r="G101" s="371"/>
      <c r="H101" s="371"/>
      <c r="I101" s="254"/>
      <c r="J101" s="374"/>
      <c r="K101" s="375"/>
      <c r="L101" s="376"/>
      <c r="M101" s="120"/>
      <c r="N101" s="369"/>
      <c r="O101" s="369"/>
      <c r="P101" s="369"/>
      <c r="Q101" s="119"/>
      <c r="R101" s="369"/>
      <c r="S101" s="369"/>
      <c r="T101" s="369"/>
      <c r="U101" s="369"/>
      <c r="V101" s="369"/>
      <c r="W101" s="120"/>
      <c r="X101" s="123"/>
      <c r="Y101" s="121" t="s">
        <v>156</v>
      </c>
      <c r="Z101" s="123"/>
      <c r="AA101" s="119"/>
      <c r="AB101" s="124"/>
      <c r="AC101" s="120"/>
      <c r="AD101" s="369"/>
      <c r="AE101" s="369"/>
      <c r="AF101" s="369"/>
      <c r="AG101" s="119"/>
      <c r="AH101" s="369"/>
      <c r="AI101" s="369"/>
      <c r="AJ101" s="369"/>
      <c r="AK101" s="120"/>
      <c r="AL101" s="369"/>
      <c r="AM101" s="369"/>
      <c r="AN101" s="369"/>
      <c r="AO101" s="49"/>
      <c r="AQ101" s="86"/>
      <c r="AR101" s="86"/>
      <c r="AS101" s="86"/>
      <c r="AT101" s="228" t="str">
        <f>IF($B101&lt;=入力シート!$F$85,IF(AU101&lt;&gt;"OK",AU101,IF(AV101&lt;&gt;"OK",AV101,IF(AW101&lt;&gt;"OK",AW101,IF(AX101&lt;&gt;"OK",AX101,IF(AY101&lt;&gt;"OK",AY101,IF(AZ101&lt;&gt;"OK",AZ101,IF(BA101&lt;&gt;"OK",BA101,BB101))))))),"")</f>
        <v/>
      </c>
      <c r="AU101" s="42" t="str">
        <f ca="1">中間シート!X421</f>
        <v>書類の種類を選択してください。</v>
      </c>
      <c r="AV101" s="41" t="str">
        <f ca="1">中間シート!X422</f>
        <v>認証・指定・認定番号または、整備士合格証書番号を入力してください。</v>
      </c>
      <c r="AW101" s="42" t="str">
        <f ca="1">中間シート!X423</f>
        <v>管轄運輸局を入力してください。</v>
      </c>
      <c r="AX101" s="41" t="str">
        <f ca="1">中間シート!X424</f>
        <v>事業場名を入力してください。</v>
      </c>
      <c r="AY101" s="42" t="str">
        <f ca="1">中間シート!X425</f>
        <v>郵便番号を入力してください。</v>
      </c>
      <c r="AZ101" s="41" t="str">
        <f ca="1">中間シート!X426</f>
        <v>都道府県を選択してください。</v>
      </c>
      <c r="BA101" s="42" t="str">
        <f ca="1">中間シート!X427</f>
        <v>市区町村を入力してください。</v>
      </c>
      <c r="BB101" s="41" t="str">
        <f ca="1">中間シート!X428</f>
        <v>町名地番を入力してください。</v>
      </c>
    </row>
    <row r="102" spans="2:54" s="41" customFormat="1" ht="5.0999999999999996" customHeight="1" thickBot="1" x14ac:dyDescent="0.2">
      <c r="C102" s="51"/>
      <c r="D102" s="52"/>
      <c r="E102" s="55"/>
      <c r="F102" s="372"/>
      <c r="G102" s="372"/>
      <c r="H102" s="372"/>
      <c r="I102" s="254"/>
      <c r="J102" s="122"/>
      <c r="K102" s="122"/>
      <c r="L102" s="122"/>
      <c r="M102" s="120"/>
      <c r="N102" s="122"/>
      <c r="O102" s="122"/>
      <c r="P102" s="122"/>
      <c r="Q102" s="119"/>
      <c r="R102" s="122"/>
      <c r="S102" s="122"/>
      <c r="T102" s="122"/>
      <c r="U102" s="122"/>
      <c r="V102" s="122"/>
      <c r="W102" s="120"/>
      <c r="X102" s="125"/>
      <c r="Y102" s="121"/>
      <c r="Z102" s="125"/>
      <c r="AA102" s="119"/>
      <c r="AB102" s="122"/>
      <c r="AC102" s="120"/>
      <c r="AD102" s="122"/>
      <c r="AE102" s="122"/>
      <c r="AF102" s="122"/>
      <c r="AG102" s="119"/>
      <c r="AH102" s="122"/>
      <c r="AI102" s="122"/>
      <c r="AJ102" s="122"/>
      <c r="AK102" s="120"/>
      <c r="AL102" s="122"/>
      <c r="AM102" s="122"/>
      <c r="AN102" s="122"/>
      <c r="AO102" s="52"/>
      <c r="AQ102" s="86"/>
      <c r="AR102" s="86"/>
      <c r="AS102" s="86"/>
      <c r="AT102" s="228"/>
    </row>
    <row r="103" spans="2:54" ht="18" customHeight="1" thickBot="1" x14ac:dyDescent="0.2">
      <c r="B103" s="42">
        <v>42</v>
      </c>
      <c r="C103" s="49"/>
      <c r="D103" s="52" t="s">
        <v>197</v>
      </c>
      <c r="E103" s="50"/>
      <c r="F103" s="371"/>
      <c r="G103" s="371"/>
      <c r="H103" s="371"/>
      <c r="I103" s="254"/>
      <c r="J103" s="374"/>
      <c r="K103" s="375"/>
      <c r="L103" s="376"/>
      <c r="M103" s="120"/>
      <c r="N103" s="369"/>
      <c r="O103" s="369"/>
      <c r="P103" s="369"/>
      <c r="Q103" s="119"/>
      <c r="R103" s="369"/>
      <c r="S103" s="369"/>
      <c r="T103" s="369"/>
      <c r="U103" s="369"/>
      <c r="V103" s="369"/>
      <c r="W103" s="120"/>
      <c r="X103" s="123"/>
      <c r="Y103" s="121" t="s">
        <v>156</v>
      </c>
      <c r="Z103" s="123"/>
      <c r="AA103" s="119"/>
      <c r="AB103" s="124"/>
      <c r="AC103" s="120"/>
      <c r="AD103" s="369"/>
      <c r="AE103" s="369"/>
      <c r="AF103" s="369"/>
      <c r="AG103" s="119"/>
      <c r="AH103" s="369"/>
      <c r="AI103" s="369"/>
      <c r="AJ103" s="369"/>
      <c r="AK103" s="120"/>
      <c r="AL103" s="369"/>
      <c r="AM103" s="369"/>
      <c r="AN103" s="369"/>
      <c r="AO103" s="49"/>
      <c r="AQ103" s="86"/>
      <c r="AR103" s="86"/>
      <c r="AS103" s="86"/>
      <c r="AT103" s="228" t="str">
        <f>IF($B103&lt;=入力シート!$F$85,IF(AU103&lt;&gt;"OK",AU103,IF(AV103&lt;&gt;"OK",AV103,IF(AW103&lt;&gt;"OK",AW103,IF(AX103&lt;&gt;"OK",AX103,IF(AY103&lt;&gt;"OK",AY103,IF(AZ103&lt;&gt;"OK",AZ103,IF(BA103&lt;&gt;"OK",BA103,BB103))))))),"")</f>
        <v/>
      </c>
      <c r="AU103" s="42" t="str">
        <f ca="1">中間シート!X430</f>
        <v>書類の種類を選択してください。</v>
      </c>
      <c r="AV103" s="41" t="str">
        <f ca="1">中間シート!X431</f>
        <v>認証・指定・認定番号または、整備士合格証書番号を入力してください。</v>
      </c>
      <c r="AW103" s="42" t="str">
        <f ca="1">中間シート!X432</f>
        <v>管轄運輸局を入力してください。</v>
      </c>
      <c r="AX103" s="41" t="str">
        <f ca="1">中間シート!X433</f>
        <v>事業場名を入力してください。</v>
      </c>
      <c r="AY103" s="42" t="str">
        <f ca="1">中間シート!X434</f>
        <v>郵便番号を入力してください。</v>
      </c>
      <c r="AZ103" s="41" t="str">
        <f ca="1">中間シート!X435</f>
        <v>都道府県を選択してください。</v>
      </c>
      <c r="BA103" s="42" t="str">
        <f ca="1">中間シート!X436</f>
        <v>市区町村を入力してください。</v>
      </c>
      <c r="BB103" s="41" t="str">
        <f ca="1">中間シート!X437</f>
        <v>町名地番を入力してください。</v>
      </c>
    </row>
    <row r="104" spans="2:54" s="41" customFormat="1" ht="5.0999999999999996" customHeight="1" thickBot="1" x14ac:dyDescent="0.2">
      <c r="C104" s="51"/>
      <c r="D104" s="52"/>
      <c r="E104" s="55"/>
      <c r="F104" s="372"/>
      <c r="G104" s="372"/>
      <c r="H104" s="372"/>
      <c r="I104" s="254"/>
      <c r="J104" s="122"/>
      <c r="K104" s="122"/>
      <c r="L104" s="122"/>
      <c r="M104" s="120"/>
      <c r="N104" s="122"/>
      <c r="O104" s="122"/>
      <c r="P104" s="122"/>
      <c r="Q104" s="119"/>
      <c r="R104" s="122"/>
      <c r="S104" s="122"/>
      <c r="T104" s="122"/>
      <c r="U104" s="122"/>
      <c r="V104" s="122"/>
      <c r="W104" s="120"/>
      <c r="X104" s="125"/>
      <c r="Y104" s="121"/>
      <c r="Z104" s="125"/>
      <c r="AA104" s="119"/>
      <c r="AB104" s="122"/>
      <c r="AC104" s="120"/>
      <c r="AD104" s="122"/>
      <c r="AE104" s="122"/>
      <c r="AF104" s="122"/>
      <c r="AG104" s="119"/>
      <c r="AH104" s="122"/>
      <c r="AI104" s="122"/>
      <c r="AJ104" s="122"/>
      <c r="AK104" s="120"/>
      <c r="AL104" s="122"/>
      <c r="AM104" s="122"/>
      <c r="AN104" s="122"/>
      <c r="AO104" s="52"/>
      <c r="AQ104" s="86"/>
      <c r="AR104" s="86"/>
      <c r="AS104" s="86"/>
      <c r="AT104" s="228"/>
    </row>
    <row r="105" spans="2:54" ht="18" customHeight="1" thickBot="1" x14ac:dyDescent="0.2">
      <c r="B105" s="42">
        <v>43</v>
      </c>
      <c r="C105" s="49"/>
      <c r="D105" s="52" t="s">
        <v>198</v>
      </c>
      <c r="E105" s="50"/>
      <c r="F105" s="371"/>
      <c r="G105" s="371"/>
      <c r="H105" s="371"/>
      <c r="I105" s="254"/>
      <c r="J105" s="374"/>
      <c r="K105" s="375"/>
      <c r="L105" s="376"/>
      <c r="M105" s="120"/>
      <c r="N105" s="369"/>
      <c r="O105" s="369"/>
      <c r="P105" s="369"/>
      <c r="Q105" s="119"/>
      <c r="R105" s="369"/>
      <c r="S105" s="369"/>
      <c r="T105" s="369"/>
      <c r="U105" s="369"/>
      <c r="V105" s="369"/>
      <c r="W105" s="120"/>
      <c r="X105" s="123"/>
      <c r="Y105" s="121" t="s">
        <v>156</v>
      </c>
      <c r="Z105" s="123"/>
      <c r="AA105" s="119"/>
      <c r="AB105" s="124"/>
      <c r="AC105" s="120"/>
      <c r="AD105" s="369"/>
      <c r="AE105" s="369"/>
      <c r="AF105" s="369"/>
      <c r="AG105" s="119"/>
      <c r="AH105" s="369"/>
      <c r="AI105" s="369"/>
      <c r="AJ105" s="369"/>
      <c r="AK105" s="120"/>
      <c r="AL105" s="369"/>
      <c r="AM105" s="369"/>
      <c r="AN105" s="369"/>
      <c r="AO105" s="49"/>
      <c r="AQ105" s="86"/>
      <c r="AR105" s="86"/>
      <c r="AS105" s="86"/>
      <c r="AT105" s="228" t="str">
        <f>IF($B105&lt;=入力シート!$F$85,IF(AU105&lt;&gt;"OK",AU105,IF(AV105&lt;&gt;"OK",AV105,IF(AW105&lt;&gt;"OK",AW105,IF(AX105&lt;&gt;"OK",AX105,IF(AY105&lt;&gt;"OK",AY105,IF(AZ105&lt;&gt;"OK",AZ105,IF(BA105&lt;&gt;"OK",BA105,BB105))))))),"")</f>
        <v/>
      </c>
      <c r="AU105" s="42" t="str">
        <f ca="1">中間シート!X439</f>
        <v>書類の種類を選択してください。</v>
      </c>
      <c r="AV105" s="41" t="str">
        <f ca="1">中間シート!X440</f>
        <v>認証・指定・認定番号または、整備士合格証書番号を入力してください。</v>
      </c>
      <c r="AW105" s="42" t="str">
        <f ca="1">中間シート!X441</f>
        <v>管轄運輸局を入力してください。</v>
      </c>
      <c r="AX105" s="41" t="str">
        <f ca="1">中間シート!X442</f>
        <v>事業場名を入力してください。</v>
      </c>
      <c r="AY105" s="42" t="str">
        <f ca="1">中間シート!X443</f>
        <v>郵便番号を入力してください。</v>
      </c>
      <c r="AZ105" s="41" t="str">
        <f ca="1">中間シート!X444</f>
        <v>都道府県を選択してください。</v>
      </c>
      <c r="BA105" s="42" t="str">
        <f ca="1">中間シート!X445</f>
        <v>市区町村を入力してください。</v>
      </c>
      <c r="BB105" s="41" t="str">
        <f ca="1">中間シート!X446</f>
        <v>町名地番を入力してください。</v>
      </c>
    </row>
    <row r="106" spans="2:54" s="41" customFormat="1" ht="5.0999999999999996" customHeight="1" thickBot="1" x14ac:dyDescent="0.2">
      <c r="C106" s="51"/>
      <c r="D106" s="52"/>
      <c r="E106" s="55"/>
      <c r="F106" s="372"/>
      <c r="G106" s="372"/>
      <c r="H106" s="372"/>
      <c r="I106" s="254"/>
      <c r="J106" s="122"/>
      <c r="K106" s="122"/>
      <c r="L106" s="122"/>
      <c r="M106" s="120"/>
      <c r="N106" s="122"/>
      <c r="O106" s="122"/>
      <c r="P106" s="122"/>
      <c r="Q106" s="119"/>
      <c r="R106" s="122"/>
      <c r="S106" s="122"/>
      <c r="T106" s="122"/>
      <c r="U106" s="122"/>
      <c r="V106" s="122"/>
      <c r="W106" s="120"/>
      <c r="X106" s="125"/>
      <c r="Y106" s="121"/>
      <c r="Z106" s="125"/>
      <c r="AA106" s="119"/>
      <c r="AB106" s="122"/>
      <c r="AC106" s="120"/>
      <c r="AD106" s="122"/>
      <c r="AE106" s="122"/>
      <c r="AF106" s="122"/>
      <c r="AG106" s="119"/>
      <c r="AH106" s="122"/>
      <c r="AI106" s="122"/>
      <c r="AJ106" s="122"/>
      <c r="AK106" s="120"/>
      <c r="AL106" s="122"/>
      <c r="AM106" s="122"/>
      <c r="AN106" s="122"/>
      <c r="AO106" s="52"/>
      <c r="AQ106" s="86"/>
      <c r="AR106" s="86"/>
      <c r="AS106" s="86"/>
      <c r="AT106" s="228"/>
    </row>
    <row r="107" spans="2:54" ht="18" customHeight="1" thickBot="1" x14ac:dyDescent="0.2">
      <c r="B107" s="42">
        <v>44</v>
      </c>
      <c r="C107" s="49"/>
      <c r="D107" s="52" t="s">
        <v>199</v>
      </c>
      <c r="E107" s="50"/>
      <c r="F107" s="371"/>
      <c r="G107" s="371"/>
      <c r="H107" s="371"/>
      <c r="I107" s="254"/>
      <c r="J107" s="374"/>
      <c r="K107" s="375"/>
      <c r="L107" s="376"/>
      <c r="M107" s="120"/>
      <c r="N107" s="369"/>
      <c r="O107" s="369"/>
      <c r="P107" s="369"/>
      <c r="Q107" s="119"/>
      <c r="R107" s="369"/>
      <c r="S107" s="369"/>
      <c r="T107" s="369"/>
      <c r="U107" s="369"/>
      <c r="V107" s="369"/>
      <c r="W107" s="120"/>
      <c r="X107" s="123"/>
      <c r="Y107" s="121" t="s">
        <v>156</v>
      </c>
      <c r="Z107" s="123"/>
      <c r="AA107" s="119"/>
      <c r="AB107" s="124"/>
      <c r="AC107" s="120"/>
      <c r="AD107" s="369"/>
      <c r="AE107" s="369"/>
      <c r="AF107" s="369"/>
      <c r="AG107" s="119"/>
      <c r="AH107" s="369"/>
      <c r="AI107" s="369"/>
      <c r="AJ107" s="369"/>
      <c r="AK107" s="120"/>
      <c r="AL107" s="369"/>
      <c r="AM107" s="369"/>
      <c r="AN107" s="369"/>
      <c r="AO107" s="49"/>
      <c r="AQ107" s="86"/>
      <c r="AR107" s="86"/>
      <c r="AS107" s="86"/>
      <c r="AT107" s="228" t="str">
        <f>IF($B107&lt;=入力シート!$F$85,IF(AU107&lt;&gt;"OK",AU107,IF(AV107&lt;&gt;"OK",AV107,IF(AW107&lt;&gt;"OK",AW107,IF(AX107&lt;&gt;"OK",AX107,IF(AY107&lt;&gt;"OK",AY107,IF(AZ107&lt;&gt;"OK",AZ107,IF(BA107&lt;&gt;"OK",BA107,BB107))))))),"")</f>
        <v/>
      </c>
      <c r="AU107" s="42" t="str">
        <f ca="1">中間シート!X448</f>
        <v>書類の種類を選択してください。</v>
      </c>
      <c r="AV107" s="41" t="str">
        <f ca="1">中間シート!X449</f>
        <v>認証・指定・認定番号または、整備士合格証書番号を入力してください。</v>
      </c>
      <c r="AW107" s="42" t="str">
        <f ca="1">中間シート!X450</f>
        <v>管轄運輸局を入力してください。</v>
      </c>
      <c r="AX107" s="41" t="str">
        <f ca="1">中間シート!X451</f>
        <v>事業場名を入力してください。</v>
      </c>
      <c r="AY107" s="42" t="str">
        <f ca="1">中間シート!X452</f>
        <v>郵便番号を入力してください。</v>
      </c>
      <c r="AZ107" s="41" t="str">
        <f ca="1">中間シート!X453</f>
        <v>都道府県を選択してください。</v>
      </c>
      <c r="BA107" s="42" t="str">
        <f ca="1">中間シート!X454</f>
        <v>市区町村を入力してください。</v>
      </c>
      <c r="BB107" s="41" t="str">
        <f ca="1">中間シート!X455</f>
        <v>町名地番を入力してください。</v>
      </c>
    </row>
    <row r="108" spans="2:54" s="41" customFormat="1" ht="5.0999999999999996" customHeight="1" thickBot="1" x14ac:dyDescent="0.2">
      <c r="C108" s="51"/>
      <c r="D108" s="52"/>
      <c r="E108" s="55"/>
      <c r="F108" s="372"/>
      <c r="G108" s="372"/>
      <c r="H108" s="372"/>
      <c r="I108" s="254"/>
      <c r="J108" s="122"/>
      <c r="K108" s="122"/>
      <c r="L108" s="122"/>
      <c r="M108" s="120"/>
      <c r="N108" s="122"/>
      <c r="O108" s="122"/>
      <c r="P108" s="122"/>
      <c r="Q108" s="119"/>
      <c r="R108" s="122"/>
      <c r="S108" s="122"/>
      <c r="T108" s="122"/>
      <c r="U108" s="122"/>
      <c r="V108" s="122"/>
      <c r="W108" s="120"/>
      <c r="X108" s="125"/>
      <c r="Y108" s="121"/>
      <c r="Z108" s="125"/>
      <c r="AA108" s="119"/>
      <c r="AB108" s="122"/>
      <c r="AC108" s="120"/>
      <c r="AD108" s="122"/>
      <c r="AE108" s="122"/>
      <c r="AF108" s="122"/>
      <c r="AG108" s="119"/>
      <c r="AH108" s="122"/>
      <c r="AI108" s="122"/>
      <c r="AJ108" s="122"/>
      <c r="AK108" s="120"/>
      <c r="AL108" s="122"/>
      <c r="AM108" s="122"/>
      <c r="AN108" s="122"/>
      <c r="AO108" s="52"/>
      <c r="AQ108" s="86"/>
      <c r="AR108" s="86"/>
      <c r="AS108" s="86"/>
      <c r="AT108" s="228"/>
    </row>
    <row r="109" spans="2:54" ht="18" customHeight="1" thickBot="1" x14ac:dyDescent="0.2">
      <c r="B109" s="42">
        <v>45</v>
      </c>
      <c r="C109" s="49"/>
      <c r="D109" s="52" t="s">
        <v>200</v>
      </c>
      <c r="E109" s="50"/>
      <c r="F109" s="371"/>
      <c r="G109" s="371"/>
      <c r="H109" s="371"/>
      <c r="I109" s="254"/>
      <c r="J109" s="374"/>
      <c r="K109" s="375"/>
      <c r="L109" s="376"/>
      <c r="M109" s="120"/>
      <c r="N109" s="369"/>
      <c r="O109" s="369"/>
      <c r="P109" s="369"/>
      <c r="Q109" s="119"/>
      <c r="R109" s="369"/>
      <c r="S109" s="369"/>
      <c r="T109" s="369"/>
      <c r="U109" s="369"/>
      <c r="V109" s="369"/>
      <c r="W109" s="120"/>
      <c r="X109" s="123"/>
      <c r="Y109" s="121" t="s">
        <v>156</v>
      </c>
      <c r="Z109" s="123"/>
      <c r="AA109" s="119"/>
      <c r="AB109" s="124"/>
      <c r="AC109" s="120"/>
      <c r="AD109" s="369"/>
      <c r="AE109" s="369"/>
      <c r="AF109" s="369"/>
      <c r="AG109" s="119"/>
      <c r="AH109" s="369"/>
      <c r="AI109" s="369"/>
      <c r="AJ109" s="369"/>
      <c r="AK109" s="120"/>
      <c r="AL109" s="369"/>
      <c r="AM109" s="369"/>
      <c r="AN109" s="369"/>
      <c r="AO109" s="49"/>
      <c r="AQ109" s="86"/>
      <c r="AR109" s="86"/>
      <c r="AS109" s="86"/>
      <c r="AT109" s="228" t="str">
        <f>IF($B109&lt;=入力シート!$F$85,IF(AU109&lt;&gt;"OK",AU109,IF(AV109&lt;&gt;"OK",AV109,IF(AW109&lt;&gt;"OK",AW109,IF(AX109&lt;&gt;"OK",AX109,IF(AY109&lt;&gt;"OK",AY109,IF(AZ109&lt;&gt;"OK",AZ109,IF(BA109&lt;&gt;"OK",BA109,BB109))))))),"")</f>
        <v/>
      </c>
      <c r="AU109" s="42" t="str">
        <f ca="1">中間シート!X457</f>
        <v>書類の種類を選択してください。</v>
      </c>
      <c r="AV109" s="41" t="str">
        <f ca="1">中間シート!X458</f>
        <v>認証・指定・認定番号または、整備士合格証書番号を入力してください。</v>
      </c>
      <c r="AW109" s="42" t="str">
        <f ca="1">中間シート!X459</f>
        <v>管轄運輸局を入力してください。</v>
      </c>
      <c r="AX109" s="41" t="str">
        <f ca="1">中間シート!X460</f>
        <v>事業場名を入力してください。</v>
      </c>
      <c r="AY109" s="42" t="str">
        <f ca="1">中間シート!X461</f>
        <v>郵便番号を入力してください。</v>
      </c>
      <c r="AZ109" s="41" t="str">
        <f ca="1">中間シート!X462</f>
        <v>都道府県を選択してください。</v>
      </c>
      <c r="BA109" s="42" t="str">
        <f ca="1">中間シート!X463</f>
        <v>市区町村を入力してください。</v>
      </c>
      <c r="BB109" s="41" t="str">
        <f ca="1">中間シート!X464</f>
        <v>町名地番を入力してください。</v>
      </c>
    </row>
    <row r="110" spans="2:54" s="41" customFormat="1" ht="5.0999999999999996" customHeight="1" thickBot="1" x14ac:dyDescent="0.2">
      <c r="C110" s="51"/>
      <c r="D110" s="52"/>
      <c r="E110" s="55"/>
      <c r="F110" s="372"/>
      <c r="G110" s="372"/>
      <c r="H110" s="372"/>
      <c r="I110" s="254"/>
      <c r="J110" s="122"/>
      <c r="K110" s="122"/>
      <c r="L110" s="122"/>
      <c r="M110" s="120"/>
      <c r="N110" s="122"/>
      <c r="O110" s="122"/>
      <c r="P110" s="122"/>
      <c r="Q110" s="119"/>
      <c r="R110" s="122"/>
      <c r="S110" s="122"/>
      <c r="T110" s="122"/>
      <c r="U110" s="122"/>
      <c r="V110" s="122"/>
      <c r="W110" s="120"/>
      <c r="X110" s="125"/>
      <c r="Y110" s="121"/>
      <c r="Z110" s="125"/>
      <c r="AA110" s="119"/>
      <c r="AB110" s="122"/>
      <c r="AC110" s="120"/>
      <c r="AD110" s="122"/>
      <c r="AE110" s="122"/>
      <c r="AF110" s="122"/>
      <c r="AG110" s="119"/>
      <c r="AH110" s="122"/>
      <c r="AI110" s="122"/>
      <c r="AJ110" s="122"/>
      <c r="AK110" s="120"/>
      <c r="AL110" s="122"/>
      <c r="AM110" s="122"/>
      <c r="AN110" s="122"/>
      <c r="AO110" s="52"/>
      <c r="AQ110" s="86"/>
      <c r="AR110" s="86"/>
      <c r="AS110" s="86"/>
      <c r="AT110" s="228"/>
    </row>
    <row r="111" spans="2:54" ht="18" customHeight="1" thickBot="1" x14ac:dyDescent="0.2">
      <c r="B111" s="42">
        <v>46</v>
      </c>
      <c r="C111" s="49"/>
      <c r="D111" s="52" t="s">
        <v>201</v>
      </c>
      <c r="E111" s="50"/>
      <c r="F111" s="371"/>
      <c r="G111" s="371"/>
      <c r="H111" s="371"/>
      <c r="I111" s="254"/>
      <c r="J111" s="374"/>
      <c r="K111" s="375"/>
      <c r="L111" s="376"/>
      <c r="M111" s="120"/>
      <c r="N111" s="369"/>
      <c r="O111" s="369"/>
      <c r="P111" s="369"/>
      <c r="Q111" s="119"/>
      <c r="R111" s="369"/>
      <c r="S111" s="369"/>
      <c r="T111" s="369"/>
      <c r="U111" s="369"/>
      <c r="V111" s="369"/>
      <c r="W111" s="120"/>
      <c r="X111" s="123"/>
      <c r="Y111" s="121" t="s">
        <v>156</v>
      </c>
      <c r="Z111" s="123"/>
      <c r="AA111" s="119"/>
      <c r="AB111" s="124"/>
      <c r="AC111" s="120"/>
      <c r="AD111" s="369"/>
      <c r="AE111" s="369"/>
      <c r="AF111" s="369"/>
      <c r="AG111" s="119"/>
      <c r="AH111" s="369"/>
      <c r="AI111" s="369"/>
      <c r="AJ111" s="369"/>
      <c r="AK111" s="120"/>
      <c r="AL111" s="369"/>
      <c r="AM111" s="369"/>
      <c r="AN111" s="369"/>
      <c r="AO111" s="49"/>
      <c r="AQ111" s="86"/>
      <c r="AR111" s="86"/>
      <c r="AS111" s="86"/>
      <c r="AT111" s="228" t="str">
        <f>IF($B111&lt;=入力シート!$F$85,IF(AU111&lt;&gt;"OK",AU111,IF(AV111&lt;&gt;"OK",AV111,IF(AW111&lt;&gt;"OK",AW111,IF(AX111&lt;&gt;"OK",AX111,IF(AY111&lt;&gt;"OK",AY111,IF(AZ111&lt;&gt;"OK",AZ111,IF(BA111&lt;&gt;"OK",BA111,BB111))))))),"")</f>
        <v/>
      </c>
      <c r="AU111" s="42" t="str">
        <f ca="1">中間シート!X466</f>
        <v>書類の種類を選択してください。</v>
      </c>
      <c r="AV111" s="41" t="str">
        <f ca="1">中間シート!X467</f>
        <v>認証・指定・認定番号または、整備士合格証書番号を入力してください。</v>
      </c>
      <c r="AW111" s="42" t="str">
        <f ca="1">中間シート!X468</f>
        <v>管轄運輸局を入力してください。</v>
      </c>
      <c r="AX111" s="41" t="str">
        <f ca="1">中間シート!X469</f>
        <v>事業場名を入力してください。</v>
      </c>
      <c r="AY111" s="42" t="str">
        <f ca="1">中間シート!X470</f>
        <v>郵便番号を入力してください。</v>
      </c>
      <c r="AZ111" s="41" t="str">
        <f ca="1">中間シート!X471</f>
        <v>都道府県を選択してください。</v>
      </c>
      <c r="BA111" s="42" t="str">
        <f ca="1">中間シート!X472</f>
        <v>市区町村を入力してください。</v>
      </c>
      <c r="BB111" s="41" t="str">
        <f ca="1">中間シート!X473</f>
        <v>町名地番を入力してください。</v>
      </c>
    </row>
    <row r="112" spans="2:54" s="41" customFormat="1" ht="5.0999999999999996" customHeight="1" thickBot="1" x14ac:dyDescent="0.2">
      <c r="C112" s="51"/>
      <c r="D112" s="52"/>
      <c r="E112" s="55"/>
      <c r="F112" s="372"/>
      <c r="G112" s="372"/>
      <c r="H112" s="372"/>
      <c r="I112" s="254"/>
      <c r="J112" s="122"/>
      <c r="K112" s="122"/>
      <c r="L112" s="122"/>
      <c r="M112" s="120"/>
      <c r="N112" s="122"/>
      <c r="O112" s="122"/>
      <c r="P112" s="122"/>
      <c r="Q112" s="119"/>
      <c r="R112" s="122"/>
      <c r="S112" s="122"/>
      <c r="T112" s="122"/>
      <c r="U112" s="122"/>
      <c r="V112" s="122"/>
      <c r="W112" s="120"/>
      <c r="X112" s="125"/>
      <c r="Y112" s="121"/>
      <c r="Z112" s="125"/>
      <c r="AA112" s="119"/>
      <c r="AB112" s="122"/>
      <c r="AC112" s="120"/>
      <c r="AD112" s="122"/>
      <c r="AE112" s="122"/>
      <c r="AF112" s="122"/>
      <c r="AG112" s="119"/>
      <c r="AH112" s="122"/>
      <c r="AI112" s="122"/>
      <c r="AJ112" s="122"/>
      <c r="AK112" s="120"/>
      <c r="AL112" s="122"/>
      <c r="AM112" s="122"/>
      <c r="AN112" s="122"/>
      <c r="AO112" s="52"/>
      <c r="AQ112" s="86"/>
      <c r="AR112" s="86"/>
      <c r="AS112" s="86"/>
      <c r="AT112" s="228"/>
    </row>
    <row r="113" spans="2:55" ht="18" customHeight="1" thickBot="1" x14ac:dyDescent="0.2">
      <c r="B113" s="42">
        <v>47</v>
      </c>
      <c r="C113" s="49"/>
      <c r="D113" s="52" t="s">
        <v>202</v>
      </c>
      <c r="E113" s="50"/>
      <c r="F113" s="371"/>
      <c r="G113" s="371"/>
      <c r="H113" s="371"/>
      <c r="I113" s="254"/>
      <c r="J113" s="374"/>
      <c r="K113" s="375"/>
      <c r="L113" s="376"/>
      <c r="M113" s="120"/>
      <c r="N113" s="369"/>
      <c r="O113" s="369"/>
      <c r="P113" s="369"/>
      <c r="Q113" s="119"/>
      <c r="R113" s="369"/>
      <c r="S113" s="369"/>
      <c r="T113" s="369"/>
      <c r="U113" s="369"/>
      <c r="V113" s="369"/>
      <c r="W113" s="120"/>
      <c r="X113" s="123"/>
      <c r="Y113" s="121" t="s">
        <v>156</v>
      </c>
      <c r="Z113" s="123"/>
      <c r="AA113" s="119"/>
      <c r="AB113" s="124"/>
      <c r="AC113" s="120"/>
      <c r="AD113" s="369"/>
      <c r="AE113" s="369"/>
      <c r="AF113" s="369"/>
      <c r="AG113" s="119"/>
      <c r="AH113" s="369"/>
      <c r="AI113" s="369"/>
      <c r="AJ113" s="369"/>
      <c r="AK113" s="120"/>
      <c r="AL113" s="369"/>
      <c r="AM113" s="369"/>
      <c r="AN113" s="369"/>
      <c r="AO113" s="49"/>
      <c r="AQ113" s="86"/>
      <c r="AR113" s="86"/>
      <c r="AS113" s="86"/>
      <c r="AT113" s="228" t="str">
        <f>IF($B113&lt;=入力シート!$F$85,IF(AU113&lt;&gt;"OK",AU113,IF(AV113&lt;&gt;"OK",AV113,IF(AW113&lt;&gt;"OK",AW113,IF(AX113&lt;&gt;"OK",AX113,IF(AY113&lt;&gt;"OK",AY113,IF(AZ113&lt;&gt;"OK",AZ113,IF(BA113&lt;&gt;"OK",BA113,BB113))))))),"")</f>
        <v/>
      </c>
      <c r="AU113" s="42" t="str">
        <f ca="1">中間シート!X475</f>
        <v>書類の種類を選択してください。</v>
      </c>
      <c r="AV113" s="41" t="str">
        <f ca="1">中間シート!X476</f>
        <v>認証・指定・認定番号または、整備士合格証書番号を入力してください。</v>
      </c>
      <c r="AW113" s="42" t="str">
        <f ca="1">中間シート!X477</f>
        <v>管轄運輸局を入力してください。</v>
      </c>
      <c r="AX113" s="41" t="str">
        <f ca="1">中間シート!X478</f>
        <v>事業場名を入力してください。</v>
      </c>
      <c r="AY113" s="42" t="str">
        <f ca="1">中間シート!X479</f>
        <v>郵便番号を入力してください。</v>
      </c>
      <c r="AZ113" s="41" t="str">
        <f ca="1">中間シート!X480</f>
        <v>都道府県を選択してください。</v>
      </c>
      <c r="BA113" s="42" t="str">
        <f ca="1">中間シート!X481</f>
        <v>市区町村を入力してください。</v>
      </c>
      <c r="BB113" s="42" t="str">
        <f ca="1">中間シート!X482</f>
        <v>町名地番を入力してください。</v>
      </c>
    </row>
    <row r="114" spans="2:55" s="41" customFormat="1" ht="5.0999999999999996" customHeight="1" thickBot="1" x14ac:dyDescent="0.2">
      <c r="C114" s="51"/>
      <c r="D114" s="52"/>
      <c r="E114" s="55"/>
      <c r="F114" s="122"/>
      <c r="G114" s="122"/>
      <c r="H114" s="122"/>
      <c r="I114" s="254"/>
      <c r="J114" s="122"/>
      <c r="K114" s="122"/>
      <c r="L114" s="122"/>
      <c r="M114" s="120"/>
      <c r="N114" s="122"/>
      <c r="O114" s="122"/>
      <c r="P114" s="122"/>
      <c r="Q114" s="119"/>
      <c r="R114" s="122"/>
      <c r="S114" s="122"/>
      <c r="T114" s="122"/>
      <c r="U114" s="122"/>
      <c r="V114" s="122"/>
      <c r="W114" s="120"/>
      <c r="X114" s="125"/>
      <c r="Y114" s="121"/>
      <c r="Z114" s="125"/>
      <c r="AA114" s="119"/>
      <c r="AB114" s="122"/>
      <c r="AC114" s="120"/>
      <c r="AD114" s="122"/>
      <c r="AE114" s="122"/>
      <c r="AF114" s="122"/>
      <c r="AG114" s="119"/>
      <c r="AH114" s="122"/>
      <c r="AI114" s="122"/>
      <c r="AJ114" s="122"/>
      <c r="AK114" s="120"/>
      <c r="AL114" s="122"/>
      <c r="AM114" s="122"/>
      <c r="AN114" s="122"/>
      <c r="AO114" s="52"/>
      <c r="AQ114" s="86"/>
      <c r="AR114" s="86"/>
      <c r="AS114" s="86"/>
      <c r="AT114" s="228"/>
    </row>
    <row r="115" spans="2:55" ht="18" customHeight="1" thickBot="1" x14ac:dyDescent="0.2">
      <c r="B115" s="42">
        <v>48</v>
      </c>
      <c r="C115" s="49"/>
      <c r="D115" s="52" t="s">
        <v>203</v>
      </c>
      <c r="E115" s="50"/>
      <c r="F115" s="371"/>
      <c r="G115" s="371"/>
      <c r="H115" s="371"/>
      <c r="I115" s="254"/>
      <c r="J115" s="374"/>
      <c r="K115" s="375"/>
      <c r="L115" s="376"/>
      <c r="M115" s="120"/>
      <c r="N115" s="369"/>
      <c r="O115" s="369"/>
      <c r="P115" s="369"/>
      <c r="Q115" s="119"/>
      <c r="R115" s="369"/>
      <c r="S115" s="369"/>
      <c r="T115" s="369"/>
      <c r="U115" s="369"/>
      <c r="V115" s="369"/>
      <c r="W115" s="120"/>
      <c r="X115" s="123"/>
      <c r="Y115" s="121" t="s">
        <v>156</v>
      </c>
      <c r="Z115" s="123"/>
      <c r="AA115" s="119"/>
      <c r="AB115" s="124"/>
      <c r="AC115" s="120"/>
      <c r="AD115" s="369"/>
      <c r="AE115" s="369"/>
      <c r="AF115" s="369"/>
      <c r="AG115" s="119"/>
      <c r="AH115" s="369"/>
      <c r="AI115" s="369"/>
      <c r="AJ115" s="369"/>
      <c r="AK115" s="120"/>
      <c r="AL115" s="369"/>
      <c r="AM115" s="369"/>
      <c r="AN115" s="369"/>
      <c r="AO115" s="49"/>
      <c r="AQ115" s="86"/>
      <c r="AR115" s="86"/>
      <c r="AS115" s="86"/>
      <c r="AT115" s="228" t="str">
        <f>IF($B115&lt;=入力シート!$F$85,IF(AU115&lt;&gt;"OK",AU115,IF(AV115&lt;&gt;"OK",AV115,IF(AW115&lt;&gt;"OK",AW115,IF(AX115&lt;&gt;"OK",AX115,IF(AY115&lt;&gt;"OK",AY115,IF(AZ115&lt;&gt;"OK",AZ115,IF(BA115&lt;&gt;"OK",BA115,BB115))))))),"")</f>
        <v/>
      </c>
      <c r="AU115" s="42" t="str">
        <f ca="1">中間シート!X484</f>
        <v>書類の種類を選択してください。</v>
      </c>
      <c r="AV115" s="41" t="str">
        <f ca="1">中間シート!X485</f>
        <v>認証・指定・認定番号または、整備士合格証書番号を入力してください。</v>
      </c>
      <c r="AW115" s="42" t="str">
        <f ca="1">中間シート!X486</f>
        <v>管轄運輸局を入力してください。</v>
      </c>
      <c r="AX115" s="41" t="str">
        <f ca="1">中間シート!X487</f>
        <v>事業場名を入力してください。</v>
      </c>
      <c r="AY115" s="42" t="str">
        <f ca="1">中間シート!X488</f>
        <v>郵便番号を入力してください。</v>
      </c>
      <c r="AZ115" s="42" t="str">
        <f ca="1">中間シート!X489</f>
        <v>都道府県を選択してください。</v>
      </c>
      <c r="BA115" s="42" t="str">
        <f ca="1">中間シート!X490</f>
        <v>市区町村を入力してください。</v>
      </c>
      <c r="BB115" s="42" t="str">
        <f ca="1">中間シート!X491</f>
        <v>町名地番を入力してください。</v>
      </c>
    </row>
    <row r="116" spans="2:55" s="41" customFormat="1" ht="5.0999999999999996" customHeight="1" thickBot="1" x14ac:dyDescent="0.2">
      <c r="C116" s="51"/>
      <c r="D116" s="52"/>
      <c r="E116" s="55"/>
      <c r="F116" s="380"/>
      <c r="G116" s="380"/>
      <c r="H116" s="380"/>
      <c r="I116" s="254"/>
      <c r="J116" s="122"/>
      <c r="K116" s="122"/>
      <c r="L116" s="122"/>
      <c r="M116" s="120"/>
      <c r="N116" s="122"/>
      <c r="O116" s="122"/>
      <c r="P116" s="122"/>
      <c r="Q116" s="119"/>
      <c r="R116" s="122"/>
      <c r="S116" s="122"/>
      <c r="T116" s="122"/>
      <c r="U116" s="122"/>
      <c r="V116" s="122"/>
      <c r="W116" s="120"/>
      <c r="X116" s="125"/>
      <c r="Y116" s="121"/>
      <c r="Z116" s="125"/>
      <c r="AA116" s="119"/>
      <c r="AB116" s="122"/>
      <c r="AC116" s="120"/>
      <c r="AD116" s="122"/>
      <c r="AE116" s="122"/>
      <c r="AF116" s="122"/>
      <c r="AG116" s="119"/>
      <c r="AH116" s="122"/>
      <c r="AI116" s="122"/>
      <c r="AJ116" s="122"/>
      <c r="AK116" s="120"/>
      <c r="AL116" s="122"/>
      <c r="AM116" s="122"/>
      <c r="AN116" s="122"/>
      <c r="AO116" s="52"/>
      <c r="AQ116" s="86"/>
      <c r="AR116" s="86"/>
      <c r="AS116" s="86"/>
      <c r="AT116" s="228"/>
    </row>
    <row r="117" spans="2:55" ht="18" customHeight="1" thickBot="1" x14ac:dyDescent="0.2">
      <c r="B117" s="42">
        <v>49</v>
      </c>
      <c r="C117" s="49"/>
      <c r="D117" s="52" t="s">
        <v>204</v>
      </c>
      <c r="E117" s="50"/>
      <c r="F117" s="371"/>
      <c r="G117" s="371"/>
      <c r="H117" s="371"/>
      <c r="I117" s="254"/>
      <c r="J117" s="374"/>
      <c r="K117" s="375"/>
      <c r="L117" s="376"/>
      <c r="M117" s="120"/>
      <c r="N117" s="369"/>
      <c r="O117" s="369"/>
      <c r="P117" s="369"/>
      <c r="Q117" s="119"/>
      <c r="R117" s="369"/>
      <c r="S117" s="369"/>
      <c r="T117" s="369"/>
      <c r="U117" s="369"/>
      <c r="V117" s="369"/>
      <c r="W117" s="120"/>
      <c r="X117" s="123"/>
      <c r="Y117" s="121" t="s">
        <v>156</v>
      </c>
      <c r="Z117" s="123"/>
      <c r="AA117" s="119"/>
      <c r="AB117" s="124"/>
      <c r="AC117" s="120"/>
      <c r="AD117" s="369"/>
      <c r="AE117" s="369"/>
      <c r="AF117" s="369"/>
      <c r="AG117" s="119"/>
      <c r="AH117" s="369"/>
      <c r="AI117" s="369"/>
      <c r="AJ117" s="369"/>
      <c r="AK117" s="120"/>
      <c r="AL117" s="369"/>
      <c r="AM117" s="369"/>
      <c r="AN117" s="369"/>
      <c r="AO117" s="49"/>
      <c r="AQ117" s="86"/>
      <c r="AR117" s="86"/>
      <c r="AS117" s="86"/>
      <c r="AT117" s="228" t="str">
        <f>IF($B117&lt;=入力シート!$F$85,IF(AU117&lt;&gt;"OK",AU117,IF(AV117&lt;&gt;"OK",AV117,IF(AW117&lt;&gt;"OK",AW117,IF(AX117&lt;&gt;"OK",AX117,IF(AY117&lt;&gt;"OK",AY117,IF(AZ117&lt;&gt;"OK",AZ117,IF(BA117&lt;&gt;"OK",BA117,BB117))))))),"")</f>
        <v/>
      </c>
      <c r="AU117" s="42" t="str">
        <f ca="1">中間シート!X493</f>
        <v>書類の種類を選択してください。</v>
      </c>
      <c r="AV117" s="41" t="str">
        <f ca="1">中間シート!X494</f>
        <v>認証・指定・認定番号または、整備士合格証書番号を入力してください。</v>
      </c>
      <c r="AW117" s="42" t="str">
        <f ca="1">中間シート!X495</f>
        <v>管轄運輸局を入力してください。</v>
      </c>
      <c r="AX117" s="42" t="str">
        <f ca="1">中間シート!X496</f>
        <v>事業場名を入力してください。</v>
      </c>
      <c r="AY117" s="42" t="str">
        <f ca="1">中間シート!X497</f>
        <v>郵便番号を入力してください。</v>
      </c>
      <c r="AZ117" s="42" t="str">
        <f ca="1">中間シート!X498</f>
        <v>都道府県を選択してください。</v>
      </c>
      <c r="BA117" s="42" t="str">
        <f ca="1">中間シート!X499</f>
        <v>市区町村を入力してください。</v>
      </c>
      <c r="BB117" s="42" t="str">
        <f ca="1">中間シート!X500</f>
        <v>町名地番を入力してください。</v>
      </c>
    </row>
    <row r="118" spans="2:55" s="41" customFormat="1" ht="5.0999999999999996" customHeight="1" thickBot="1" x14ac:dyDescent="0.2">
      <c r="C118" s="51"/>
      <c r="D118" s="52"/>
      <c r="E118" s="55"/>
      <c r="F118" s="372"/>
      <c r="G118" s="372"/>
      <c r="H118" s="372"/>
      <c r="I118" s="254"/>
      <c r="J118" s="122"/>
      <c r="K118" s="122"/>
      <c r="L118" s="122"/>
      <c r="M118" s="120"/>
      <c r="N118" s="122"/>
      <c r="O118" s="122"/>
      <c r="P118" s="122"/>
      <c r="Q118" s="119"/>
      <c r="R118" s="122"/>
      <c r="S118" s="122"/>
      <c r="T118" s="122"/>
      <c r="U118" s="122"/>
      <c r="V118" s="122"/>
      <c r="W118" s="120"/>
      <c r="X118" s="125"/>
      <c r="Y118" s="121"/>
      <c r="Z118" s="125"/>
      <c r="AA118" s="119"/>
      <c r="AB118" s="122"/>
      <c r="AC118" s="120"/>
      <c r="AD118" s="122"/>
      <c r="AE118" s="122"/>
      <c r="AF118" s="122"/>
      <c r="AG118" s="119"/>
      <c r="AH118" s="122"/>
      <c r="AI118" s="122"/>
      <c r="AJ118" s="122"/>
      <c r="AK118" s="120"/>
      <c r="AL118" s="122"/>
      <c r="AM118" s="122"/>
      <c r="AN118" s="122"/>
      <c r="AO118" s="52"/>
      <c r="AQ118" s="86"/>
      <c r="AR118" s="86"/>
      <c r="AS118" s="86"/>
      <c r="AT118" s="228"/>
    </row>
    <row r="119" spans="2:55" ht="18" customHeight="1" thickBot="1" x14ac:dyDescent="0.2">
      <c r="B119" s="42">
        <v>50</v>
      </c>
      <c r="C119" s="49"/>
      <c r="D119" s="52" t="s">
        <v>205</v>
      </c>
      <c r="E119" s="50"/>
      <c r="F119" s="371"/>
      <c r="G119" s="371"/>
      <c r="H119" s="371"/>
      <c r="I119" s="254"/>
      <c r="J119" s="374"/>
      <c r="K119" s="375"/>
      <c r="L119" s="376"/>
      <c r="M119" s="120"/>
      <c r="N119" s="369"/>
      <c r="O119" s="369"/>
      <c r="P119" s="369"/>
      <c r="Q119" s="119"/>
      <c r="R119" s="369"/>
      <c r="S119" s="369"/>
      <c r="T119" s="369"/>
      <c r="U119" s="369"/>
      <c r="V119" s="369"/>
      <c r="W119" s="120"/>
      <c r="X119" s="123"/>
      <c r="Y119" s="121" t="s">
        <v>156</v>
      </c>
      <c r="Z119" s="123"/>
      <c r="AA119" s="119"/>
      <c r="AB119" s="124"/>
      <c r="AC119" s="120"/>
      <c r="AD119" s="369"/>
      <c r="AE119" s="369"/>
      <c r="AF119" s="369"/>
      <c r="AG119" s="119"/>
      <c r="AH119" s="369"/>
      <c r="AI119" s="369"/>
      <c r="AJ119" s="369"/>
      <c r="AK119" s="120"/>
      <c r="AL119" s="369"/>
      <c r="AM119" s="369"/>
      <c r="AN119" s="369"/>
      <c r="AO119" s="49"/>
      <c r="AP119" s="41"/>
      <c r="AQ119" s="86"/>
      <c r="AR119" s="86"/>
      <c r="AS119" s="86"/>
      <c r="AT119" s="228" t="str">
        <f>IF($B119&lt;=入力シート!$F$85,IF(AU119&lt;&gt;"OK",AU119,IF(AV119&lt;&gt;"OK",AV119,IF(AW119&lt;&gt;"OK",AW119,IF(AX119&lt;&gt;"OK",AX119,IF(AY119&lt;&gt;"OK",AY119,IF(AZ119&lt;&gt;"OK",AZ119,IF(BA119&lt;&gt;"OK",BA119,BB119))))))),"")</f>
        <v/>
      </c>
      <c r="AU119" s="42" t="str">
        <f ca="1">中間シート!X502</f>
        <v>書類の種類を選択してください。</v>
      </c>
      <c r="AV119" s="42" t="str">
        <f ca="1">中間シート!X503</f>
        <v>認証・指定・認定番号または、整備士合格証書番号を入力してください。</v>
      </c>
      <c r="AW119" s="42" t="str">
        <f ca="1">中間シート!X504</f>
        <v>管轄運輸局を入力してください。</v>
      </c>
      <c r="AX119" s="42" t="str">
        <f ca="1">中間シート!X505</f>
        <v>事業場名を入力してください。</v>
      </c>
      <c r="AY119" s="42" t="str">
        <f ca="1">中間シート!X506</f>
        <v>郵便番号を入力してください。</v>
      </c>
      <c r="AZ119" s="42" t="str">
        <f ca="1">中間シート!X507</f>
        <v>都道府県を選択してください。</v>
      </c>
      <c r="BA119" s="42" t="str">
        <f ca="1">中間シート!X508</f>
        <v>市区町村を入力してください。</v>
      </c>
      <c r="BB119" s="42" t="str">
        <f ca="1">中間シート!X509</f>
        <v>町名地番を入力してください。</v>
      </c>
    </row>
    <row r="120" spans="2:55" x14ac:dyDescent="0.15">
      <c r="C120" s="49"/>
      <c r="D120" s="49"/>
      <c r="E120" s="50"/>
      <c r="F120" s="50"/>
      <c r="G120" s="50"/>
      <c r="H120" s="50"/>
      <c r="I120" s="251"/>
      <c r="J120" s="50"/>
      <c r="K120" s="50"/>
      <c r="L120" s="50"/>
      <c r="M120" s="50"/>
      <c r="N120" s="50"/>
      <c r="O120" s="51"/>
      <c r="P120" s="50"/>
      <c r="Q120" s="50"/>
      <c r="R120" s="50"/>
      <c r="S120" s="50"/>
      <c r="T120" s="50"/>
      <c r="U120" s="50"/>
      <c r="V120" s="50"/>
      <c r="W120" s="50"/>
      <c r="X120" s="50"/>
      <c r="Y120" s="87"/>
      <c r="Z120" s="50"/>
      <c r="AA120" s="50"/>
      <c r="AB120" s="50"/>
      <c r="AC120" s="50"/>
      <c r="AD120" s="50"/>
      <c r="AE120" s="50"/>
      <c r="AF120" s="50"/>
      <c r="AG120" s="50"/>
      <c r="AH120" s="50"/>
      <c r="AI120" s="50"/>
      <c r="AJ120" s="50"/>
      <c r="AK120" s="50"/>
      <c r="AL120" s="50"/>
      <c r="AM120" s="51"/>
      <c r="AN120" s="50"/>
      <c r="AO120" s="50"/>
      <c r="AP120" s="41"/>
      <c r="AQ120" s="86"/>
      <c r="AR120" s="86"/>
      <c r="AS120" s="86"/>
    </row>
    <row r="121" spans="2:55" x14ac:dyDescent="0.15">
      <c r="C121" s="49"/>
      <c r="D121" s="49"/>
      <c r="E121" s="50"/>
      <c r="F121" s="50"/>
      <c r="G121" s="50"/>
      <c r="H121" s="50"/>
      <c r="I121" s="251"/>
      <c r="J121" s="50"/>
      <c r="K121" s="50"/>
      <c r="L121" s="50"/>
      <c r="M121" s="50"/>
      <c r="N121" s="50"/>
      <c r="O121" s="51"/>
      <c r="P121" s="50"/>
      <c r="Q121" s="50"/>
      <c r="R121" s="50"/>
      <c r="S121" s="50"/>
      <c r="T121" s="50"/>
      <c r="U121" s="50"/>
      <c r="V121" s="50"/>
      <c r="W121" s="50"/>
      <c r="X121" s="50"/>
      <c r="Y121" s="87"/>
      <c r="Z121" s="50"/>
      <c r="AA121" s="50"/>
      <c r="AB121" s="50"/>
      <c r="AC121" s="50"/>
      <c r="AD121" s="50"/>
      <c r="AE121" s="50"/>
      <c r="AF121" s="50"/>
      <c r="AG121" s="50"/>
      <c r="AH121" s="50"/>
      <c r="AI121" s="50"/>
      <c r="AJ121" s="50"/>
      <c r="AK121" s="50"/>
      <c r="AL121" s="399" t="s">
        <v>206</v>
      </c>
      <c r="AM121" s="399"/>
      <c r="AN121" s="399"/>
      <c r="AO121" s="50"/>
      <c r="AP121" s="41"/>
      <c r="AQ121" s="86"/>
      <c r="AR121" s="86"/>
      <c r="AS121" s="86"/>
    </row>
    <row r="122" spans="2:55" x14ac:dyDescent="0.15">
      <c r="C122" s="49"/>
      <c r="D122" s="49"/>
      <c r="E122" s="50"/>
      <c r="F122" s="50"/>
      <c r="G122" s="50"/>
      <c r="H122" s="50"/>
      <c r="I122" s="251"/>
      <c r="J122" s="50"/>
      <c r="K122" s="50"/>
      <c r="L122" s="50"/>
      <c r="M122" s="50"/>
      <c r="N122" s="50"/>
      <c r="O122" s="51"/>
      <c r="P122" s="50"/>
      <c r="Q122" s="50"/>
      <c r="R122" s="50"/>
      <c r="S122" s="50"/>
      <c r="T122" s="50"/>
      <c r="U122" s="50"/>
      <c r="V122" s="50"/>
      <c r="W122" s="50"/>
      <c r="X122" s="50"/>
      <c r="Y122" s="87"/>
      <c r="Z122" s="50"/>
      <c r="AA122" s="50"/>
      <c r="AB122" s="50"/>
      <c r="AC122" s="50"/>
      <c r="AD122" s="50"/>
      <c r="AE122" s="50"/>
      <c r="AF122" s="50"/>
      <c r="AG122" s="50"/>
      <c r="AH122" s="50"/>
      <c r="AI122" s="50"/>
      <c r="AJ122" s="50"/>
      <c r="AK122" s="50"/>
      <c r="AL122" s="50"/>
      <c r="AM122" s="51"/>
      <c r="AN122" s="50"/>
      <c r="AO122" s="50"/>
      <c r="AP122" s="41"/>
      <c r="AQ122" s="86"/>
      <c r="AR122" s="86"/>
      <c r="AS122" s="86"/>
    </row>
    <row r="123" spans="2:55" x14ac:dyDescent="0.15">
      <c r="AP123" s="41"/>
      <c r="AQ123" s="86"/>
      <c r="AR123" s="86"/>
      <c r="AS123" s="86"/>
    </row>
    <row r="124" spans="2:55" ht="5.0999999999999996" customHeight="1" x14ac:dyDescent="0.15">
      <c r="C124" s="46"/>
      <c r="D124" s="82"/>
      <c r="E124" s="48"/>
      <c r="F124" s="46"/>
      <c r="G124" s="46"/>
      <c r="H124" s="46"/>
      <c r="I124" s="255"/>
      <c r="J124" s="46"/>
      <c r="K124" s="46"/>
      <c r="L124" s="46"/>
      <c r="M124" s="46"/>
      <c r="N124" s="46"/>
      <c r="O124" s="46"/>
      <c r="P124" s="46"/>
      <c r="Q124" s="46"/>
      <c r="R124" s="46"/>
      <c r="S124" s="46"/>
      <c r="T124" s="46"/>
      <c r="U124" s="46"/>
      <c r="V124" s="46"/>
      <c r="W124" s="46"/>
      <c r="AP124" s="41"/>
      <c r="AQ124" s="86"/>
      <c r="AR124" s="86"/>
      <c r="AS124" s="86"/>
    </row>
    <row r="125" spans="2:55" x14ac:dyDescent="0.15">
      <c r="C125" s="46" t="str">
        <f>"５-２．事業場２"&amp;IF(2&lt;中間シート!G60,"～事業場"&amp;DBCS(中間シート!G60),"")&amp;"に設置する補助対象機器の情報を入力してください。"</f>
        <v>５-２．事業場２に設置する補助対象機器の情報を入力してください。</v>
      </c>
      <c r="D125" s="46"/>
      <c r="E125" s="47"/>
      <c r="F125" s="46"/>
      <c r="G125" s="46"/>
      <c r="H125" s="46"/>
      <c r="I125" s="255"/>
      <c r="J125" s="46"/>
      <c r="K125" s="46"/>
      <c r="L125" s="46"/>
      <c r="M125" s="46"/>
      <c r="N125" s="46"/>
      <c r="O125" s="46"/>
      <c r="P125" s="46"/>
      <c r="Q125" s="46"/>
      <c r="R125" s="46"/>
      <c r="S125" s="46"/>
      <c r="T125" s="46"/>
      <c r="U125" s="46"/>
      <c r="V125" s="46"/>
      <c r="W125" s="46"/>
      <c r="AP125" s="41"/>
      <c r="AQ125" s="86"/>
      <c r="AR125" s="86"/>
      <c r="AS125" s="86"/>
    </row>
    <row r="126" spans="2:55" ht="5.0999999999999996" customHeight="1" x14ac:dyDescent="0.15">
      <c r="C126" s="46"/>
      <c r="D126" s="82"/>
      <c r="E126" s="48"/>
      <c r="F126" s="46"/>
      <c r="G126" s="46"/>
      <c r="H126" s="46"/>
      <c r="I126" s="255"/>
      <c r="J126" s="46"/>
      <c r="K126" s="46"/>
      <c r="L126" s="46"/>
      <c r="M126" s="46"/>
      <c r="N126" s="46"/>
      <c r="O126" s="46"/>
      <c r="P126" s="46"/>
      <c r="Q126" s="46"/>
      <c r="R126" s="46"/>
      <c r="S126" s="46"/>
      <c r="T126" s="46"/>
      <c r="U126" s="46"/>
      <c r="V126" s="46"/>
      <c r="W126" s="46"/>
      <c r="AP126" s="41"/>
      <c r="AQ126" s="86"/>
      <c r="AR126" s="86"/>
      <c r="AS126" s="86"/>
    </row>
    <row r="127" spans="2:55" s="74" customFormat="1" x14ac:dyDescent="0.15">
      <c r="C127" s="23"/>
      <c r="D127" s="79" t="s">
        <v>207</v>
      </c>
      <c r="E127" s="47"/>
      <c r="F127" s="23"/>
      <c r="G127" s="23"/>
      <c r="H127" s="23"/>
      <c r="I127" s="256"/>
      <c r="J127" s="23"/>
      <c r="K127" s="23"/>
      <c r="L127" s="23"/>
      <c r="M127" s="23"/>
      <c r="N127" s="23"/>
      <c r="O127" s="23"/>
      <c r="P127" s="23"/>
      <c r="Q127" s="23"/>
      <c r="R127" s="23"/>
      <c r="S127" s="23"/>
      <c r="T127" s="23"/>
      <c r="U127" s="23"/>
      <c r="V127" s="23"/>
      <c r="W127" s="23"/>
      <c r="X127" s="42"/>
      <c r="Y127" s="42"/>
      <c r="Z127" s="42"/>
      <c r="AA127" s="42"/>
      <c r="AB127" s="42"/>
      <c r="AC127" s="42"/>
      <c r="AD127" s="42"/>
      <c r="AE127" s="42"/>
      <c r="AF127" s="42"/>
      <c r="AG127" s="42"/>
      <c r="AH127" s="42"/>
      <c r="AI127" s="42"/>
      <c r="AJ127" s="42"/>
      <c r="AK127" s="42"/>
      <c r="AL127" s="42"/>
      <c r="AM127" s="42"/>
      <c r="AN127" s="42"/>
      <c r="AO127" s="42"/>
      <c r="AQ127" s="86"/>
      <c r="AR127" s="86"/>
      <c r="AS127" s="86"/>
      <c r="AT127" s="151"/>
      <c r="AU127" s="39"/>
      <c r="AV127" s="39"/>
      <c r="AW127" s="39"/>
      <c r="AX127" s="39"/>
      <c r="AY127" s="39"/>
      <c r="AZ127" s="39"/>
      <c r="BA127" s="39"/>
      <c r="BB127" s="39"/>
      <c r="BC127" s="39"/>
    </row>
    <row r="128" spans="2:55" s="74" customFormat="1" x14ac:dyDescent="0.15">
      <c r="C128" s="23"/>
      <c r="D128" s="79" t="s">
        <v>59</v>
      </c>
      <c r="E128" s="47"/>
      <c r="F128" s="23"/>
      <c r="G128" s="23"/>
      <c r="H128" s="23"/>
      <c r="I128" s="256"/>
      <c r="J128" s="23"/>
      <c r="K128" s="23"/>
      <c r="L128" s="23"/>
      <c r="M128" s="23"/>
      <c r="N128" s="23"/>
      <c r="O128" s="23"/>
      <c r="P128" s="23"/>
      <c r="Q128" s="23"/>
      <c r="R128" s="23"/>
      <c r="S128" s="23"/>
      <c r="T128" s="23"/>
      <c r="U128" s="23"/>
      <c r="V128" s="23"/>
      <c r="W128" s="23"/>
      <c r="X128" s="42"/>
      <c r="Y128" s="42"/>
      <c r="Z128" s="42"/>
      <c r="AA128" s="42"/>
      <c r="AB128" s="42"/>
      <c r="AC128" s="42"/>
      <c r="AD128" s="42"/>
      <c r="AE128" s="42"/>
      <c r="AF128" s="42"/>
      <c r="AG128" s="42"/>
      <c r="AH128" s="42"/>
      <c r="AI128" s="42"/>
      <c r="AJ128" s="42"/>
      <c r="AK128" s="42"/>
      <c r="AL128" s="42"/>
      <c r="AM128" s="42"/>
      <c r="AN128" s="42"/>
      <c r="AO128" s="42"/>
      <c r="AQ128" s="86"/>
      <c r="AR128" s="86"/>
      <c r="AS128" s="86"/>
      <c r="AT128" s="151"/>
      <c r="AU128" s="39"/>
      <c r="AV128" s="39"/>
      <c r="AW128" s="39"/>
      <c r="AX128" s="39"/>
      <c r="AY128" s="39"/>
      <c r="AZ128" s="39"/>
      <c r="BA128" s="39"/>
      <c r="BB128" s="39"/>
      <c r="BC128" s="39"/>
    </row>
    <row r="129" spans="2:45" ht="13.5" customHeight="1" x14ac:dyDescent="0.15">
      <c r="C129" s="46"/>
      <c r="D129" s="46"/>
      <c r="E129" s="47"/>
      <c r="F129" s="47"/>
      <c r="G129" s="47"/>
      <c r="H129" s="47"/>
      <c r="I129" s="255"/>
      <c r="J129" s="46"/>
      <c r="K129" s="46"/>
      <c r="L129" s="46"/>
      <c r="M129" s="46"/>
      <c r="N129" s="46"/>
      <c r="O129" s="46"/>
      <c r="P129" s="46"/>
      <c r="Q129" s="46"/>
      <c r="R129" s="46"/>
      <c r="S129" s="46"/>
      <c r="T129" s="46"/>
      <c r="U129" s="46"/>
      <c r="V129" s="46"/>
      <c r="W129" s="46"/>
      <c r="AP129" s="41"/>
      <c r="AQ129" s="86"/>
      <c r="AR129" s="86"/>
      <c r="AS129" s="86"/>
    </row>
    <row r="130" spans="2:45" s="151" customFormat="1" ht="27" customHeight="1" x14ac:dyDescent="0.15">
      <c r="B130" s="161"/>
      <c r="C130" s="180"/>
      <c r="D130" s="342" t="s">
        <v>62</v>
      </c>
      <c r="E130" s="343"/>
      <c r="F130" s="343"/>
      <c r="G130" s="343"/>
      <c r="H130" s="343"/>
      <c r="I130" s="343"/>
      <c r="J130" s="343"/>
      <c r="K130" s="343"/>
      <c r="L130" s="343"/>
      <c r="M130" s="343"/>
      <c r="N130" s="343"/>
      <c r="O130" s="343"/>
      <c r="P130" s="343"/>
      <c r="Q130" s="343"/>
      <c r="R130" s="343"/>
      <c r="S130" s="343"/>
      <c r="T130" s="343"/>
      <c r="U130" s="343"/>
      <c r="V130" s="343"/>
      <c r="W130" s="161"/>
      <c r="Y130" s="42"/>
      <c r="Z130" s="42"/>
      <c r="AA130" s="295"/>
    </row>
    <row r="131" spans="2:45" s="151" customFormat="1" ht="5.0999999999999996" customHeight="1" x14ac:dyDescent="0.15">
      <c r="B131" s="161"/>
      <c r="C131" s="180"/>
      <c r="D131" s="161"/>
      <c r="E131" s="180"/>
      <c r="F131" s="180"/>
      <c r="G131" s="161"/>
      <c r="H131" s="161"/>
      <c r="I131" s="161"/>
      <c r="J131" s="161"/>
      <c r="K131" s="161"/>
      <c r="L131" s="161"/>
      <c r="M131" s="161"/>
      <c r="N131" s="161"/>
      <c r="O131" s="161"/>
      <c r="P131" s="161"/>
      <c r="Q131" s="161"/>
      <c r="R131" s="161"/>
      <c r="S131" s="161"/>
      <c r="T131" s="161"/>
      <c r="U131" s="161"/>
      <c r="V131" s="161"/>
      <c r="W131" s="161"/>
      <c r="Y131" s="42"/>
      <c r="Z131" s="42"/>
      <c r="AA131" s="295"/>
    </row>
    <row r="132" spans="2:45" s="151" customFormat="1" x14ac:dyDescent="0.15">
      <c r="B132" s="161"/>
      <c r="C132" s="180"/>
      <c r="D132" s="161" t="s">
        <v>63</v>
      </c>
      <c r="E132" s="180"/>
      <c r="F132" s="180"/>
      <c r="G132" s="161"/>
      <c r="H132" s="161"/>
      <c r="I132" s="161"/>
      <c r="J132" s="161"/>
      <c r="K132" s="161"/>
      <c r="L132" s="161"/>
      <c r="M132" s="161"/>
      <c r="N132" s="161"/>
      <c r="O132" s="161"/>
      <c r="P132" s="161"/>
      <c r="Q132" s="161"/>
      <c r="R132" s="161"/>
      <c r="S132" s="161"/>
      <c r="T132" s="161"/>
      <c r="U132" s="161"/>
      <c r="V132" s="161"/>
      <c r="W132" s="161"/>
      <c r="Y132" s="42"/>
      <c r="Z132" s="42"/>
      <c r="AA132" s="295"/>
    </row>
    <row r="133" spans="2:45" s="151" customFormat="1" x14ac:dyDescent="0.15">
      <c r="B133" s="161"/>
      <c r="C133" s="180"/>
      <c r="D133" s="161" t="s">
        <v>64</v>
      </c>
      <c r="E133" s="180"/>
      <c r="F133" s="180"/>
      <c r="G133" s="161"/>
      <c r="H133" s="161"/>
      <c r="I133" s="161"/>
      <c r="J133" s="161"/>
      <c r="K133" s="161"/>
      <c r="L133" s="161"/>
      <c r="M133" s="161"/>
      <c r="N133" s="161"/>
      <c r="O133" s="161"/>
      <c r="P133" s="161"/>
      <c r="Q133" s="161"/>
      <c r="R133" s="161"/>
      <c r="S133" s="161"/>
      <c r="T133" s="161"/>
      <c r="U133" s="161"/>
      <c r="V133" s="161"/>
      <c r="W133" s="161"/>
      <c r="Y133" s="42"/>
      <c r="Z133" s="42"/>
      <c r="AA133" s="295"/>
    </row>
    <row r="134" spans="2:45" ht="31.5" customHeight="1" thickBot="1" x14ac:dyDescent="0.2">
      <c r="C134" s="46"/>
      <c r="D134" s="46"/>
      <c r="E134" s="47"/>
      <c r="F134" s="182" t="s">
        <v>65</v>
      </c>
      <c r="G134" s="46"/>
      <c r="H134" s="77" t="s">
        <v>66</v>
      </c>
      <c r="I134" s="255"/>
      <c r="J134" s="46" t="s">
        <v>208</v>
      </c>
      <c r="K134" s="46"/>
      <c r="L134" s="46"/>
      <c r="M134" s="46"/>
      <c r="N134" s="46" t="s">
        <v>209</v>
      </c>
      <c r="O134" s="46"/>
      <c r="P134" s="46"/>
      <c r="Q134" s="46"/>
      <c r="R134" s="46" t="s">
        <v>210</v>
      </c>
      <c r="S134" s="46"/>
      <c r="T134" s="46"/>
      <c r="U134" s="46"/>
      <c r="V134" s="57" t="s">
        <v>70</v>
      </c>
      <c r="W134" s="46"/>
      <c r="AP134" s="41"/>
      <c r="AQ134" s="86" t="s">
        <v>211</v>
      </c>
      <c r="AR134" s="86"/>
      <c r="AS134" s="86"/>
    </row>
    <row r="135" spans="2:45" ht="18" customHeight="1" thickBot="1" x14ac:dyDescent="0.2">
      <c r="C135" s="46"/>
      <c r="D135" s="82" t="s">
        <v>61</v>
      </c>
      <c r="E135" s="48" t="s">
        <v>72</v>
      </c>
      <c r="F135" s="244" t="str">
        <f>中間シート!G514</f>
        <v/>
      </c>
      <c r="G135" s="46"/>
      <c r="H135" s="88" t="str">
        <f>IF(中間シート!F514=1,"あり",IF(中間シート!F514=2,"なし",""))</f>
        <v/>
      </c>
      <c r="I135" s="255"/>
      <c r="J135" s="366" t="str">
        <f>中間シート!L514</f>
        <v/>
      </c>
      <c r="K135" s="367"/>
      <c r="L135" s="368"/>
      <c r="M135" s="245"/>
      <c r="N135" s="366" t="str">
        <f>中間シート!M514</f>
        <v/>
      </c>
      <c r="O135" s="367"/>
      <c r="P135" s="368"/>
      <c r="Q135" s="245"/>
      <c r="R135" s="366" t="str">
        <f>中間シート!N514</f>
        <v/>
      </c>
      <c r="S135" s="367"/>
      <c r="T135" s="368"/>
      <c r="U135" s="245"/>
      <c r="V135" s="244" t="str">
        <f>中間シート!O514</f>
        <v/>
      </c>
      <c r="W135" s="46"/>
      <c r="X135" s="402" t="str">
        <f ca="1">""&amp;中間シート!$X514</f>
        <v>交付申請時のコード番号を選択してください。
申請するコード番号が選べなかった場合は、コード番号の有無で「なし」を選択してください。</v>
      </c>
      <c r="Y135" s="402"/>
      <c r="Z135" s="402"/>
      <c r="AA135" s="402"/>
      <c r="AB135" s="402"/>
      <c r="AC135" s="402"/>
      <c r="AD135" s="402"/>
      <c r="AE135" s="402"/>
      <c r="AF135" s="402"/>
      <c r="AG135" s="402"/>
      <c r="AH135" s="402"/>
      <c r="AI135" s="402"/>
      <c r="AJ135" s="402"/>
      <c r="AK135" s="402"/>
      <c r="AL135" s="402"/>
      <c r="AM135" s="402"/>
      <c r="AN135" s="402"/>
      <c r="AO135" s="402"/>
      <c r="AP135" s="41"/>
      <c r="AQ135" s="81">
        <f>IF(J135&lt;&gt;"",1,IF(H135="なし",2,0))</f>
        <v>0</v>
      </c>
      <c r="AR135" s="86"/>
      <c r="AS135" s="86"/>
    </row>
    <row r="136" spans="2:45" ht="5.0999999999999996" customHeight="1" thickBot="1" x14ac:dyDescent="0.2">
      <c r="C136" s="46"/>
      <c r="D136" s="82"/>
      <c r="E136" s="48"/>
      <c r="F136" s="245"/>
      <c r="G136" s="46"/>
      <c r="H136" s="46"/>
      <c r="I136" s="255"/>
      <c r="J136" s="245"/>
      <c r="K136" s="245"/>
      <c r="L136" s="245"/>
      <c r="M136" s="245"/>
      <c r="N136" s="245"/>
      <c r="O136" s="245"/>
      <c r="P136" s="245"/>
      <c r="Q136" s="245"/>
      <c r="R136" s="245"/>
      <c r="S136" s="245"/>
      <c r="T136" s="245"/>
      <c r="U136" s="245"/>
      <c r="V136" s="245"/>
      <c r="W136" s="46"/>
      <c r="X136" s="402"/>
      <c r="Y136" s="402"/>
      <c r="Z136" s="402"/>
      <c r="AA136" s="402"/>
      <c r="AB136" s="402"/>
      <c r="AC136" s="402"/>
      <c r="AD136" s="402"/>
      <c r="AE136" s="402"/>
      <c r="AF136" s="402"/>
      <c r="AG136" s="402"/>
      <c r="AH136" s="402"/>
      <c r="AI136" s="402"/>
      <c r="AJ136" s="402"/>
      <c r="AK136" s="402"/>
      <c r="AL136" s="402"/>
      <c r="AM136" s="402"/>
      <c r="AN136" s="402"/>
      <c r="AO136" s="402"/>
      <c r="AP136" s="41"/>
      <c r="AQ136" s="86"/>
      <c r="AR136" s="86"/>
      <c r="AS136" s="86"/>
    </row>
    <row r="137" spans="2:45" ht="18" customHeight="1" thickBot="1" x14ac:dyDescent="0.2">
      <c r="C137" s="46"/>
      <c r="D137" s="82"/>
      <c r="E137" s="48"/>
      <c r="F137" s="46"/>
      <c r="G137" s="46"/>
      <c r="H137" s="46"/>
      <c r="I137" s="255"/>
      <c r="J137" s="366" t="str">
        <f>中間シート!Q514</f>
        <v/>
      </c>
      <c r="K137" s="367"/>
      <c r="L137" s="368"/>
      <c r="M137" s="245"/>
      <c r="N137" s="366" t="str">
        <f>中間シート!R514</f>
        <v/>
      </c>
      <c r="O137" s="367"/>
      <c r="P137" s="368"/>
      <c r="Q137" s="245"/>
      <c r="R137" s="366" t="str">
        <f>中間シート!S514</f>
        <v/>
      </c>
      <c r="S137" s="367"/>
      <c r="T137" s="368"/>
      <c r="U137" s="245"/>
      <c r="V137" s="244" t="str">
        <f>中間シート!T514</f>
        <v/>
      </c>
      <c r="W137" s="46"/>
      <c r="X137" s="402"/>
      <c r="Y137" s="402"/>
      <c r="Z137" s="402"/>
      <c r="AA137" s="402"/>
      <c r="AB137" s="402"/>
      <c r="AC137" s="402"/>
      <c r="AD137" s="402"/>
      <c r="AE137" s="402"/>
      <c r="AF137" s="402"/>
      <c r="AG137" s="402"/>
      <c r="AH137" s="402"/>
      <c r="AI137" s="402"/>
      <c r="AJ137" s="402"/>
      <c r="AK137" s="402"/>
      <c r="AL137" s="402"/>
      <c r="AM137" s="402"/>
      <c r="AN137" s="402"/>
      <c r="AO137" s="402"/>
      <c r="AP137" s="41"/>
      <c r="AQ137" s="86"/>
      <c r="AR137" s="86"/>
      <c r="AS137" s="86"/>
    </row>
    <row r="138" spans="2:45" ht="5.0999999999999996" customHeight="1" thickBot="1" x14ac:dyDescent="0.2">
      <c r="C138" s="46"/>
      <c r="D138" s="46"/>
      <c r="E138" s="47"/>
      <c r="F138" s="245"/>
      <c r="G138" s="47"/>
      <c r="H138" s="47"/>
      <c r="I138" s="255"/>
      <c r="J138" s="245"/>
      <c r="K138" s="245"/>
      <c r="L138" s="245"/>
      <c r="M138" s="245"/>
      <c r="N138" s="245"/>
      <c r="O138" s="245"/>
      <c r="P138" s="245"/>
      <c r="Q138" s="245"/>
      <c r="R138" s="245"/>
      <c r="S138" s="245"/>
      <c r="T138" s="245"/>
      <c r="U138" s="245"/>
      <c r="V138" s="245"/>
      <c r="W138" s="46"/>
      <c r="X138" s="296"/>
      <c r="Y138" s="296"/>
      <c r="Z138" s="296"/>
      <c r="AA138" s="296"/>
      <c r="AB138" s="296"/>
      <c r="AC138" s="296"/>
      <c r="AD138" s="296"/>
      <c r="AE138" s="296"/>
      <c r="AF138" s="296"/>
      <c r="AG138" s="296"/>
      <c r="AH138" s="296"/>
      <c r="AI138" s="296"/>
      <c r="AJ138" s="296"/>
      <c r="AK138" s="296"/>
      <c r="AL138" s="296"/>
      <c r="AM138" s="296"/>
      <c r="AN138" s="296"/>
      <c r="AO138" s="296"/>
      <c r="AP138" s="41"/>
      <c r="AQ138" s="86"/>
      <c r="AR138" s="86"/>
      <c r="AS138" s="86"/>
    </row>
    <row r="139" spans="2:45" ht="18" customHeight="1" thickBot="1" x14ac:dyDescent="0.2">
      <c r="C139" s="46"/>
      <c r="D139" s="46"/>
      <c r="E139" s="48" t="s">
        <v>73</v>
      </c>
      <c r="F139" s="244" t="str">
        <f>中間シート!G515</f>
        <v/>
      </c>
      <c r="G139" s="47"/>
      <c r="H139" s="88" t="str">
        <f>IF(中間シート!F515=1,"あり",IF(中間シート!F515=2,"なし",""))</f>
        <v/>
      </c>
      <c r="I139" s="255"/>
      <c r="J139" s="366" t="str">
        <f>中間シート!L515</f>
        <v/>
      </c>
      <c r="K139" s="367"/>
      <c r="L139" s="368"/>
      <c r="M139" s="245"/>
      <c r="N139" s="366" t="str">
        <f>中間シート!M515</f>
        <v/>
      </c>
      <c r="O139" s="367"/>
      <c r="P139" s="368"/>
      <c r="Q139" s="245"/>
      <c r="R139" s="366" t="str">
        <f>中間シート!N515</f>
        <v/>
      </c>
      <c r="S139" s="367"/>
      <c r="T139" s="368"/>
      <c r="U139" s="245"/>
      <c r="V139" s="244" t="str">
        <f>中間シート!O515</f>
        <v/>
      </c>
      <c r="W139" s="46"/>
      <c r="X139" s="402" t="str">
        <f ca="1">""&amp;中間シート!$X515</f>
        <v/>
      </c>
      <c r="Y139" s="402"/>
      <c r="Z139" s="402"/>
      <c r="AA139" s="402"/>
      <c r="AB139" s="402"/>
      <c r="AC139" s="402"/>
      <c r="AD139" s="402"/>
      <c r="AE139" s="402"/>
      <c r="AF139" s="402"/>
      <c r="AG139" s="402"/>
      <c r="AH139" s="402"/>
      <c r="AI139" s="402"/>
      <c r="AJ139" s="402"/>
      <c r="AK139" s="402"/>
      <c r="AL139" s="402"/>
      <c r="AM139" s="402"/>
      <c r="AN139" s="402"/>
      <c r="AO139" s="402"/>
      <c r="AP139" s="41"/>
      <c r="AQ139" s="81">
        <f>IF(J139&lt;&gt;"",1,IF(H139="なし",2,0))</f>
        <v>0</v>
      </c>
      <c r="AR139" s="86"/>
      <c r="AS139" s="86"/>
    </row>
    <row r="140" spans="2:45" ht="5.0999999999999996" customHeight="1" thickBot="1" x14ac:dyDescent="0.2">
      <c r="C140" s="46"/>
      <c r="D140" s="46"/>
      <c r="E140" s="48"/>
      <c r="F140" s="246"/>
      <c r="G140" s="47"/>
      <c r="H140" s="47"/>
      <c r="I140" s="255"/>
      <c r="J140" s="246"/>
      <c r="K140" s="246"/>
      <c r="L140" s="246"/>
      <c r="M140" s="245"/>
      <c r="N140" s="246"/>
      <c r="O140" s="246"/>
      <c r="P140" s="246"/>
      <c r="Q140" s="245"/>
      <c r="R140" s="246"/>
      <c r="S140" s="246"/>
      <c r="T140" s="246"/>
      <c r="U140" s="245"/>
      <c r="V140" s="246"/>
      <c r="W140" s="46"/>
      <c r="X140" s="402"/>
      <c r="Y140" s="402"/>
      <c r="Z140" s="402"/>
      <c r="AA140" s="402"/>
      <c r="AB140" s="402"/>
      <c r="AC140" s="402"/>
      <c r="AD140" s="402"/>
      <c r="AE140" s="402"/>
      <c r="AF140" s="402"/>
      <c r="AG140" s="402"/>
      <c r="AH140" s="402"/>
      <c r="AI140" s="402"/>
      <c r="AJ140" s="402"/>
      <c r="AK140" s="402"/>
      <c r="AL140" s="402"/>
      <c r="AM140" s="402"/>
      <c r="AN140" s="402"/>
      <c r="AO140" s="402"/>
      <c r="AP140" s="41"/>
      <c r="AQ140" s="86"/>
      <c r="AR140" s="86"/>
      <c r="AS140" s="86"/>
    </row>
    <row r="141" spans="2:45" ht="18" customHeight="1" thickBot="1" x14ac:dyDescent="0.2">
      <c r="C141" s="46"/>
      <c r="D141" s="46"/>
      <c r="E141" s="48"/>
      <c r="F141" s="246"/>
      <c r="G141" s="47"/>
      <c r="H141" s="47"/>
      <c r="I141" s="255"/>
      <c r="J141" s="366" t="str">
        <f>中間シート!Q515</f>
        <v/>
      </c>
      <c r="K141" s="367"/>
      <c r="L141" s="368"/>
      <c r="M141" s="245"/>
      <c r="N141" s="366" t="str">
        <f>中間シート!R515</f>
        <v/>
      </c>
      <c r="O141" s="367"/>
      <c r="P141" s="368"/>
      <c r="Q141" s="245"/>
      <c r="R141" s="366" t="str">
        <f>中間シート!S515</f>
        <v/>
      </c>
      <c r="S141" s="367"/>
      <c r="T141" s="368"/>
      <c r="U141" s="245"/>
      <c r="V141" s="244" t="str">
        <f>中間シート!T515</f>
        <v/>
      </c>
      <c r="W141" s="46"/>
      <c r="X141" s="402"/>
      <c r="Y141" s="402"/>
      <c r="Z141" s="402"/>
      <c r="AA141" s="402"/>
      <c r="AB141" s="402"/>
      <c r="AC141" s="402"/>
      <c r="AD141" s="402"/>
      <c r="AE141" s="402"/>
      <c r="AF141" s="402"/>
      <c r="AG141" s="402"/>
      <c r="AH141" s="402"/>
      <c r="AI141" s="402"/>
      <c r="AJ141" s="402"/>
      <c r="AK141" s="402"/>
      <c r="AL141" s="402"/>
      <c r="AM141" s="402"/>
      <c r="AN141" s="402"/>
      <c r="AO141" s="402"/>
      <c r="AP141" s="41"/>
      <c r="AQ141" s="86"/>
      <c r="AR141" s="86"/>
      <c r="AS141" s="86"/>
    </row>
    <row r="142" spans="2:45" ht="5.0999999999999996" customHeight="1" thickBot="1" x14ac:dyDescent="0.2">
      <c r="C142" s="46"/>
      <c r="D142" s="46"/>
      <c r="E142" s="48"/>
      <c r="F142" s="246"/>
      <c r="G142" s="47"/>
      <c r="H142" s="47"/>
      <c r="I142" s="255"/>
      <c r="J142" s="246"/>
      <c r="K142" s="246"/>
      <c r="L142" s="246"/>
      <c r="M142" s="245"/>
      <c r="N142" s="246"/>
      <c r="O142" s="246"/>
      <c r="P142" s="246"/>
      <c r="Q142" s="245"/>
      <c r="R142" s="246"/>
      <c r="S142" s="246"/>
      <c r="T142" s="246"/>
      <c r="U142" s="245"/>
      <c r="V142" s="246"/>
      <c r="W142" s="46"/>
      <c r="X142" s="296"/>
      <c r="Y142" s="296"/>
      <c r="Z142" s="296"/>
      <c r="AA142" s="296"/>
      <c r="AB142" s="296"/>
      <c r="AC142" s="296"/>
      <c r="AD142" s="296"/>
      <c r="AE142" s="296"/>
      <c r="AF142" s="296"/>
      <c r="AG142" s="296"/>
      <c r="AH142" s="296"/>
      <c r="AI142" s="296"/>
      <c r="AJ142" s="296"/>
      <c r="AK142" s="296"/>
      <c r="AL142" s="296"/>
      <c r="AM142" s="296"/>
      <c r="AN142" s="296"/>
      <c r="AO142" s="296"/>
      <c r="AP142" s="41"/>
      <c r="AQ142" s="86"/>
      <c r="AR142" s="86"/>
      <c r="AS142" s="86"/>
    </row>
    <row r="143" spans="2:45" ht="18" customHeight="1" thickBot="1" x14ac:dyDescent="0.2">
      <c r="C143" s="46"/>
      <c r="D143" s="46"/>
      <c r="E143" s="48" t="s">
        <v>74</v>
      </c>
      <c r="F143" s="244" t="str">
        <f>中間シート!G516</f>
        <v/>
      </c>
      <c r="G143" s="47"/>
      <c r="H143" s="88" t="str">
        <f>IF(中間シート!F516=1,"あり",IF(中間シート!F516=2,"なし",""))</f>
        <v/>
      </c>
      <c r="I143" s="255"/>
      <c r="J143" s="366" t="str">
        <f>中間シート!L516</f>
        <v/>
      </c>
      <c r="K143" s="367"/>
      <c r="L143" s="368"/>
      <c r="M143" s="245"/>
      <c r="N143" s="366" t="str">
        <f>中間シート!M516</f>
        <v/>
      </c>
      <c r="O143" s="367"/>
      <c r="P143" s="368"/>
      <c r="Q143" s="245"/>
      <c r="R143" s="366" t="str">
        <f>中間シート!N516</f>
        <v/>
      </c>
      <c r="S143" s="367"/>
      <c r="T143" s="368"/>
      <c r="U143" s="245"/>
      <c r="V143" s="244" t="str">
        <f>中間シート!O516</f>
        <v/>
      </c>
      <c r="W143" s="46"/>
      <c r="X143" s="402" t="str">
        <f ca="1">""&amp;中間シート!$X516</f>
        <v/>
      </c>
      <c r="Y143" s="402"/>
      <c r="Z143" s="402"/>
      <c r="AA143" s="402"/>
      <c r="AB143" s="402"/>
      <c r="AC143" s="402"/>
      <c r="AD143" s="402"/>
      <c r="AE143" s="402"/>
      <c r="AF143" s="402"/>
      <c r="AG143" s="402"/>
      <c r="AH143" s="402"/>
      <c r="AI143" s="402"/>
      <c r="AJ143" s="402"/>
      <c r="AK143" s="402"/>
      <c r="AL143" s="402"/>
      <c r="AM143" s="402"/>
      <c r="AN143" s="402"/>
      <c r="AO143" s="402"/>
      <c r="AP143" s="41"/>
      <c r="AQ143" s="81">
        <f>IF(J143&lt;&gt;"",1,IF(H143="なし",2,0))</f>
        <v>0</v>
      </c>
      <c r="AR143" s="86"/>
      <c r="AS143" s="86"/>
    </row>
    <row r="144" spans="2:45" ht="5.0999999999999996" customHeight="1" thickBot="1" x14ac:dyDescent="0.2">
      <c r="C144" s="46"/>
      <c r="D144" s="46"/>
      <c r="E144" s="48"/>
      <c r="F144" s="246"/>
      <c r="G144" s="47"/>
      <c r="H144" s="47"/>
      <c r="I144" s="255"/>
      <c r="J144" s="246"/>
      <c r="K144" s="246"/>
      <c r="L144" s="246"/>
      <c r="M144" s="245"/>
      <c r="N144" s="246"/>
      <c r="O144" s="246"/>
      <c r="P144" s="246"/>
      <c r="Q144" s="245"/>
      <c r="R144" s="246"/>
      <c r="S144" s="246"/>
      <c r="T144" s="246"/>
      <c r="U144" s="245"/>
      <c r="V144" s="246"/>
      <c r="W144" s="46"/>
      <c r="X144" s="402"/>
      <c r="Y144" s="402"/>
      <c r="Z144" s="402"/>
      <c r="AA144" s="402"/>
      <c r="AB144" s="402"/>
      <c r="AC144" s="402"/>
      <c r="AD144" s="402"/>
      <c r="AE144" s="402"/>
      <c r="AF144" s="402"/>
      <c r="AG144" s="402"/>
      <c r="AH144" s="402"/>
      <c r="AI144" s="402"/>
      <c r="AJ144" s="402"/>
      <c r="AK144" s="402"/>
      <c r="AL144" s="402"/>
      <c r="AM144" s="402"/>
      <c r="AN144" s="402"/>
      <c r="AO144" s="402"/>
      <c r="AP144" s="41"/>
      <c r="AQ144" s="86"/>
      <c r="AR144" s="86"/>
      <c r="AS144" s="86"/>
    </row>
    <row r="145" spans="2:45" ht="18" customHeight="1" thickBot="1" x14ac:dyDescent="0.2">
      <c r="C145" s="46"/>
      <c r="D145" s="46"/>
      <c r="E145" s="47"/>
      <c r="F145" s="246"/>
      <c r="G145" s="47"/>
      <c r="H145" s="47"/>
      <c r="I145" s="255"/>
      <c r="J145" s="366" t="str">
        <f>中間シート!Q516</f>
        <v/>
      </c>
      <c r="K145" s="367"/>
      <c r="L145" s="368"/>
      <c r="M145" s="245"/>
      <c r="N145" s="366" t="str">
        <f>中間シート!R516</f>
        <v/>
      </c>
      <c r="O145" s="367"/>
      <c r="P145" s="368"/>
      <c r="Q145" s="245"/>
      <c r="R145" s="366" t="str">
        <f>中間シート!S516</f>
        <v/>
      </c>
      <c r="S145" s="367"/>
      <c r="T145" s="368"/>
      <c r="U145" s="245"/>
      <c r="V145" s="244" t="str">
        <f>中間シート!T516</f>
        <v/>
      </c>
      <c r="W145" s="46"/>
      <c r="X145" s="402"/>
      <c r="Y145" s="402"/>
      <c r="Z145" s="402"/>
      <c r="AA145" s="402"/>
      <c r="AB145" s="402"/>
      <c r="AC145" s="402"/>
      <c r="AD145" s="402"/>
      <c r="AE145" s="402"/>
      <c r="AF145" s="402"/>
      <c r="AG145" s="402"/>
      <c r="AH145" s="402"/>
      <c r="AI145" s="402"/>
      <c r="AJ145" s="402"/>
      <c r="AK145" s="402"/>
      <c r="AL145" s="402"/>
      <c r="AM145" s="402"/>
      <c r="AN145" s="402"/>
      <c r="AO145" s="402"/>
      <c r="AP145" s="41"/>
      <c r="AQ145" s="86"/>
      <c r="AR145" s="86"/>
      <c r="AS145" s="86"/>
    </row>
    <row r="146" spans="2:45" x14ac:dyDescent="0.15">
      <c r="C146" s="46"/>
      <c r="D146" s="46"/>
      <c r="E146" s="47"/>
      <c r="F146" s="246"/>
      <c r="G146" s="47"/>
      <c r="H146" s="47"/>
      <c r="I146" s="257"/>
      <c r="J146" s="245"/>
      <c r="K146" s="245"/>
      <c r="L146" s="245"/>
      <c r="M146" s="245"/>
      <c r="N146" s="245"/>
      <c r="O146" s="245"/>
      <c r="P146" s="245"/>
      <c r="Q146" s="245"/>
      <c r="R146" s="245"/>
      <c r="S146" s="245"/>
      <c r="T146" s="245"/>
      <c r="U146" s="245"/>
      <c r="V146" s="245"/>
      <c r="W146" s="46"/>
      <c r="X146" s="296"/>
      <c r="Y146" s="296"/>
      <c r="Z146" s="296"/>
      <c r="AA146" s="296"/>
      <c r="AB146" s="296"/>
      <c r="AC146" s="296"/>
      <c r="AD146" s="296"/>
      <c r="AE146" s="296"/>
      <c r="AF146" s="296"/>
      <c r="AG146" s="296"/>
      <c r="AH146" s="296"/>
      <c r="AI146" s="296"/>
      <c r="AJ146" s="296"/>
      <c r="AK146" s="296"/>
      <c r="AL146" s="296"/>
      <c r="AM146" s="296"/>
      <c r="AN146" s="296"/>
      <c r="AO146" s="296"/>
      <c r="AP146" s="41"/>
      <c r="AQ146" s="86"/>
      <c r="AR146" s="86"/>
      <c r="AS146" s="86"/>
    </row>
    <row r="147" spans="2:45" ht="14.25" thickBot="1" x14ac:dyDescent="0.2">
      <c r="C147" s="86"/>
      <c r="D147" s="86"/>
      <c r="E147" s="93"/>
      <c r="F147" s="247"/>
      <c r="G147" s="93"/>
      <c r="H147" s="93"/>
      <c r="I147" s="258"/>
      <c r="J147" s="248"/>
      <c r="K147" s="248"/>
      <c r="L147" s="248"/>
      <c r="M147" s="248"/>
      <c r="N147" s="248"/>
      <c r="O147" s="248"/>
      <c r="P147" s="248"/>
      <c r="Q147" s="248"/>
      <c r="R147" s="248"/>
      <c r="S147" s="248"/>
      <c r="T147" s="248"/>
      <c r="U147" s="248"/>
      <c r="V147" s="248"/>
      <c r="W147" s="86"/>
      <c r="X147" s="296"/>
      <c r="Y147" s="296"/>
      <c r="Z147" s="296"/>
      <c r="AA147" s="296"/>
      <c r="AB147" s="296"/>
      <c r="AC147" s="296"/>
      <c r="AD147" s="296"/>
      <c r="AE147" s="296"/>
      <c r="AF147" s="296"/>
      <c r="AG147" s="296"/>
      <c r="AH147" s="296"/>
      <c r="AI147" s="296"/>
      <c r="AJ147" s="296"/>
      <c r="AK147" s="296"/>
      <c r="AL147" s="296"/>
      <c r="AM147" s="296"/>
      <c r="AN147" s="296"/>
      <c r="AO147" s="296"/>
      <c r="AP147" s="41"/>
      <c r="AQ147" s="86"/>
      <c r="AR147" s="86"/>
      <c r="AS147" s="86"/>
    </row>
    <row r="148" spans="2:45" ht="18" customHeight="1" thickBot="1" x14ac:dyDescent="0.2">
      <c r="B148" s="42">
        <v>2</v>
      </c>
      <c r="C148" s="86"/>
      <c r="D148" s="94" t="s">
        <v>157</v>
      </c>
      <c r="E148" s="95" t="s">
        <v>72</v>
      </c>
      <c r="F148" s="80"/>
      <c r="G148" s="86"/>
      <c r="H148" s="80"/>
      <c r="I148" s="259"/>
      <c r="J148" s="366" t="str">
        <f>IFERROR(VLOOKUP($F148,補助対象機器一覧20220831!$A$2:$K$200,2,FALSE),"")</f>
        <v/>
      </c>
      <c r="K148" s="367"/>
      <c r="L148" s="368"/>
      <c r="M148" s="248"/>
      <c r="N148" s="366" t="str">
        <f>IFERROR(VLOOKUP($F148,補助対象機器一覧20220831!$A$2:$K$200,7,FALSE),"")</f>
        <v/>
      </c>
      <c r="O148" s="367"/>
      <c r="P148" s="368"/>
      <c r="Q148" s="248"/>
      <c r="R148" s="366" t="str">
        <f>IFERROR(VLOOKUP($F148,補助対象機器一覧20220831!$A$2:$K$200,8,FALSE),"")</f>
        <v/>
      </c>
      <c r="S148" s="367"/>
      <c r="T148" s="368"/>
      <c r="U148" s="248"/>
      <c r="V148" s="244" t="str">
        <f>IFERROR(VLOOKUP($F148,補助対象機器一覧20220831!$A$2:$K$200,9,FALSE),"")</f>
        <v/>
      </c>
      <c r="W148" s="86"/>
      <c r="X148" s="402" t="str">
        <f>IF($B148&lt;=入力シート!$F$85,""&amp;中間シート!X517,"")</f>
        <v/>
      </c>
      <c r="Y148" s="402"/>
      <c r="Z148" s="402"/>
      <c r="AA148" s="402"/>
      <c r="AB148" s="402"/>
      <c r="AC148" s="402"/>
      <c r="AD148" s="402"/>
      <c r="AE148" s="402"/>
      <c r="AF148" s="402"/>
      <c r="AG148" s="402"/>
      <c r="AH148" s="402"/>
      <c r="AI148" s="402"/>
      <c r="AJ148" s="402"/>
      <c r="AK148" s="402"/>
      <c r="AL148" s="402"/>
      <c r="AM148" s="402"/>
      <c r="AN148" s="402"/>
      <c r="AO148" s="402"/>
      <c r="AP148" s="41"/>
      <c r="AQ148" s="81">
        <f>IF(J148&lt;&gt;"",1,IF(H148="なし",2,0))</f>
        <v>0</v>
      </c>
      <c r="AR148" s="86"/>
      <c r="AS148" s="86"/>
    </row>
    <row r="149" spans="2:45" ht="5.0999999999999996" customHeight="1" thickBot="1" x14ac:dyDescent="0.2">
      <c r="C149" s="86"/>
      <c r="D149" s="94"/>
      <c r="E149" s="95"/>
      <c r="F149" s="248"/>
      <c r="G149" s="86"/>
      <c r="H149" s="86"/>
      <c r="I149" s="259"/>
      <c r="J149" s="248"/>
      <c r="K149" s="248"/>
      <c r="L149" s="248"/>
      <c r="M149" s="248"/>
      <c r="N149" s="248"/>
      <c r="O149" s="248"/>
      <c r="P149" s="248"/>
      <c r="Q149" s="248"/>
      <c r="R149" s="248"/>
      <c r="S149" s="248"/>
      <c r="T149" s="248"/>
      <c r="U149" s="248"/>
      <c r="V149" s="248"/>
      <c r="W149" s="86"/>
      <c r="X149" s="402"/>
      <c r="Y149" s="402"/>
      <c r="Z149" s="402"/>
      <c r="AA149" s="402"/>
      <c r="AB149" s="402"/>
      <c r="AC149" s="402"/>
      <c r="AD149" s="402"/>
      <c r="AE149" s="402"/>
      <c r="AF149" s="402"/>
      <c r="AG149" s="402"/>
      <c r="AH149" s="402"/>
      <c r="AI149" s="402"/>
      <c r="AJ149" s="402"/>
      <c r="AK149" s="402"/>
      <c r="AL149" s="402"/>
      <c r="AM149" s="402"/>
      <c r="AN149" s="402"/>
      <c r="AO149" s="402"/>
      <c r="AP149" s="41"/>
      <c r="AQ149" s="86"/>
      <c r="AR149" s="86"/>
      <c r="AS149" s="86"/>
    </row>
    <row r="150" spans="2:45" ht="18" customHeight="1" thickBot="1" x14ac:dyDescent="0.2">
      <c r="B150" s="42">
        <v>2</v>
      </c>
      <c r="C150" s="86"/>
      <c r="D150" s="94"/>
      <c r="E150" s="95"/>
      <c r="F150" s="247"/>
      <c r="G150" s="86"/>
      <c r="H150" s="86"/>
      <c r="I150" s="260" t="str">
        <f>IF(AQ148=2,"入力してください→",IF(AQ148=1,"入力不要です→",""))</f>
        <v/>
      </c>
      <c r="J150" s="387"/>
      <c r="K150" s="388"/>
      <c r="L150" s="389"/>
      <c r="M150" s="248"/>
      <c r="N150" s="387"/>
      <c r="O150" s="388"/>
      <c r="P150" s="389"/>
      <c r="Q150" s="248"/>
      <c r="R150" s="387"/>
      <c r="S150" s="388"/>
      <c r="T150" s="389"/>
      <c r="U150" s="248"/>
      <c r="V150" s="249"/>
      <c r="W150" s="86"/>
      <c r="X150" s="402"/>
      <c r="Y150" s="402"/>
      <c r="Z150" s="402"/>
      <c r="AA150" s="402"/>
      <c r="AB150" s="402"/>
      <c r="AC150" s="402"/>
      <c r="AD150" s="402"/>
      <c r="AE150" s="402"/>
      <c r="AF150" s="402"/>
      <c r="AG150" s="402"/>
      <c r="AH150" s="402"/>
      <c r="AI150" s="402"/>
      <c r="AJ150" s="402"/>
      <c r="AK150" s="402"/>
      <c r="AL150" s="402"/>
      <c r="AM150" s="402"/>
      <c r="AN150" s="402"/>
      <c r="AO150" s="402"/>
      <c r="AP150" s="41"/>
      <c r="AQ150" s="86"/>
      <c r="AR150" s="86"/>
      <c r="AS150" s="86"/>
    </row>
    <row r="151" spans="2:45" ht="5.0999999999999996" customHeight="1" thickBot="1" x14ac:dyDescent="0.2">
      <c r="C151" s="86"/>
      <c r="D151" s="86"/>
      <c r="E151" s="93"/>
      <c r="F151" s="248"/>
      <c r="G151" s="93"/>
      <c r="H151" s="93"/>
      <c r="I151" s="259"/>
      <c r="J151" s="248"/>
      <c r="K151" s="248"/>
      <c r="L151" s="248"/>
      <c r="M151" s="248"/>
      <c r="N151" s="248"/>
      <c r="O151" s="248"/>
      <c r="P151" s="248"/>
      <c r="Q151" s="248"/>
      <c r="R151" s="248"/>
      <c r="S151" s="248"/>
      <c r="T151" s="248"/>
      <c r="U151" s="248"/>
      <c r="V151" s="248"/>
      <c r="W151" s="86"/>
      <c r="X151" s="296" t="s">
        <v>212</v>
      </c>
      <c r="Y151" s="296"/>
      <c r="Z151" s="296"/>
      <c r="AA151" s="296"/>
      <c r="AB151" s="296"/>
      <c r="AC151" s="296"/>
      <c r="AD151" s="296"/>
      <c r="AE151" s="296"/>
      <c r="AF151" s="296"/>
      <c r="AG151" s="296"/>
      <c r="AH151" s="296"/>
      <c r="AI151" s="296"/>
      <c r="AJ151" s="296"/>
      <c r="AK151" s="296"/>
      <c r="AL151" s="296"/>
      <c r="AM151" s="296"/>
      <c r="AN151" s="296"/>
      <c r="AO151" s="296"/>
      <c r="AP151" s="41"/>
      <c r="AQ151" s="86"/>
      <c r="AR151" s="86"/>
      <c r="AS151" s="86"/>
    </row>
    <row r="152" spans="2:45" ht="18" customHeight="1" thickBot="1" x14ac:dyDescent="0.2">
      <c r="B152" s="42">
        <v>2</v>
      </c>
      <c r="C152" s="86"/>
      <c r="D152" s="86"/>
      <c r="E152" s="95" t="s">
        <v>73</v>
      </c>
      <c r="F152" s="80"/>
      <c r="G152" s="93"/>
      <c r="H152" s="80"/>
      <c r="I152" s="259"/>
      <c r="J152" s="366" t="str">
        <f>IFERROR(VLOOKUP($F152,補助対象機器一覧20220831!$A$2:$K$200,2,FALSE),"")</f>
        <v/>
      </c>
      <c r="K152" s="367"/>
      <c r="L152" s="368"/>
      <c r="M152" s="248"/>
      <c r="N152" s="366" t="str">
        <f>IFERROR(VLOOKUP($F152,補助対象機器一覧20220831!$A$2:$K$200,7,FALSE),"")</f>
        <v/>
      </c>
      <c r="O152" s="367"/>
      <c r="P152" s="368"/>
      <c r="Q152" s="248"/>
      <c r="R152" s="366" t="str">
        <f>IFERROR(VLOOKUP($F152,補助対象機器一覧20220831!$A$2:$K$200,8,FALSE),"")</f>
        <v/>
      </c>
      <c r="S152" s="367"/>
      <c r="T152" s="368"/>
      <c r="U152" s="248"/>
      <c r="V152" s="244" t="str">
        <f>IFERROR(VLOOKUP($F152,補助対象機器一覧20220831!$A$2:$K$200,9,FALSE),"")</f>
        <v/>
      </c>
      <c r="W152" s="86"/>
      <c r="X152" s="402" t="str">
        <f>IF($B152&lt;=入力シート!$F$85,""&amp;中間シート!X518,"")</f>
        <v/>
      </c>
      <c r="Y152" s="402"/>
      <c r="Z152" s="402"/>
      <c r="AA152" s="402"/>
      <c r="AB152" s="402"/>
      <c r="AC152" s="402"/>
      <c r="AD152" s="402"/>
      <c r="AE152" s="402"/>
      <c r="AF152" s="402"/>
      <c r="AG152" s="402"/>
      <c r="AH152" s="402"/>
      <c r="AI152" s="402"/>
      <c r="AJ152" s="402"/>
      <c r="AK152" s="402"/>
      <c r="AL152" s="402"/>
      <c r="AM152" s="402"/>
      <c r="AN152" s="402"/>
      <c r="AO152" s="402"/>
      <c r="AP152" s="41"/>
      <c r="AQ152" s="81">
        <f>IF(J152&lt;&gt;"",1,IF(H152="なし",2,0))</f>
        <v>0</v>
      </c>
      <c r="AR152" s="86"/>
      <c r="AS152" s="86"/>
    </row>
    <row r="153" spans="2:45" ht="5.0999999999999996" customHeight="1" thickBot="1" x14ac:dyDescent="0.2">
      <c r="C153" s="86"/>
      <c r="D153" s="86"/>
      <c r="E153" s="95"/>
      <c r="F153" s="247"/>
      <c r="G153" s="93"/>
      <c r="H153" s="93"/>
      <c r="I153" s="259"/>
      <c r="J153" s="247"/>
      <c r="K153" s="247"/>
      <c r="L153" s="247"/>
      <c r="M153" s="248"/>
      <c r="N153" s="247"/>
      <c r="O153" s="247"/>
      <c r="P153" s="247"/>
      <c r="Q153" s="248"/>
      <c r="R153" s="247"/>
      <c r="S153" s="247"/>
      <c r="T153" s="247"/>
      <c r="U153" s="248"/>
      <c r="V153" s="247"/>
      <c r="W153" s="86"/>
      <c r="X153" s="402"/>
      <c r="Y153" s="402"/>
      <c r="Z153" s="402"/>
      <c r="AA153" s="402"/>
      <c r="AB153" s="402"/>
      <c r="AC153" s="402"/>
      <c r="AD153" s="402"/>
      <c r="AE153" s="402"/>
      <c r="AF153" s="402"/>
      <c r="AG153" s="402"/>
      <c r="AH153" s="402"/>
      <c r="AI153" s="402"/>
      <c r="AJ153" s="402"/>
      <c r="AK153" s="402"/>
      <c r="AL153" s="402"/>
      <c r="AM153" s="402"/>
      <c r="AN153" s="402"/>
      <c r="AO153" s="402"/>
      <c r="AP153" s="41"/>
      <c r="AQ153" s="86"/>
      <c r="AR153" s="86"/>
      <c r="AS153" s="86"/>
    </row>
    <row r="154" spans="2:45" ht="18" customHeight="1" thickBot="1" x14ac:dyDescent="0.2">
      <c r="B154" s="42">
        <v>2</v>
      </c>
      <c r="C154" s="86"/>
      <c r="D154" s="86"/>
      <c r="E154" s="95"/>
      <c r="F154" s="247"/>
      <c r="G154" s="93"/>
      <c r="H154" s="93"/>
      <c r="I154" s="260" t="str">
        <f>IF(AQ152=2,"入力してください→",IF(AQ152=1,"入力不要です→",""))</f>
        <v/>
      </c>
      <c r="J154" s="387"/>
      <c r="K154" s="388"/>
      <c r="L154" s="389"/>
      <c r="M154" s="248"/>
      <c r="N154" s="387"/>
      <c r="O154" s="388"/>
      <c r="P154" s="389"/>
      <c r="Q154" s="248"/>
      <c r="R154" s="387"/>
      <c r="S154" s="388"/>
      <c r="T154" s="389"/>
      <c r="U154" s="248"/>
      <c r="V154" s="249"/>
      <c r="W154" s="86"/>
      <c r="X154" s="402"/>
      <c r="Y154" s="402"/>
      <c r="Z154" s="402"/>
      <c r="AA154" s="402"/>
      <c r="AB154" s="402"/>
      <c r="AC154" s="402"/>
      <c r="AD154" s="402"/>
      <c r="AE154" s="402"/>
      <c r="AF154" s="402"/>
      <c r="AG154" s="402"/>
      <c r="AH154" s="402"/>
      <c r="AI154" s="402"/>
      <c r="AJ154" s="402"/>
      <c r="AK154" s="402"/>
      <c r="AL154" s="402"/>
      <c r="AM154" s="402"/>
      <c r="AN154" s="402"/>
      <c r="AO154" s="402"/>
      <c r="AP154" s="41"/>
      <c r="AQ154" s="86"/>
      <c r="AR154" s="86"/>
      <c r="AS154" s="86"/>
    </row>
    <row r="155" spans="2:45" ht="5.0999999999999996" customHeight="1" thickBot="1" x14ac:dyDescent="0.2">
      <c r="C155" s="86"/>
      <c r="D155" s="86"/>
      <c r="E155" s="95"/>
      <c r="F155" s="247"/>
      <c r="G155" s="93"/>
      <c r="H155" s="93"/>
      <c r="I155" s="259"/>
      <c r="J155" s="247"/>
      <c r="K155" s="247"/>
      <c r="L155" s="247"/>
      <c r="M155" s="248"/>
      <c r="N155" s="247"/>
      <c r="O155" s="247"/>
      <c r="P155" s="247"/>
      <c r="Q155" s="248"/>
      <c r="R155" s="247"/>
      <c r="S155" s="247"/>
      <c r="T155" s="247"/>
      <c r="U155" s="248"/>
      <c r="V155" s="247"/>
      <c r="W155" s="86"/>
      <c r="X155" s="296" t="s">
        <v>212</v>
      </c>
      <c r="Y155" s="296"/>
      <c r="Z155" s="296"/>
      <c r="AA155" s="296"/>
      <c r="AB155" s="296"/>
      <c r="AC155" s="296"/>
      <c r="AD155" s="296"/>
      <c r="AE155" s="296"/>
      <c r="AF155" s="296"/>
      <c r="AG155" s="296"/>
      <c r="AH155" s="296"/>
      <c r="AI155" s="296"/>
      <c r="AJ155" s="296"/>
      <c r="AK155" s="296"/>
      <c r="AL155" s="296"/>
      <c r="AM155" s="296"/>
      <c r="AN155" s="296"/>
      <c r="AO155" s="296"/>
      <c r="AP155" s="41"/>
      <c r="AQ155" s="86"/>
      <c r="AR155" s="86"/>
      <c r="AS155" s="86"/>
    </row>
    <row r="156" spans="2:45" ht="18" customHeight="1" thickBot="1" x14ac:dyDescent="0.2">
      <c r="B156" s="42">
        <v>2</v>
      </c>
      <c r="C156" s="86"/>
      <c r="D156" s="86"/>
      <c r="E156" s="95" t="s">
        <v>74</v>
      </c>
      <c r="F156" s="80"/>
      <c r="G156" s="93"/>
      <c r="H156" s="80"/>
      <c r="I156" s="259"/>
      <c r="J156" s="366" t="str">
        <f>IFERROR(VLOOKUP($F156,補助対象機器一覧20220831!$A$2:$K$200,2,FALSE),"")</f>
        <v/>
      </c>
      <c r="K156" s="367"/>
      <c r="L156" s="368"/>
      <c r="M156" s="248"/>
      <c r="N156" s="366" t="str">
        <f>IFERROR(VLOOKUP($F156,補助対象機器一覧20220831!$A$2:$K$200,7,FALSE),"")</f>
        <v/>
      </c>
      <c r="O156" s="367"/>
      <c r="P156" s="368"/>
      <c r="Q156" s="248"/>
      <c r="R156" s="366" t="str">
        <f>IFERROR(VLOOKUP($F156,補助対象機器一覧20220831!$A$2:$K$200,8,FALSE),"")</f>
        <v/>
      </c>
      <c r="S156" s="367"/>
      <c r="T156" s="368"/>
      <c r="U156" s="248"/>
      <c r="V156" s="244" t="str">
        <f>IFERROR(VLOOKUP($F156,補助対象機器一覧20220831!$A$2:$K$200,9,FALSE),"")</f>
        <v/>
      </c>
      <c r="W156" s="86"/>
      <c r="X156" s="402" t="str">
        <f>IF($B156&lt;=入力シート!$F$85,""&amp;中間シート!X519,"")</f>
        <v/>
      </c>
      <c r="Y156" s="402"/>
      <c r="Z156" s="402"/>
      <c r="AA156" s="402"/>
      <c r="AB156" s="402"/>
      <c r="AC156" s="402"/>
      <c r="AD156" s="402"/>
      <c r="AE156" s="402"/>
      <c r="AF156" s="402"/>
      <c r="AG156" s="402"/>
      <c r="AH156" s="402"/>
      <c r="AI156" s="402"/>
      <c r="AJ156" s="402"/>
      <c r="AK156" s="402"/>
      <c r="AL156" s="402"/>
      <c r="AM156" s="402"/>
      <c r="AN156" s="402"/>
      <c r="AO156" s="402"/>
      <c r="AP156" s="41"/>
      <c r="AQ156" s="81">
        <f>IF(J156&lt;&gt;"",1,IF(H156="なし",2,0))</f>
        <v>0</v>
      </c>
      <c r="AR156" s="86"/>
      <c r="AS156" s="86"/>
    </row>
    <row r="157" spans="2:45" ht="5.0999999999999996" customHeight="1" thickBot="1" x14ac:dyDescent="0.2">
      <c r="C157" s="86"/>
      <c r="D157" s="86"/>
      <c r="E157" s="95"/>
      <c r="F157" s="247"/>
      <c r="G157" s="93"/>
      <c r="H157" s="93"/>
      <c r="I157" s="259"/>
      <c r="J157" s="247"/>
      <c r="K157" s="247"/>
      <c r="L157" s="247"/>
      <c r="M157" s="248"/>
      <c r="N157" s="247"/>
      <c r="O157" s="247"/>
      <c r="P157" s="247"/>
      <c r="Q157" s="248"/>
      <c r="R157" s="247"/>
      <c r="S157" s="247"/>
      <c r="T157" s="247"/>
      <c r="U157" s="248"/>
      <c r="V157" s="247"/>
      <c r="W157" s="86"/>
      <c r="X157" s="402"/>
      <c r="Y157" s="402"/>
      <c r="Z157" s="402"/>
      <c r="AA157" s="402"/>
      <c r="AB157" s="402"/>
      <c r="AC157" s="402"/>
      <c r="AD157" s="402"/>
      <c r="AE157" s="402"/>
      <c r="AF157" s="402"/>
      <c r="AG157" s="402"/>
      <c r="AH157" s="402"/>
      <c r="AI157" s="402"/>
      <c r="AJ157" s="402"/>
      <c r="AK157" s="402"/>
      <c r="AL157" s="402"/>
      <c r="AM157" s="402"/>
      <c r="AN157" s="402"/>
      <c r="AO157" s="402"/>
      <c r="AP157" s="41"/>
      <c r="AQ157" s="86"/>
      <c r="AR157" s="86"/>
      <c r="AS157" s="86"/>
    </row>
    <row r="158" spans="2:45" ht="18" customHeight="1" thickBot="1" x14ac:dyDescent="0.2">
      <c r="B158" s="42">
        <v>2</v>
      </c>
      <c r="C158" s="86"/>
      <c r="D158" s="86"/>
      <c r="E158" s="93"/>
      <c r="F158" s="247"/>
      <c r="G158" s="93"/>
      <c r="H158" s="93"/>
      <c r="I158" s="260" t="str">
        <f>IF(AQ156=2,"入力してください→",IF(AQ156=1,"入力不要です→",""))</f>
        <v/>
      </c>
      <c r="J158" s="387"/>
      <c r="K158" s="388"/>
      <c r="L158" s="389"/>
      <c r="M158" s="248"/>
      <c r="N158" s="387"/>
      <c r="O158" s="388"/>
      <c r="P158" s="389"/>
      <c r="Q158" s="248"/>
      <c r="R158" s="387"/>
      <c r="S158" s="388"/>
      <c r="T158" s="389"/>
      <c r="U158" s="248"/>
      <c r="V158" s="249"/>
      <c r="W158" s="86"/>
      <c r="X158" s="402"/>
      <c r="Y158" s="402"/>
      <c r="Z158" s="402"/>
      <c r="AA158" s="402"/>
      <c r="AB158" s="402"/>
      <c r="AC158" s="402"/>
      <c r="AD158" s="402"/>
      <c r="AE158" s="402"/>
      <c r="AF158" s="402"/>
      <c r="AG158" s="402"/>
      <c r="AH158" s="402"/>
      <c r="AI158" s="402"/>
      <c r="AJ158" s="402"/>
      <c r="AK158" s="402"/>
      <c r="AL158" s="402"/>
      <c r="AM158" s="402"/>
      <c r="AN158" s="402"/>
      <c r="AO158" s="402"/>
      <c r="AP158" s="41"/>
      <c r="AQ158" s="86"/>
      <c r="AR158" s="86"/>
      <c r="AS158" s="86"/>
    </row>
    <row r="159" spans="2:45" x14ac:dyDescent="0.15">
      <c r="C159" s="86"/>
      <c r="D159" s="86"/>
      <c r="E159" s="93"/>
      <c r="F159" s="247"/>
      <c r="G159" s="93"/>
      <c r="H159" s="93"/>
      <c r="I159" s="258"/>
      <c r="J159" s="248"/>
      <c r="K159" s="248"/>
      <c r="L159" s="248"/>
      <c r="M159" s="248"/>
      <c r="N159" s="248"/>
      <c r="O159" s="248"/>
      <c r="P159" s="248"/>
      <c r="Q159" s="248"/>
      <c r="R159" s="248"/>
      <c r="S159" s="248"/>
      <c r="T159" s="248"/>
      <c r="U159" s="248"/>
      <c r="V159" s="248"/>
      <c r="W159" s="86"/>
      <c r="X159" s="296" t="s">
        <v>212</v>
      </c>
      <c r="Y159" s="296"/>
      <c r="Z159" s="296"/>
      <c r="AA159" s="296"/>
      <c r="AB159" s="296"/>
      <c r="AC159" s="296"/>
      <c r="AD159" s="296"/>
      <c r="AE159" s="296"/>
      <c r="AF159" s="296"/>
      <c r="AG159" s="296"/>
      <c r="AH159" s="296"/>
      <c r="AI159" s="296"/>
      <c r="AJ159" s="296"/>
      <c r="AK159" s="296"/>
      <c r="AL159" s="296"/>
      <c r="AM159" s="296"/>
      <c r="AN159" s="296"/>
      <c r="AO159" s="296"/>
      <c r="AP159" s="41"/>
      <c r="AQ159" s="86"/>
      <c r="AR159" s="86"/>
      <c r="AS159" s="86"/>
    </row>
    <row r="160" spans="2:45" ht="14.25" thickBot="1" x14ac:dyDescent="0.2">
      <c r="C160" s="46"/>
      <c r="D160" s="46"/>
      <c r="E160" s="47"/>
      <c r="F160" s="246"/>
      <c r="G160" s="47"/>
      <c r="H160" s="47"/>
      <c r="I160" s="257"/>
      <c r="J160" s="245"/>
      <c r="K160" s="245"/>
      <c r="L160" s="245"/>
      <c r="M160" s="245"/>
      <c r="N160" s="245"/>
      <c r="O160" s="245"/>
      <c r="P160" s="245"/>
      <c r="Q160" s="245"/>
      <c r="R160" s="245"/>
      <c r="S160" s="245"/>
      <c r="T160" s="245"/>
      <c r="U160" s="245"/>
      <c r="V160" s="245"/>
      <c r="W160" s="46"/>
      <c r="X160" s="296" t="s">
        <v>212</v>
      </c>
      <c r="Y160" s="296"/>
      <c r="Z160" s="296"/>
      <c r="AA160" s="296"/>
      <c r="AB160" s="296"/>
      <c r="AC160" s="296"/>
      <c r="AD160" s="296"/>
      <c r="AE160" s="296"/>
      <c r="AF160" s="296"/>
      <c r="AG160" s="296"/>
      <c r="AH160" s="296"/>
      <c r="AI160" s="296"/>
      <c r="AJ160" s="296"/>
      <c r="AK160" s="296"/>
      <c r="AL160" s="296"/>
      <c r="AM160" s="296"/>
      <c r="AN160" s="296"/>
      <c r="AO160" s="296"/>
      <c r="AP160" s="41"/>
      <c r="AQ160" s="86"/>
      <c r="AR160" s="86"/>
      <c r="AS160" s="86"/>
    </row>
    <row r="161" spans="2:45" ht="18" customHeight="1" thickBot="1" x14ac:dyDescent="0.2">
      <c r="B161" s="42">
        <v>3</v>
      </c>
      <c r="C161" s="46"/>
      <c r="D161" s="82" t="s">
        <v>158</v>
      </c>
      <c r="E161" s="48" t="s">
        <v>72</v>
      </c>
      <c r="F161" s="80"/>
      <c r="G161" s="46"/>
      <c r="H161" s="109"/>
      <c r="I161" s="255"/>
      <c r="J161" s="366" t="str">
        <f>IFERROR(VLOOKUP($F161,補助対象機器一覧20220831!$A$2:$K$200,2,FALSE),"")</f>
        <v/>
      </c>
      <c r="K161" s="367"/>
      <c r="L161" s="368"/>
      <c r="M161" s="245"/>
      <c r="N161" s="366" t="str">
        <f>IFERROR(VLOOKUP($F161,補助対象機器一覧20220831!$A$2:$K$200,7,FALSE),"")</f>
        <v/>
      </c>
      <c r="O161" s="367"/>
      <c r="P161" s="368"/>
      <c r="Q161" s="245"/>
      <c r="R161" s="366" t="str">
        <f>IFERROR(VLOOKUP($F161,補助対象機器一覧20220831!$A$2:$K$200,8,FALSE),"")</f>
        <v/>
      </c>
      <c r="S161" s="367"/>
      <c r="T161" s="368"/>
      <c r="U161" s="245"/>
      <c r="V161" s="244" t="str">
        <f>IFERROR(VLOOKUP($F161,補助対象機器一覧20220831!$A$2:$K$200,9,FALSE),"")</f>
        <v/>
      </c>
      <c r="W161" s="46"/>
      <c r="X161" s="402" t="str">
        <f>IF($B161&lt;=入力シート!$F$85,""&amp;中間シート!X520,"")</f>
        <v/>
      </c>
      <c r="Y161" s="402"/>
      <c r="Z161" s="402"/>
      <c r="AA161" s="402"/>
      <c r="AB161" s="402"/>
      <c r="AC161" s="402"/>
      <c r="AD161" s="402"/>
      <c r="AE161" s="402"/>
      <c r="AF161" s="402"/>
      <c r="AG161" s="402"/>
      <c r="AH161" s="402"/>
      <c r="AI161" s="402"/>
      <c r="AJ161" s="402"/>
      <c r="AK161" s="402"/>
      <c r="AL161" s="402"/>
      <c r="AM161" s="402"/>
      <c r="AN161" s="402"/>
      <c r="AO161" s="402"/>
      <c r="AP161" s="41"/>
      <c r="AQ161" s="81">
        <f>IF(J161&lt;&gt;"",1,IF(H161="なし",2,0))</f>
        <v>0</v>
      </c>
      <c r="AR161" s="86"/>
      <c r="AS161" s="86"/>
    </row>
    <row r="162" spans="2:45" ht="5.0999999999999996" customHeight="1" thickBot="1" x14ac:dyDescent="0.2">
      <c r="C162" s="46"/>
      <c r="D162" s="82"/>
      <c r="E162" s="48"/>
      <c r="F162" s="245"/>
      <c r="G162" s="46"/>
      <c r="H162" s="46"/>
      <c r="I162" s="255"/>
      <c r="J162" s="245"/>
      <c r="K162" s="245"/>
      <c r="L162" s="245"/>
      <c r="M162" s="245"/>
      <c r="N162" s="245"/>
      <c r="O162" s="245"/>
      <c r="P162" s="245"/>
      <c r="Q162" s="245"/>
      <c r="R162" s="245"/>
      <c r="S162" s="245"/>
      <c r="T162" s="245"/>
      <c r="U162" s="245"/>
      <c r="V162" s="245"/>
      <c r="W162" s="46"/>
      <c r="X162" s="402"/>
      <c r="Y162" s="402"/>
      <c r="Z162" s="402"/>
      <c r="AA162" s="402"/>
      <c r="AB162" s="402"/>
      <c r="AC162" s="402"/>
      <c r="AD162" s="402"/>
      <c r="AE162" s="402"/>
      <c r="AF162" s="402"/>
      <c r="AG162" s="402"/>
      <c r="AH162" s="402"/>
      <c r="AI162" s="402"/>
      <c r="AJ162" s="402"/>
      <c r="AK162" s="402"/>
      <c r="AL162" s="402"/>
      <c r="AM162" s="402"/>
      <c r="AN162" s="402"/>
      <c r="AO162" s="402"/>
      <c r="AP162" s="41"/>
      <c r="AQ162" s="86"/>
      <c r="AR162" s="86"/>
      <c r="AS162" s="86"/>
    </row>
    <row r="163" spans="2:45" ht="18" customHeight="1" thickBot="1" x14ac:dyDescent="0.2">
      <c r="B163" s="42">
        <v>3</v>
      </c>
      <c r="C163" s="46"/>
      <c r="D163" s="82"/>
      <c r="E163" s="48"/>
      <c r="F163" s="246"/>
      <c r="G163" s="46"/>
      <c r="H163" s="46"/>
      <c r="I163" s="261" t="str">
        <f>IF(AQ161=2,"入力してください→",IF(AQ161=1,"入力不要です→",""))</f>
        <v/>
      </c>
      <c r="J163" s="387"/>
      <c r="K163" s="388"/>
      <c r="L163" s="389"/>
      <c r="M163" s="245"/>
      <c r="N163" s="387"/>
      <c r="O163" s="388"/>
      <c r="P163" s="389"/>
      <c r="Q163" s="245"/>
      <c r="R163" s="387"/>
      <c r="S163" s="388"/>
      <c r="T163" s="389"/>
      <c r="U163" s="245"/>
      <c r="V163" s="249"/>
      <c r="W163" s="46"/>
      <c r="X163" s="402"/>
      <c r="Y163" s="402"/>
      <c r="Z163" s="402"/>
      <c r="AA163" s="402"/>
      <c r="AB163" s="402"/>
      <c r="AC163" s="402"/>
      <c r="AD163" s="402"/>
      <c r="AE163" s="402"/>
      <c r="AF163" s="402"/>
      <c r="AG163" s="402"/>
      <c r="AH163" s="402"/>
      <c r="AI163" s="402"/>
      <c r="AJ163" s="402"/>
      <c r="AK163" s="402"/>
      <c r="AL163" s="402"/>
      <c r="AM163" s="402"/>
      <c r="AN163" s="402"/>
      <c r="AO163" s="402"/>
      <c r="AP163" s="41"/>
      <c r="AQ163" s="86"/>
      <c r="AR163" s="86"/>
      <c r="AS163" s="86"/>
    </row>
    <row r="164" spans="2:45" ht="5.0999999999999996" customHeight="1" thickBot="1" x14ac:dyDescent="0.2">
      <c r="C164" s="46"/>
      <c r="D164" s="46"/>
      <c r="E164" s="47"/>
      <c r="F164" s="245"/>
      <c r="G164" s="47"/>
      <c r="H164" s="47"/>
      <c r="I164" s="255"/>
      <c r="J164" s="245"/>
      <c r="K164" s="245"/>
      <c r="L164" s="245"/>
      <c r="M164" s="245"/>
      <c r="N164" s="245"/>
      <c r="O164" s="245"/>
      <c r="P164" s="245"/>
      <c r="Q164" s="245"/>
      <c r="R164" s="245"/>
      <c r="S164" s="245"/>
      <c r="T164" s="245"/>
      <c r="U164" s="245"/>
      <c r="V164" s="245"/>
      <c r="W164" s="46"/>
      <c r="X164" s="296" t="s">
        <v>212</v>
      </c>
      <c r="Y164" s="296"/>
      <c r="Z164" s="296"/>
      <c r="AA164" s="296"/>
      <c r="AB164" s="296"/>
      <c r="AC164" s="296"/>
      <c r="AD164" s="296"/>
      <c r="AE164" s="296"/>
      <c r="AF164" s="296"/>
      <c r="AG164" s="296"/>
      <c r="AH164" s="296"/>
      <c r="AI164" s="296"/>
      <c r="AJ164" s="296"/>
      <c r="AK164" s="296"/>
      <c r="AL164" s="296"/>
      <c r="AM164" s="296"/>
      <c r="AN164" s="296"/>
      <c r="AO164" s="296"/>
      <c r="AP164" s="41"/>
      <c r="AQ164" s="86"/>
      <c r="AR164" s="86"/>
      <c r="AS164" s="86"/>
    </row>
    <row r="165" spans="2:45" ht="18" customHeight="1" thickBot="1" x14ac:dyDescent="0.2">
      <c r="B165" s="42">
        <v>3</v>
      </c>
      <c r="C165" s="46"/>
      <c r="D165" s="46"/>
      <c r="E165" s="48" t="s">
        <v>73</v>
      </c>
      <c r="F165" s="80"/>
      <c r="G165" s="47"/>
      <c r="H165" s="109"/>
      <c r="I165" s="255"/>
      <c r="J165" s="366" t="str">
        <f>IFERROR(VLOOKUP($F165,補助対象機器一覧20220831!$A$2:$K$200,2,FALSE),"")</f>
        <v/>
      </c>
      <c r="K165" s="367"/>
      <c r="L165" s="368"/>
      <c r="M165" s="245"/>
      <c r="N165" s="366" t="str">
        <f>IFERROR(VLOOKUP($F165,補助対象機器一覧20220831!$A$2:$K$200,7,FALSE),"")</f>
        <v/>
      </c>
      <c r="O165" s="367"/>
      <c r="P165" s="368"/>
      <c r="Q165" s="245"/>
      <c r="R165" s="366" t="str">
        <f>IFERROR(VLOOKUP($F165,補助対象機器一覧20220831!$A$2:$K$200,8,FALSE),"")</f>
        <v/>
      </c>
      <c r="S165" s="367"/>
      <c r="T165" s="368"/>
      <c r="U165" s="245"/>
      <c r="V165" s="244" t="str">
        <f>IFERROR(VLOOKUP($F165,補助対象機器一覧20220831!$A$2:$K$200,9,FALSE),"")</f>
        <v/>
      </c>
      <c r="W165" s="46"/>
      <c r="X165" s="402" t="str">
        <f>IF($B165&lt;=入力シート!$F$85,""&amp;中間シート!X521,"")</f>
        <v/>
      </c>
      <c r="Y165" s="402"/>
      <c r="Z165" s="402"/>
      <c r="AA165" s="402"/>
      <c r="AB165" s="402"/>
      <c r="AC165" s="402"/>
      <c r="AD165" s="402"/>
      <c r="AE165" s="402"/>
      <c r="AF165" s="402"/>
      <c r="AG165" s="402"/>
      <c r="AH165" s="402"/>
      <c r="AI165" s="402"/>
      <c r="AJ165" s="402"/>
      <c r="AK165" s="402"/>
      <c r="AL165" s="402"/>
      <c r="AM165" s="402"/>
      <c r="AN165" s="402"/>
      <c r="AO165" s="402"/>
      <c r="AP165" s="41"/>
      <c r="AQ165" s="81">
        <f>IF(J165&lt;&gt;"",1,IF(H165="なし",2,0))</f>
        <v>0</v>
      </c>
      <c r="AR165" s="86"/>
      <c r="AS165" s="86"/>
    </row>
    <row r="166" spans="2:45" ht="5.0999999999999996" customHeight="1" thickBot="1" x14ac:dyDescent="0.2">
      <c r="C166" s="46"/>
      <c r="D166" s="46"/>
      <c r="E166" s="48"/>
      <c r="F166" s="246"/>
      <c r="G166" s="47"/>
      <c r="H166" s="47"/>
      <c r="I166" s="255"/>
      <c r="J166" s="246"/>
      <c r="K166" s="246"/>
      <c r="L166" s="246"/>
      <c r="M166" s="245"/>
      <c r="N166" s="246"/>
      <c r="O166" s="246"/>
      <c r="P166" s="246"/>
      <c r="Q166" s="245"/>
      <c r="R166" s="246"/>
      <c r="S166" s="246"/>
      <c r="T166" s="246"/>
      <c r="U166" s="245"/>
      <c r="V166" s="246"/>
      <c r="W166" s="46"/>
      <c r="X166" s="402"/>
      <c r="Y166" s="402"/>
      <c r="Z166" s="402"/>
      <c r="AA166" s="402"/>
      <c r="AB166" s="402"/>
      <c r="AC166" s="402"/>
      <c r="AD166" s="402"/>
      <c r="AE166" s="402"/>
      <c r="AF166" s="402"/>
      <c r="AG166" s="402"/>
      <c r="AH166" s="402"/>
      <c r="AI166" s="402"/>
      <c r="AJ166" s="402"/>
      <c r="AK166" s="402"/>
      <c r="AL166" s="402"/>
      <c r="AM166" s="402"/>
      <c r="AN166" s="402"/>
      <c r="AO166" s="402"/>
      <c r="AP166" s="41"/>
      <c r="AQ166" s="86"/>
      <c r="AR166" s="86"/>
      <c r="AS166" s="86"/>
    </row>
    <row r="167" spans="2:45" ht="18" customHeight="1" thickBot="1" x14ac:dyDescent="0.2">
      <c r="B167" s="42">
        <v>3</v>
      </c>
      <c r="C167" s="46"/>
      <c r="D167" s="46"/>
      <c r="E167" s="48"/>
      <c r="F167" s="246"/>
      <c r="G167" s="47"/>
      <c r="H167" s="47"/>
      <c r="I167" s="261" t="str">
        <f>IF(AQ165=2,"入力してください→",IF(AQ165=1,"入力不要です→",""))</f>
        <v/>
      </c>
      <c r="J167" s="387"/>
      <c r="K167" s="388"/>
      <c r="L167" s="389"/>
      <c r="M167" s="245"/>
      <c r="N167" s="387"/>
      <c r="O167" s="388"/>
      <c r="P167" s="389"/>
      <c r="Q167" s="245"/>
      <c r="R167" s="387"/>
      <c r="S167" s="388"/>
      <c r="T167" s="389"/>
      <c r="U167" s="245"/>
      <c r="V167" s="249"/>
      <c r="W167" s="46"/>
      <c r="X167" s="402"/>
      <c r="Y167" s="402"/>
      <c r="Z167" s="402"/>
      <c r="AA167" s="402"/>
      <c r="AB167" s="402"/>
      <c r="AC167" s="402"/>
      <c r="AD167" s="402"/>
      <c r="AE167" s="402"/>
      <c r="AF167" s="402"/>
      <c r="AG167" s="402"/>
      <c r="AH167" s="402"/>
      <c r="AI167" s="402"/>
      <c r="AJ167" s="402"/>
      <c r="AK167" s="402"/>
      <c r="AL167" s="402"/>
      <c r="AM167" s="402"/>
      <c r="AN167" s="402"/>
      <c r="AO167" s="402"/>
      <c r="AP167" s="41"/>
      <c r="AQ167" s="86"/>
      <c r="AR167" s="86"/>
      <c r="AS167" s="86"/>
    </row>
    <row r="168" spans="2:45" ht="5.0999999999999996" customHeight="1" thickBot="1" x14ac:dyDescent="0.2">
      <c r="C168" s="46"/>
      <c r="D168" s="46"/>
      <c r="E168" s="48"/>
      <c r="F168" s="246"/>
      <c r="G168" s="47"/>
      <c r="H168" s="47"/>
      <c r="I168" s="255"/>
      <c r="J168" s="246"/>
      <c r="K168" s="246"/>
      <c r="L168" s="246"/>
      <c r="M168" s="245"/>
      <c r="N168" s="246"/>
      <c r="O168" s="246"/>
      <c r="P168" s="246"/>
      <c r="Q168" s="245"/>
      <c r="R168" s="246"/>
      <c r="S168" s="246"/>
      <c r="T168" s="246"/>
      <c r="U168" s="245"/>
      <c r="V168" s="246"/>
      <c r="W168" s="46"/>
      <c r="X168" s="296" t="s">
        <v>212</v>
      </c>
      <c r="Y168" s="296"/>
      <c r="Z168" s="296"/>
      <c r="AA168" s="296"/>
      <c r="AB168" s="296"/>
      <c r="AC168" s="296"/>
      <c r="AD168" s="296"/>
      <c r="AE168" s="296"/>
      <c r="AF168" s="296"/>
      <c r="AG168" s="296"/>
      <c r="AH168" s="296"/>
      <c r="AI168" s="296"/>
      <c r="AJ168" s="296"/>
      <c r="AK168" s="296"/>
      <c r="AL168" s="296"/>
      <c r="AM168" s="296"/>
      <c r="AN168" s="296"/>
      <c r="AO168" s="296"/>
      <c r="AP168" s="41"/>
      <c r="AQ168" s="86"/>
      <c r="AR168" s="86"/>
      <c r="AS168" s="86"/>
    </row>
    <row r="169" spans="2:45" ht="18" customHeight="1" thickBot="1" x14ac:dyDescent="0.2">
      <c r="B169" s="42">
        <v>3</v>
      </c>
      <c r="C169" s="46"/>
      <c r="D169" s="46"/>
      <c r="E169" s="48" t="s">
        <v>74</v>
      </c>
      <c r="F169" s="80"/>
      <c r="G169" s="47"/>
      <c r="H169" s="109"/>
      <c r="I169" s="255"/>
      <c r="J169" s="366" t="str">
        <f>IFERROR(VLOOKUP($F169,補助対象機器一覧20220831!$A$2:$K$200,2,FALSE),"")</f>
        <v/>
      </c>
      <c r="K169" s="367"/>
      <c r="L169" s="368"/>
      <c r="M169" s="245"/>
      <c r="N169" s="366" t="str">
        <f>IFERROR(VLOOKUP($F169,補助対象機器一覧20220831!$A$2:$K$200,7,FALSE),"")</f>
        <v/>
      </c>
      <c r="O169" s="367"/>
      <c r="P169" s="368"/>
      <c r="Q169" s="245"/>
      <c r="R169" s="366" t="str">
        <f>IFERROR(VLOOKUP($F169,補助対象機器一覧20220831!$A$2:$K$200,8,FALSE),"")</f>
        <v/>
      </c>
      <c r="S169" s="367"/>
      <c r="T169" s="368"/>
      <c r="U169" s="245"/>
      <c r="V169" s="244" t="str">
        <f>IFERROR(VLOOKUP($F169,補助対象機器一覧20220831!$A$2:$K$200,9,FALSE),"")</f>
        <v/>
      </c>
      <c r="W169" s="46"/>
      <c r="X169" s="402" t="str">
        <f>IF($B169&lt;=入力シート!$F$85,""&amp;中間シート!X522,"")</f>
        <v/>
      </c>
      <c r="Y169" s="402"/>
      <c r="Z169" s="402"/>
      <c r="AA169" s="402"/>
      <c r="AB169" s="402"/>
      <c r="AC169" s="402"/>
      <c r="AD169" s="402"/>
      <c r="AE169" s="402"/>
      <c r="AF169" s="402"/>
      <c r="AG169" s="402"/>
      <c r="AH169" s="402"/>
      <c r="AI169" s="402"/>
      <c r="AJ169" s="402"/>
      <c r="AK169" s="402"/>
      <c r="AL169" s="402"/>
      <c r="AM169" s="402"/>
      <c r="AN169" s="402"/>
      <c r="AO169" s="402"/>
      <c r="AP169" s="41"/>
      <c r="AQ169" s="81">
        <f>IF(J169&lt;&gt;"",1,IF(H169="なし",2,0))</f>
        <v>0</v>
      </c>
      <c r="AR169" s="86"/>
      <c r="AS169" s="86"/>
    </row>
    <row r="170" spans="2:45" ht="5.0999999999999996" customHeight="1" thickBot="1" x14ac:dyDescent="0.2">
      <c r="C170" s="46"/>
      <c r="D170" s="46"/>
      <c r="E170" s="48"/>
      <c r="F170" s="246"/>
      <c r="G170" s="47"/>
      <c r="H170" s="47"/>
      <c r="I170" s="255"/>
      <c r="J170" s="246"/>
      <c r="K170" s="246"/>
      <c r="L170" s="246"/>
      <c r="M170" s="245"/>
      <c r="N170" s="246"/>
      <c r="O170" s="246"/>
      <c r="P170" s="246"/>
      <c r="Q170" s="245"/>
      <c r="R170" s="246"/>
      <c r="S170" s="246"/>
      <c r="T170" s="246"/>
      <c r="U170" s="245"/>
      <c r="V170" s="246"/>
      <c r="W170" s="46"/>
      <c r="X170" s="402"/>
      <c r="Y170" s="402"/>
      <c r="Z170" s="402"/>
      <c r="AA170" s="402"/>
      <c r="AB170" s="402"/>
      <c r="AC170" s="402"/>
      <c r="AD170" s="402"/>
      <c r="AE170" s="402"/>
      <c r="AF170" s="402"/>
      <c r="AG170" s="402"/>
      <c r="AH170" s="402"/>
      <c r="AI170" s="402"/>
      <c r="AJ170" s="402"/>
      <c r="AK170" s="402"/>
      <c r="AL170" s="402"/>
      <c r="AM170" s="402"/>
      <c r="AN170" s="402"/>
      <c r="AO170" s="402"/>
      <c r="AP170" s="41"/>
      <c r="AQ170" s="86"/>
      <c r="AR170" s="86"/>
      <c r="AS170" s="86"/>
    </row>
    <row r="171" spans="2:45" ht="18" customHeight="1" thickBot="1" x14ac:dyDescent="0.2">
      <c r="B171" s="42">
        <v>3</v>
      </c>
      <c r="C171" s="46"/>
      <c r="D171" s="46"/>
      <c r="E171" s="47"/>
      <c r="F171" s="246"/>
      <c r="G171" s="47"/>
      <c r="H171" s="47"/>
      <c r="I171" s="261" t="str">
        <f>IF(AQ169=2,"入力してください→",IF(AQ169=1,"入力不要です→",""))</f>
        <v/>
      </c>
      <c r="J171" s="387"/>
      <c r="K171" s="388"/>
      <c r="L171" s="389"/>
      <c r="M171" s="245"/>
      <c r="N171" s="387"/>
      <c r="O171" s="388"/>
      <c r="P171" s="389"/>
      <c r="Q171" s="245"/>
      <c r="R171" s="387"/>
      <c r="S171" s="388"/>
      <c r="T171" s="389"/>
      <c r="U171" s="245"/>
      <c r="V171" s="249"/>
      <c r="W171" s="46"/>
      <c r="X171" s="402"/>
      <c r="Y171" s="402"/>
      <c r="Z171" s="402"/>
      <c r="AA171" s="402"/>
      <c r="AB171" s="402"/>
      <c r="AC171" s="402"/>
      <c r="AD171" s="402"/>
      <c r="AE171" s="402"/>
      <c r="AF171" s="402"/>
      <c r="AG171" s="402"/>
      <c r="AH171" s="402"/>
      <c r="AI171" s="402"/>
      <c r="AJ171" s="402"/>
      <c r="AK171" s="402"/>
      <c r="AL171" s="402"/>
      <c r="AM171" s="402"/>
      <c r="AN171" s="402"/>
      <c r="AO171" s="402"/>
      <c r="AP171" s="41"/>
      <c r="AQ171" s="86"/>
      <c r="AR171" s="86"/>
      <c r="AS171" s="86"/>
    </row>
    <row r="172" spans="2:45" x14ac:dyDescent="0.15">
      <c r="C172" s="46"/>
      <c r="D172" s="46"/>
      <c r="E172" s="47"/>
      <c r="F172" s="246"/>
      <c r="G172" s="47"/>
      <c r="H172" s="47"/>
      <c r="I172" s="257"/>
      <c r="J172" s="245"/>
      <c r="K172" s="245"/>
      <c r="L172" s="245"/>
      <c r="M172" s="245"/>
      <c r="N172" s="245"/>
      <c r="O172" s="245"/>
      <c r="P172" s="245"/>
      <c r="Q172" s="245"/>
      <c r="R172" s="245"/>
      <c r="S172" s="245"/>
      <c r="T172" s="245"/>
      <c r="U172" s="245"/>
      <c r="V172" s="245"/>
      <c r="W172" s="46"/>
      <c r="X172" s="296" t="s">
        <v>212</v>
      </c>
      <c r="Y172" s="296"/>
      <c r="Z172" s="296"/>
      <c r="AA172" s="296"/>
      <c r="AB172" s="296"/>
      <c r="AC172" s="296"/>
      <c r="AD172" s="296"/>
      <c r="AE172" s="296"/>
      <c r="AF172" s="296"/>
      <c r="AG172" s="296"/>
      <c r="AH172" s="296"/>
      <c r="AI172" s="296"/>
      <c r="AJ172" s="296"/>
      <c r="AK172" s="296"/>
      <c r="AL172" s="296"/>
      <c r="AM172" s="296"/>
      <c r="AN172" s="296"/>
      <c r="AO172" s="296"/>
      <c r="AP172" s="41"/>
      <c r="AQ172" s="86"/>
      <c r="AR172" s="86"/>
      <c r="AS172" s="86"/>
    </row>
    <row r="173" spans="2:45" ht="14.25" thickBot="1" x14ac:dyDescent="0.2">
      <c r="C173" s="86"/>
      <c r="D173" s="86"/>
      <c r="E173" s="93"/>
      <c r="F173" s="247"/>
      <c r="G173" s="93"/>
      <c r="H173" s="93"/>
      <c r="I173" s="258"/>
      <c r="J173" s="248"/>
      <c r="K173" s="248"/>
      <c r="L173" s="248"/>
      <c r="M173" s="248"/>
      <c r="N173" s="248"/>
      <c r="O173" s="248"/>
      <c r="P173" s="248"/>
      <c r="Q173" s="248"/>
      <c r="R173" s="248"/>
      <c r="S173" s="248"/>
      <c r="T173" s="248"/>
      <c r="U173" s="248"/>
      <c r="V173" s="248"/>
      <c r="W173" s="86"/>
      <c r="X173" s="296" t="s">
        <v>212</v>
      </c>
      <c r="Y173" s="296"/>
      <c r="Z173" s="296"/>
      <c r="AA173" s="296"/>
      <c r="AB173" s="296"/>
      <c r="AC173" s="296"/>
      <c r="AD173" s="296"/>
      <c r="AE173" s="296"/>
      <c r="AF173" s="296"/>
      <c r="AG173" s="296"/>
      <c r="AH173" s="296"/>
      <c r="AI173" s="296"/>
      <c r="AJ173" s="296"/>
      <c r="AK173" s="296"/>
      <c r="AL173" s="296"/>
      <c r="AM173" s="296"/>
      <c r="AN173" s="296"/>
      <c r="AO173" s="296"/>
      <c r="AP173" s="41"/>
      <c r="AQ173" s="86"/>
      <c r="AR173" s="86"/>
      <c r="AS173" s="86"/>
    </row>
    <row r="174" spans="2:45" ht="18" customHeight="1" thickBot="1" x14ac:dyDescent="0.2">
      <c r="B174" s="42">
        <v>4</v>
      </c>
      <c r="C174" s="86"/>
      <c r="D174" s="94" t="s">
        <v>159</v>
      </c>
      <c r="E174" s="95" t="s">
        <v>72</v>
      </c>
      <c r="F174" s="80"/>
      <c r="G174" s="86"/>
      <c r="H174" s="80"/>
      <c r="I174" s="259"/>
      <c r="J174" s="366" t="str">
        <f>IFERROR(VLOOKUP($F174,補助対象機器一覧20220831!$A$2:$K$200,2,FALSE),"")</f>
        <v/>
      </c>
      <c r="K174" s="367"/>
      <c r="L174" s="368"/>
      <c r="M174" s="248"/>
      <c r="N174" s="366" t="str">
        <f>IFERROR(VLOOKUP($F174,補助対象機器一覧20220831!$A$2:$K$200,7,FALSE),"")</f>
        <v/>
      </c>
      <c r="O174" s="367"/>
      <c r="P174" s="368"/>
      <c r="Q174" s="248"/>
      <c r="R174" s="366" t="str">
        <f>IFERROR(VLOOKUP($F174,補助対象機器一覧20220831!$A$2:$K$200,8,FALSE),"")</f>
        <v/>
      </c>
      <c r="S174" s="367"/>
      <c r="T174" s="368"/>
      <c r="U174" s="248"/>
      <c r="V174" s="244" t="str">
        <f>IFERROR(VLOOKUP($F174,補助対象機器一覧20220831!$A$2:$K$200,9,FALSE),"")</f>
        <v/>
      </c>
      <c r="W174" s="86"/>
      <c r="X174" s="402" t="str">
        <f>IF($B174&lt;=入力シート!$F$85,""&amp;中間シート!X523,"")</f>
        <v/>
      </c>
      <c r="Y174" s="402"/>
      <c r="Z174" s="402"/>
      <c r="AA174" s="402"/>
      <c r="AB174" s="402"/>
      <c r="AC174" s="402"/>
      <c r="AD174" s="402"/>
      <c r="AE174" s="402"/>
      <c r="AF174" s="402"/>
      <c r="AG174" s="402"/>
      <c r="AH174" s="402"/>
      <c r="AI174" s="402"/>
      <c r="AJ174" s="402"/>
      <c r="AK174" s="402"/>
      <c r="AL174" s="402"/>
      <c r="AM174" s="402"/>
      <c r="AN174" s="402"/>
      <c r="AO174" s="402"/>
      <c r="AP174" s="41"/>
      <c r="AQ174" s="81">
        <f>IF(J174&lt;&gt;"",1,IF(H174="なし",2,0))</f>
        <v>0</v>
      </c>
      <c r="AR174" s="86"/>
      <c r="AS174" s="86"/>
    </row>
    <row r="175" spans="2:45" ht="5.0999999999999996" customHeight="1" thickBot="1" x14ac:dyDescent="0.2">
      <c r="C175" s="86"/>
      <c r="D175" s="94"/>
      <c r="E175" s="95"/>
      <c r="F175" s="248"/>
      <c r="G175" s="86"/>
      <c r="H175" s="86"/>
      <c r="I175" s="259"/>
      <c r="J175" s="248"/>
      <c r="K175" s="248"/>
      <c r="L175" s="248"/>
      <c r="M175" s="248"/>
      <c r="N175" s="248"/>
      <c r="O175" s="248"/>
      <c r="P175" s="248"/>
      <c r="Q175" s="248"/>
      <c r="R175" s="248"/>
      <c r="S175" s="248"/>
      <c r="T175" s="248"/>
      <c r="U175" s="248"/>
      <c r="V175" s="248"/>
      <c r="W175" s="86"/>
      <c r="X175" s="402"/>
      <c r="Y175" s="402"/>
      <c r="Z175" s="402"/>
      <c r="AA175" s="402"/>
      <c r="AB175" s="402"/>
      <c r="AC175" s="402"/>
      <c r="AD175" s="402"/>
      <c r="AE175" s="402"/>
      <c r="AF175" s="402"/>
      <c r="AG175" s="402"/>
      <c r="AH175" s="402"/>
      <c r="AI175" s="402"/>
      <c r="AJ175" s="402"/>
      <c r="AK175" s="402"/>
      <c r="AL175" s="402"/>
      <c r="AM175" s="402"/>
      <c r="AN175" s="402"/>
      <c r="AO175" s="402"/>
      <c r="AP175" s="41"/>
      <c r="AQ175" s="86"/>
      <c r="AR175" s="86"/>
      <c r="AS175" s="86"/>
    </row>
    <row r="176" spans="2:45" ht="18" customHeight="1" thickBot="1" x14ac:dyDescent="0.2">
      <c r="B176" s="42">
        <v>4</v>
      </c>
      <c r="C176" s="86"/>
      <c r="D176" s="94"/>
      <c r="E176" s="95"/>
      <c r="F176" s="247"/>
      <c r="G176" s="86"/>
      <c r="H176" s="86"/>
      <c r="I176" s="260" t="str">
        <f>IF(AQ174=2,"入力してください→",IF(AQ174=1,"入力不要です→",""))</f>
        <v/>
      </c>
      <c r="J176" s="387"/>
      <c r="K176" s="388"/>
      <c r="L176" s="389"/>
      <c r="M176" s="248"/>
      <c r="N176" s="387"/>
      <c r="O176" s="388"/>
      <c r="P176" s="389"/>
      <c r="Q176" s="248"/>
      <c r="R176" s="387"/>
      <c r="S176" s="388"/>
      <c r="T176" s="389"/>
      <c r="U176" s="248"/>
      <c r="V176" s="249"/>
      <c r="W176" s="86"/>
      <c r="X176" s="402"/>
      <c r="Y176" s="402"/>
      <c r="Z176" s="402"/>
      <c r="AA176" s="402"/>
      <c r="AB176" s="402"/>
      <c r="AC176" s="402"/>
      <c r="AD176" s="402"/>
      <c r="AE176" s="402"/>
      <c r="AF176" s="402"/>
      <c r="AG176" s="402"/>
      <c r="AH176" s="402"/>
      <c r="AI176" s="402"/>
      <c r="AJ176" s="402"/>
      <c r="AK176" s="402"/>
      <c r="AL176" s="402"/>
      <c r="AM176" s="402"/>
      <c r="AN176" s="402"/>
      <c r="AO176" s="402"/>
      <c r="AP176" s="41"/>
      <c r="AQ176" s="86"/>
      <c r="AR176" s="86"/>
      <c r="AS176" s="86"/>
    </row>
    <row r="177" spans="2:45" ht="5.0999999999999996" customHeight="1" thickBot="1" x14ac:dyDescent="0.2">
      <c r="C177" s="86"/>
      <c r="D177" s="86"/>
      <c r="E177" s="93"/>
      <c r="F177" s="248"/>
      <c r="G177" s="93"/>
      <c r="H177" s="93"/>
      <c r="I177" s="259"/>
      <c r="J177" s="248"/>
      <c r="K177" s="248"/>
      <c r="L177" s="248"/>
      <c r="M177" s="248"/>
      <c r="N177" s="248"/>
      <c r="O177" s="248"/>
      <c r="P177" s="248"/>
      <c r="Q177" s="248"/>
      <c r="R177" s="248"/>
      <c r="S177" s="248"/>
      <c r="T177" s="248"/>
      <c r="U177" s="248"/>
      <c r="V177" s="248"/>
      <c r="W177" s="86"/>
      <c r="X177" s="296" t="s">
        <v>212</v>
      </c>
      <c r="Y177" s="296"/>
      <c r="Z177" s="296"/>
      <c r="AA177" s="296"/>
      <c r="AB177" s="296"/>
      <c r="AC177" s="296"/>
      <c r="AD177" s="296"/>
      <c r="AE177" s="296"/>
      <c r="AF177" s="296"/>
      <c r="AG177" s="296"/>
      <c r="AH177" s="296"/>
      <c r="AI177" s="296"/>
      <c r="AJ177" s="296"/>
      <c r="AK177" s="296"/>
      <c r="AL177" s="296"/>
      <c r="AM177" s="296"/>
      <c r="AN177" s="296"/>
      <c r="AO177" s="296"/>
      <c r="AP177" s="41"/>
      <c r="AQ177" s="86"/>
      <c r="AR177" s="86"/>
      <c r="AS177" s="86"/>
    </row>
    <row r="178" spans="2:45" ht="18" customHeight="1" thickBot="1" x14ac:dyDescent="0.2">
      <c r="B178" s="42">
        <v>4</v>
      </c>
      <c r="C178" s="86"/>
      <c r="D178" s="86"/>
      <c r="E178" s="95" t="s">
        <v>73</v>
      </c>
      <c r="F178" s="80"/>
      <c r="G178" s="93"/>
      <c r="H178" s="80"/>
      <c r="I178" s="259"/>
      <c r="J178" s="366" t="str">
        <f>IFERROR(VLOOKUP($F178,補助対象機器一覧20220831!$A$2:$K$200,2,FALSE),"")</f>
        <v/>
      </c>
      <c r="K178" s="367"/>
      <c r="L178" s="368"/>
      <c r="M178" s="248"/>
      <c r="N178" s="366" t="str">
        <f>IFERROR(VLOOKUP($F178,補助対象機器一覧20220831!$A$2:$K$200,7,FALSE),"")</f>
        <v/>
      </c>
      <c r="O178" s="367"/>
      <c r="P178" s="368"/>
      <c r="Q178" s="248"/>
      <c r="R178" s="366" t="str">
        <f>IFERROR(VLOOKUP($F178,補助対象機器一覧20220831!$A$2:$K$200,8,FALSE),"")</f>
        <v/>
      </c>
      <c r="S178" s="367"/>
      <c r="T178" s="368"/>
      <c r="U178" s="248"/>
      <c r="V178" s="244" t="str">
        <f>IFERROR(VLOOKUP($F178,補助対象機器一覧20220831!$A$2:$K$200,9,FALSE),"")</f>
        <v/>
      </c>
      <c r="W178" s="86"/>
      <c r="X178" s="402" t="str">
        <f>IF($B178&lt;=入力シート!$F$85,""&amp;中間シート!X524,"")</f>
        <v/>
      </c>
      <c r="Y178" s="402"/>
      <c r="Z178" s="402"/>
      <c r="AA178" s="402"/>
      <c r="AB178" s="402"/>
      <c r="AC178" s="402"/>
      <c r="AD178" s="402"/>
      <c r="AE178" s="402"/>
      <c r="AF178" s="402"/>
      <c r="AG178" s="402"/>
      <c r="AH178" s="402"/>
      <c r="AI178" s="402"/>
      <c r="AJ178" s="402"/>
      <c r="AK178" s="402"/>
      <c r="AL178" s="402"/>
      <c r="AM178" s="402"/>
      <c r="AN178" s="402"/>
      <c r="AO178" s="402"/>
      <c r="AP178" s="41"/>
      <c r="AQ178" s="81">
        <f>IF(J178&lt;&gt;"",1,IF(H178="なし",2,0))</f>
        <v>0</v>
      </c>
      <c r="AR178" s="86"/>
      <c r="AS178" s="86"/>
    </row>
    <row r="179" spans="2:45" ht="5.0999999999999996" customHeight="1" thickBot="1" x14ac:dyDescent="0.2">
      <c r="C179" s="86"/>
      <c r="D179" s="86"/>
      <c r="E179" s="95"/>
      <c r="F179" s="247"/>
      <c r="G179" s="93"/>
      <c r="H179" s="93"/>
      <c r="I179" s="259"/>
      <c r="J179" s="247"/>
      <c r="K179" s="247"/>
      <c r="L179" s="247"/>
      <c r="M179" s="248"/>
      <c r="N179" s="247"/>
      <c r="O179" s="247"/>
      <c r="P179" s="247"/>
      <c r="Q179" s="248"/>
      <c r="R179" s="247"/>
      <c r="S179" s="247"/>
      <c r="T179" s="247"/>
      <c r="U179" s="248"/>
      <c r="V179" s="247"/>
      <c r="W179" s="86"/>
      <c r="X179" s="402"/>
      <c r="Y179" s="402"/>
      <c r="Z179" s="402"/>
      <c r="AA179" s="402"/>
      <c r="AB179" s="402"/>
      <c r="AC179" s="402"/>
      <c r="AD179" s="402"/>
      <c r="AE179" s="402"/>
      <c r="AF179" s="402"/>
      <c r="AG179" s="402"/>
      <c r="AH179" s="402"/>
      <c r="AI179" s="402"/>
      <c r="AJ179" s="402"/>
      <c r="AK179" s="402"/>
      <c r="AL179" s="402"/>
      <c r="AM179" s="402"/>
      <c r="AN179" s="402"/>
      <c r="AO179" s="402"/>
      <c r="AP179" s="41"/>
      <c r="AQ179" s="86"/>
      <c r="AR179" s="86"/>
      <c r="AS179" s="86"/>
    </row>
    <row r="180" spans="2:45" ht="18" customHeight="1" thickBot="1" x14ac:dyDescent="0.2">
      <c r="B180" s="42">
        <v>4</v>
      </c>
      <c r="C180" s="86"/>
      <c r="D180" s="86"/>
      <c r="E180" s="95"/>
      <c r="F180" s="247"/>
      <c r="G180" s="93"/>
      <c r="H180" s="93"/>
      <c r="I180" s="260" t="str">
        <f>IF(AQ178=2,"入力してください→",IF(AQ178=1,"入力不要です→",""))</f>
        <v/>
      </c>
      <c r="J180" s="387"/>
      <c r="K180" s="388"/>
      <c r="L180" s="389"/>
      <c r="M180" s="248"/>
      <c r="N180" s="387"/>
      <c r="O180" s="388"/>
      <c r="P180" s="389"/>
      <c r="Q180" s="248"/>
      <c r="R180" s="387"/>
      <c r="S180" s="388"/>
      <c r="T180" s="389"/>
      <c r="U180" s="248"/>
      <c r="V180" s="249"/>
      <c r="W180" s="86"/>
      <c r="X180" s="402"/>
      <c r="Y180" s="402"/>
      <c r="Z180" s="402"/>
      <c r="AA180" s="402"/>
      <c r="AB180" s="402"/>
      <c r="AC180" s="402"/>
      <c r="AD180" s="402"/>
      <c r="AE180" s="402"/>
      <c r="AF180" s="402"/>
      <c r="AG180" s="402"/>
      <c r="AH180" s="402"/>
      <c r="AI180" s="402"/>
      <c r="AJ180" s="402"/>
      <c r="AK180" s="402"/>
      <c r="AL180" s="402"/>
      <c r="AM180" s="402"/>
      <c r="AN180" s="402"/>
      <c r="AO180" s="402"/>
      <c r="AP180" s="41"/>
      <c r="AQ180" s="86"/>
      <c r="AR180" s="86"/>
      <c r="AS180" s="86"/>
    </row>
    <row r="181" spans="2:45" ht="5.0999999999999996" customHeight="1" thickBot="1" x14ac:dyDescent="0.2">
      <c r="C181" s="86"/>
      <c r="D181" s="86"/>
      <c r="E181" s="95"/>
      <c r="F181" s="247"/>
      <c r="G181" s="93"/>
      <c r="H181" s="93"/>
      <c r="I181" s="259"/>
      <c r="J181" s="247"/>
      <c r="K181" s="247"/>
      <c r="L181" s="247"/>
      <c r="M181" s="248"/>
      <c r="N181" s="247"/>
      <c r="O181" s="247"/>
      <c r="P181" s="247"/>
      <c r="Q181" s="248"/>
      <c r="R181" s="247"/>
      <c r="S181" s="247"/>
      <c r="T181" s="247"/>
      <c r="U181" s="248"/>
      <c r="V181" s="247"/>
      <c r="W181" s="86"/>
      <c r="X181" s="296" t="s">
        <v>212</v>
      </c>
      <c r="Y181" s="296"/>
      <c r="Z181" s="296"/>
      <c r="AA181" s="296"/>
      <c r="AB181" s="296"/>
      <c r="AC181" s="296"/>
      <c r="AD181" s="296"/>
      <c r="AE181" s="296"/>
      <c r="AF181" s="296"/>
      <c r="AG181" s="296"/>
      <c r="AH181" s="296"/>
      <c r="AI181" s="296"/>
      <c r="AJ181" s="296"/>
      <c r="AK181" s="296"/>
      <c r="AL181" s="296"/>
      <c r="AM181" s="296"/>
      <c r="AN181" s="296"/>
      <c r="AO181" s="296"/>
      <c r="AP181" s="41"/>
      <c r="AQ181" s="86"/>
      <c r="AR181" s="86"/>
      <c r="AS181" s="86"/>
    </row>
    <row r="182" spans="2:45" ht="18" customHeight="1" thickBot="1" x14ac:dyDescent="0.2">
      <c r="B182" s="42">
        <v>4</v>
      </c>
      <c r="C182" s="86"/>
      <c r="D182" s="86"/>
      <c r="E182" s="95" t="s">
        <v>74</v>
      </c>
      <c r="F182" s="80"/>
      <c r="G182" s="93"/>
      <c r="H182" s="80"/>
      <c r="I182" s="259"/>
      <c r="J182" s="366" t="str">
        <f>IFERROR(VLOOKUP($F182,補助対象機器一覧20220831!$A$2:$K$200,2,FALSE),"")</f>
        <v/>
      </c>
      <c r="K182" s="367"/>
      <c r="L182" s="368"/>
      <c r="M182" s="248"/>
      <c r="N182" s="366" t="str">
        <f>IFERROR(VLOOKUP($F182,補助対象機器一覧20220831!$A$2:$K$200,7,FALSE),"")</f>
        <v/>
      </c>
      <c r="O182" s="367"/>
      <c r="P182" s="368"/>
      <c r="Q182" s="248"/>
      <c r="R182" s="366" t="str">
        <f>IFERROR(VLOOKUP($F182,補助対象機器一覧20220831!$A$2:$K$200,8,FALSE),"")</f>
        <v/>
      </c>
      <c r="S182" s="367"/>
      <c r="T182" s="368"/>
      <c r="U182" s="248"/>
      <c r="V182" s="244" t="str">
        <f>IFERROR(VLOOKUP($F182,補助対象機器一覧20220831!$A$2:$K$200,9,FALSE),"")</f>
        <v/>
      </c>
      <c r="W182" s="86"/>
      <c r="X182" s="402" t="str">
        <f>IF($B182&lt;=入力シート!$F$85,""&amp;中間シート!X525,"")</f>
        <v/>
      </c>
      <c r="Y182" s="402"/>
      <c r="Z182" s="402"/>
      <c r="AA182" s="402"/>
      <c r="AB182" s="402"/>
      <c r="AC182" s="402"/>
      <c r="AD182" s="402"/>
      <c r="AE182" s="402"/>
      <c r="AF182" s="402"/>
      <c r="AG182" s="402"/>
      <c r="AH182" s="402"/>
      <c r="AI182" s="402"/>
      <c r="AJ182" s="402"/>
      <c r="AK182" s="402"/>
      <c r="AL182" s="402"/>
      <c r="AM182" s="402"/>
      <c r="AN182" s="402"/>
      <c r="AO182" s="402"/>
      <c r="AP182" s="41"/>
      <c r="AQ182" s="81">
        <f>IF(J182&lt;&gt;"",1,IF(H182="なし",2,0))</f>
        <v>0</v>
      </c>
      <c r="AR182" s="86"/>
      <c r="AS182" s="86"/>
    </row>
    <row r="183" spans="2:45" ht="5.0999999999999996" customHeight="1" thickBot="1" x14ac:dyDescent="0.2">
      <c r="C183" s="86"/>
      <c r="D183" s="86"/>
      <c r="E183" s="95"/>
      <c r="F183" s="247"/>
      <c r="G183" s="93"/>
      <c r="H183" s="93"/>
      <c r="I183" s="259"/>
      <c r="J183" s="247"/>
      <c r="K183" s="247"/>
      <c r="L183" s="247"/>
      <c r="M183" s="248"/>
      <c r="N183" s="247"/>
      <c r="O183" s="247"/>
      <c r="P183" s="247"/>
      <c r="Q183" s="248"/>
      <c r="R183" s="247"/>
      <c r="S183" s="247"/>
      <c r="T183" s="247"/>
      <c r="U183" s="248"/>
      <c r="V183" s="247"/>
      <c r="W183" s="86"/>
      <c r="X183" s="402"/>
      <c r="Y183" s="402"/>
      <c r="Z183" s="402"/>
      <c r="AA183" s="402"/>
      <c r="AB183" s="402"/>
      <c r="AC183" s="402"/>
      <c r="AD183" s="402"/>
      <c r="AE183" s="402"/>
      <c r="AF183" s="402"/>
      <c r="AG183" s="402"/>
      <c r="AH183" s="402"/>
      <c r="AI183" s="402"/>
      <c r="AJ183" s="402"/>
      <c r="AK183" s="402"/>
      <c r="AL183" s="402"/>
      <c r="AM183" s="402"/>
      <c r="AN183" s="402"/>
      <c r="AO183" s="402"/>
      <c r="AP183" s="41"/>
      <c r="AQ183" s="86"/>
      <c r="AR183" s="86"/>
      <c r="AS183" s="86"/>
    </row>
    <row r="184" spans="2:45" ht="18" customHeight="1" thickBot="1" x14ac:dyDescent="0.2">
      <c r="B184" s="42">
        <v>4</v>
      </c>
      <c r="C184" s="86"/>
      <c r="D184" s="86"/>
      <c r="E184" s="93"/>
      <c r="F184" s="247"/>
      <c r="G184" s="93"/>
      <c r="H184" s="93"/>
      <c r="I184" s="260" t="str">
        <f>IF(AQ182=2,"入力してください→",IF(AQ182=1,"入力不要です→",""))</f>
        <v/>
      </c>
      <c r="J184" s="387"/>
      <c r="K184" s="388"/>
      <c r="L184" s="389"/>
      <c r="M184" s="248"/>
      <c r="N184" s="387"/>
      <c r="O184" s="388"/>
      <c r="P184" s="389"/>
      <c r="Q184" s="248"/>
      <c r="R184" s="387"/>
      <c r="S184" s="388"/>
      <c r="T184" s="389"/>
      <c r="U184" s="248"/>
      <c r="V184" s="249"/>
      <c r="W184" s="86"/>
      <c r="X184" s="402"/>
      <c r="Y184" s="402"/>
      <c r="Z184" s="402"/>
      <c r="AA184" s="402"/>
      <c r="AB184" s="402"/>
      <c r="AC184" s="402"/>
      <c r="AD184" s="402"/>
      <c r="AE184" s="402"/>
      <c r="AF184" s="402"/>
      <c r="AG184" s="402"/>
      <c r="AH184" s="402"/>
      <c r="AI184" s="402"/>
      <c r="AJ184" s="402"/>
      <c r="AK184" s="402"/>
      <c r="AL184" s="402"/>
      <c r="AM184" s="402"/>
      <c r="AN184" s="402"/>
      <c r="AO184" s="402"/>
      <c r="AP184" s="41"/>
      <c r="AQ184" s="86"/>
      <c r="AR184" s="86"/>
      <c r="AS184" s="86"/>
    </row>
    <row r="185" spans="2:45" x14ac:dyDescent="0.15">
      <c r="C185" s="86"/>
      <c r="D185" s="86"/>
      <c r="E185" s="93"/>
      <c r="F185" s="247"/>
      <c r="G185" s="93"/>
      <c r="H185" s="93"/>
      <c r="I185" s="258"/>
      <c r="J185" s="248"/>
      <c r="K185" s="248"/>
      <c r="L185" s="248"/>
      <c r="M185" s="248"/>
      <c r="N185" s="248"/>
      <c r="O185" s="248"/>
      <c r="P185" s="248"/>
      <c r="Q185" s="248"/>
      <c r="R185" s="248"/>
      <c r="S185" s="248"/>
      <c r="T185" s="248"/>
      <c r="U185" s="248"/>
      <c r="V185" s="248"/>
      <c r="W185" s="86"/>
      <c r="X185" s="296" t="s">
        <v>212</v>
      </c>
      <c r="Y185" s="296"/>
      <c r="Z185" s="296"/>
      <c r="AA185" s="296"/>
      <c r="AB185" s="296"/>
      <c r="AC185" s="296"/>
      <c r="AD185" s="296"/>
      <c r="AE185" s="296"/>
      <c r="AF185" s="296"/>
      <c r="AG185" s="296"/>
      <c r="AH185" s="296"/>
      <c r="AI185" s="296"/>
      <c r="AJ185" s="296"/>
      <c r="AK185" s="296"/>
      <c r="AL185" s="296"/>
      <c r="AM185" s="296"/>
      <c r="AN185" s="296"/>
      <c r="AO185" s="296"/>
      <c r="AP185" s="41"/>
      <c r="AQ185" s="86"/>
      <c r="AR185" s="86"/>
      <c r="AS185" s="86"/>
    </row>
    <row r="186" spans="2:45" ht="14.25" thickBot="1" x14ac:dyDescent="0.2">
      <c r="C186" s="46"/>
      <c r="D186" s="46"/>
      <c r="E186" s="47"/>
      <c r="F186" s="246"/>
      <c r="G186" s="47"/>
      <c r="H186" s="47"/>
      <c r="I186" s="257"/>
      <c r="J186" s="245"/>
      <c r="K186" s="245"/>
      <c r="L186" s="245"/>
      <c r="M186" s="245"/>
      <c r="N186" s="245"/>
      <c r="O186" s="245"/>
      <c r="P186" s="245"/>
      <c r="Q186" s="245"/>
      <c r="R186" s="245"/>
      <c r="S186" s="245"/>
      <c r="T186" s="245"/>
      <c r="U186" s="245"/>
      <c r="V186" s="245"/>
      <c r="W186" s="46"/>
      <c r="X186" s="296" t="s">
        <v>212</v>
      </c>
      <c r="Y186" s="296"/>
      <c r="Z186" s="296"/>
      <c r="AA186" s="296"/>
      <c r="AB186" s="296"/>
      <c r="AC186" s="296"/>
      <c r="AD186" s="296"/>
      <c r="AE186" s="296"/>
      <c r="AF186" s="296"/>
      <c r="AG186" s="296"/>
      <c r="AH186" s="296"/>
      <c r="AI186" s="296"/>
      <c r="AJ186" s="296"/>
      <c r="AK186" s="296"/>
      <c r="AL186" s="296"/>
      <c r="AM186" s="296"/>
      <c r="AN186" s="296"/>
      <c r="AO186" s="296"/>
      <c r="AP186" s="41"/>
      <c r="AQ186" s="86"/>
      <c r="AR186" s="86"/>
      <c r="AS186" s="86"/>
    </row>
    <row r="187" spans="2:45" ht="18" customHeight="1" thickBot="1" x14ac:dyDescent="0.2">
      <c r="B187" s="42">
        <v>5</v>
      </c>
      <c r="C187" s="46"/>
      <c r="D187" s="82" t="s">
        <v>160</v>
      </c>
      <c r="E187" s="48" t="s">
        <v>72</v>
      </c>
      <c r="F187" s="80"/>
      <c r="G187" s="46"/>
      <c r="H187" s="109"/>
      <c r="I187" s="255"/>
      <c r="J187" s="366" t="str">
        <f>IFERROR(VLOOKUP($F187,補助対象機器一覧20220831!$A$2:$K$200,2,FALSE),"")</f>
        <v/>
      </c>
      <c r="K187" s="367"/>
      <c r="L187" s="368"/>
      <c r="M187" s="245"/>
      <c r="N187" s="366" t="str">
        <f>IFERROR(VLOOKUP($F187,補助対象機器一覧20220831!$A$2:$K$200,7,FALSE),"")</f>
        <v/>
      </c>
      <c r="O187" s="367"/>
      <c r="P187" s="368"/>
      <c r="Q187" s="245"/>
      <c r="R187" s="366" t="str">
        <f>IFERROR(VLOOKUP($F187,補助対象機器一覧20220831!$A$2:$K$200,8,FALSE),"")</f>
        <v/>
      </c>
      <c r="S187" s="367"/>
      <c r="T187" s="368"/>
      <c r="U187" s="245"/>
      <c r="V187" s="244" t="str">
        <f>IFERROR(VLOOKUP($F187,補助対象機器一覧20220831!$A$2:$K$200,9,FALSE),"")</f>
        <v/>
      </c>
      <c r="W187" s="46"/>
      <c r="X187" s="402" t="str">
        <f>IF($B187&lt;=入力シート!$F$85,""&amp;中間シート!X526,"")</f>
        <v/>
      </c>
      <c r="Y187" s="402"/>
      <c r="Z187" s="402"/>
      <c r="AA187" s="402"/>
      <c r="AB187" s="402"/>
      <c r="AC187" s="402"/>
      <c r="AD187" s="402"/>
      <c r="AE187" s="402"/>
      <c r="AF187" s="402"/>
      <c r="AG187" s="402"/>
      <c r="AH187" s="402"/>
      <c r="AI187" s="402"/>
      <c r="AJ187" s="402"/>
      <c r="AK187" s="402"/>
      <c r="AL187" s="402"/>
      <c r="AM187" s="402"/>
      <c r="AN187" s="402"/>
      <c r="AO187" s="402"/>
      <c r="AQ187" s="81">
        <f>IF(J187&lt;&gt;"",1,IF(H187="なし",2,0))</f>
        <v>0</v>
      </c>
      <c r="AR187" s="86"/>
      <c r="AS187" s="86"/>
    </row>
    <row r="188" spans="2:45" ht="5.0999999999999996" customHeight="1" thickBot="1" x14ac:dyDescent="0.2">
      <c r="C188" s="46"/>
      <c r="D188" s="46"/>
      <c r="E188" s="48"/>
      <c r="F188" s="245"/>
      <c r="G188" s="46"/>
      <c r="H188" s="46"/>
      <c r="I188" s="255"/>
      <c r="J188" s="245"/>
      <c r="K188" s="245"/>
      <c r="L188" s="245"/>
      <c r="M188" s="245"/>
      <c r="N188" s="245"/>
      <c r="O188" s="245"/>
      <c r="P188" s="245"/>
      <c r="Q188" s="245"/>
      <c r="R188" s="245"/>
      <c r="S188" s="245"/>
      <c r="T188" s="245"/>
      <c r="U188" s="245"/>
      <c r="V188" s="245"/>
      <c r="W188" s="46"/>
      <c r="X188" s="402"/>
      <c r="Y188" s="402"/>
      <c r="Z188" s="402"/>
      <c r="AA188" s="402"/>
      <c r="AB188" s="402"/>
      <c r="AC188" s="402"/>
      <c r="AD188" s="402"/>
      <c r="AE188" s="402"/>
      <c r="AF188" s="402"/>
      <c r="AG188" s="402"/>
      <c r="AH188" s="402"/>
      <c r="AI188" s="402"/>
      <c r="AJ188" s="402"/>
      <c r="AK188" s="402"/>
      <c r="AL188" s="402"/>
      <c r="AM188" s="402"/>
      <c r="AN188" s="402"/>
      <c r="AO188" s="402"/>
      <c r="AP188" s="41"/>
      <c r="AQ188" s="86"/>
      <c r="AR188" s="86"/>
      <c r="AS188" s="86"/>
    </row>
    <row r="189" spans="2:45" ht="18" customHeight="1" thickBot="1" x14ac:dyDescent="0.2">
      <c r="B189" s="42">
        <v>5</v>
      </c>
      <c r="C189" s="46"/>
      <c r="D189" s="82"/>
      <c r="E189" s="48"/>
      <c r="F189" s="246"/>
      <c r="G189" s="46"/>
      <c r="H189" s="46"/>
      <c r="I189" s="261" t="str">
        <f>IF(AQ187=2,"入力してください→",IF(AQ187=1,"入力不要です→",""))</f>
        <v/>
      </c>
      <c r="J189" s="387"/>
      <c r="K189" s="388"/>
      <c r="L189" s="389"/>
      <c r="M189" s="245"/>
      <c r="N189" s="387"/>
      <c r="O189" s="388"/>
      <c r="P189" s="389"/>
      <c r="Q189" s="245"/>
      <c r="R189" s="387"/>
      <c r="S189" s="388"/>
      <c r="T189" s="389"/>
      <c r="U189" s="245"/>
      <c r="V189" s="249"/>
      <c r="W189" s="46"/>
      <c r="X189" s="402"/>
      <c r="Y189" s="402"/>
      <c r="Z189" s="402"/>
      <c r="AA189" s="402"/>
      <c r="AB189" s="402"/>
      <c r="AC189" s="402"/>
      <c r="AD189" s="402"/>
      <c r="AE189" s="402"/>
      <c r="AF189" s="402"/>
      <c r="AG189" s="402"/>
      <c r="AH189" s="402"/>
      <c r="AI189" s="402"/>
      <c r="AJ189" s="402"/>
      <c r="AK189" s="402"/>
      <c r="AL189" s="402"/>
      <c r="AM189" s="402"/>
      <c r="AN189" s="402"/>
      <c r="AO189" s="402"/>
      <c r="AQ189" s="86"/>
      <c r="AR189" s="86"/>
      <c r="AS189" s="86"/>
    </row>
    <row r="190" spans="2:45" ht="5.0999999999999996" customHeight="1" thickBot="1" x14ac:dyDescent="0.2">
      <c r="C190" s="46"/>
      <c r="D190" s="46"/>
      <c r="E190" s="48"/>
      <c r="F190" s="245"/>
      <c r="G190" s="47"/>
      <c r="H190" s="47"/>
      <c r="I190" s="255"/>
      <c r="J190" s="245"/>
      <c r="K190" s="245"/>
      <c r="L190" s="245"/>
      <c r="M190" s="245"/>
      <c r="N190" s="245"/>
      <c r="O190" s="245"/>
      <c r="P190" s="245"/>
      <c r="Q190" s="245"/>
      <c r="R190" s="245"/>
      <c r="S190" s="245"/>
      <c r="T190" s="245"/>
      <c r="U190" s="245"/>
      <c r="V190" s="245"/>
      <c r="W190" s="46"/>
      <c r="X190" s="296" t="s">
        <v>212</v>
      </c>
      <c r="Y190" s="296"/>
      <c r="Z190" s="296"/>
      <c r="AA190" s="296"/>
      <c r="AB190" s="296"/>
      <c r="AC190" s="296"/>
      <c r="AD190" s="296"/>
      <c r="AE190" s="296"/>
      <c r="AF190" s="296"/>
      <c r="AG190" s="296"/>
      <c r="AH190" s="296"/>
      <c r="AI190" s="296"/>
      <c r="AJ190" s="296"/>
      <c r="AK190" s="296"/>
      <c r="AL190" s="296"/>
      <c r="AM190" s="296"/>
      <c r="AN190" s="296"/>
      <c r="AO190" s="296"/>
      <c r="AP190" s="41"/>
      <c r="AQ190" s="86"/>
      <c r="AR190" s="86"/>
      <c r="AS190" s="86"/>
    </row>
    <row r="191" spans="2:45" ht="18" customHeight="1" thickBot="1" x14ac:dyDescent="0.2">
      <c r="B191" s="42">
        <v>5</v>
      </c>
      <c r="C191" s="46"/>
      <c r="D191" s="46"/>
      <c r="E191" s="48" t="s">
        <v>73</v>
      </c>
      <c r="F191" s="80"/>
      <c r="G191" s="47"/>
      <c r="H191" s="109"/>
      <c r="I191" s="255"/>
      <c r="J191" s="366" t="str">
        <f>IFERROR(VLOOKUP($F191,補助対象機器一覧20220831!$A$2:$K$200,2,FALSE),"")</f>
        <v/>
      </c>
      <c r="K191" s="367"/>
      <c r="L191" s="368"/>
      <c r="M191" s="245"/>
      <c r="N191" s="366" t="str">
        <f>IFERROR(VLOOKUP($F191,補助対象機器一覧20220831!$A$2:$K$200,7,FALSE),"")</f>
        <v/>
      </c>
      <c r="O191" s="367"/>
      <c r="P191" s="368"/>
      <c r="Q191" s="245"/>
      <c r="R191" s="366" t="str">
        <f>IFERROR(VLOOKUP($F191,補助対象機器一覧20220831!$A$2:$K$200,8,FALSE),"")</f>
        <v/>
      </c>
      <c r="S191" s="367"/>
      <c r="T191" s="368"/>
      <c r="U191" s="245"/>
      <c r="V191" s="244" t="str">
        <f>IFERROR(VLOOKUP($F191,補助対象機器一覧20220831!$A$2:$K$200,9,FALSE),"")</f>
        <v/>
      </c>
      <c r="W191" s="46"/>
      <c r="X191" s="402" t="str">
        <f>IF($B191&lt;=入力シート!$F$85,""&amp;中間シート!X527,"")</f>
        <v/>
      </c>
      <c r="Y191" s="402"/>
      <c r="Z191" s="402"/>
      <c r="AA191" s="402"/>
      <c r="AB191" s="402"/>
      <c r="AC191" s="402"/>
      <c r="AD191" s="402"/>
      <c r="AE191" s="402"/>
      <c r="AF191" s="402"/>
      <c r="AG191" s="402"/>
      <c r="AH191" s="402"/>
      <c r="AI191" s="402"/>
      <c r="AJ191" s="402"/>
      <c r="AK191" s="402"/>
      <c r="AL191" s="402"/>
      <c r="AM191" s="402"/>
      <c r="AN191" s="402"/>
      <c r="AO191" s="402"/>
      <c r="AP191" s="41"/>
      <c r="AQ191" s="81">
        <f>IF(J191&lt;&gt;"",1,IF(H191="なし",2,0))</f>
        <v>0</v>
      </c>
      <c r="AR191" s="86"/>
      <c r="AS191" s="86"/>
    </row>
    <row r="192" spans="2:45" ht="5.0999999999999996" customHeight="1" thickBot="1" x14ac:dyDescent="0.2">
      <c r="C192" s="46"/>
      <c r="D192" s="46"/>
      <c r="E192" s="48"/>
      <c r="F192" s="246"/>
      <c r="G192" s="47"/>
      <c r="H192" s="47"/>
      <c r="I192" s="255"/>
      <c r="J192" s="246"/>
      <c r="K192" s="246"/>
      <c r="L192" s="246"/>
      <c r="M192" s="245"/>
      <c r="N192" s="246"/>
      <c r="O192" s="246"/>
      <c r="P192" s="246"/>
      <c r="Q192" s="245"/>
      <c r="R192" s="246"/>
      <c r="S192" s="246"/>
      <c r="T192" s="246"/>
      <c r="U192" s="245"/>
      <c r="V192" s="246"/>
      <c r="W192" s="46"/>
      <c r="X192" s="402"/>
      <c r="Y192" s="402"/>
      <c r="Z192" s="402"/>
      <c r="AA192" s="402"/>
      <c r="AB192" s="402"/>
      <c r="AC192" s="402"/>
      <c r="AD192" s="402"/>
      <c r="AE192" s="402"/>
      <c r="AF192" s="402"/>
      <c r="AG192" s="402"/>
      <c r="AH192" s="402"/>
      <c r="AI192" s="402"/>
      <c r="AJ192" s="402"/>
      <c r="AK192" s="402"/>
      <c r="AL192" s="402"/>
      <c r="AM192" s="402"/>
      <c r="AN192" s="402"/>
      <c r="AO192" s="402"/>
      <c r="AP192" s="41"/>
      <c r="AQ192" s="86"/>
      <c r="AR192" s="86"/>
      <c r="AS192" s="86"/>
    </row>
    <row r="193" spans="2:45" ht="18" customHeight="1" thickBot="1" x14ac:dyDescent="0.2">
      <c r="B193" s="42">
        <v>5</v>
      </c>
      <c r="C193" s="46"/>
      <c r="D193" s="46"/>
      <c r="E193" s="48"/>
      <c r="F193" s="246"/>
      <c r="G193" s="47"/>
      <c r="H193" s="47"/>
      <c r="I193" s="261" t="str">
        <f>IF(AQ191=2,"入力してください→",IF(AQ191=1,"入力不要です→",""))</f>
        <v/>
      </c>
      <c r="J193" s="387"/>
      <c r="K193" s="388"/>
      <c r="L193" s="389"/>
      <c r="M193" s="245"/>
      <c r="N193" s="387"/>
      <c r="O193" s="388"/>
      <c r="P193" s="389"/>
      <c r="Q193" s="245"/>
      <c r="R193" s="387"/>
      <c r="S193" s="388"/>
      <c r="T193" s="389"/>
      <c r="U193" s="245"/>
      <c r="V193" s="249"/>
      <c r="W193" s="46"/>
      <c r="X193" s="402"/>
      <c r="Y193" s="402"/>
      <c r="Z193" s="402"/>
      <c r="AA193" s="402"/>
      <c r="AB193" s="402"/>
      <c r="AC193" s="402"/>
      <c r="AD193" s="402"/>
      <c r="AE193" s="402"/>
      <c r="AF193" s="402"/>
      <c r="AG193" s="402"/>
      <c r="AH193" s="402"/>
      <c r="AI193" s="402"/>
      <c r="AJ193" s="402"/>
      <c r="AK193" s="402"/>
      <c r="AL193" s="402"/>
      <c r="AM193" s="402"/>
      <c r="AN193" s="402"/>
      <c r="AO193" s="402"/>
      <c r="AP193" s="41"/>
      <c r="AQ193" s="86"/>
      <c r="AR193" s="86"/>
      <c r="AS193" s="86"/>
    </row>
    <row r="194" spans="2:45" ht="5.0999999999999996" customHeight="1" thickBot="1" x14ac:dyDescent="0.2">
      <c r="C194" s="46"/>
      <c r="D194" s="46"/>
      <c r="E194" s="48"/>
      <c r="F194" s="246"/>
      <c r="G194" s="47"/>
      <c r="H194" s="47"/>
      <c r="I194" s="255"/>
      <c r="J194" s="246"/>
      <c r="K194" s="246"/>
      <c r="L194" s="246"/>
      <c r="M194" s="245"/>
      <c r="N194" s="246"/>
      <c r="O194" s="246"/>
      <c r="P194" s="246"/>
      <c r="Q194" s="245"/>
      <c r="R194" s="246"/>
      <c r="S194" s="246"/>
      <c r="T194" s="246"/>
      <c r="U194" s="245"/>
      <c r="V194" s="246"/>
      <c r="W194" s="46"/>
      <c r="X194" s="296" t="s">
        <v>212</v>
      </c>
      <c r="Y194" s="296"/>
      <c r="Z194" s="296"/>
      <c r="AA194" s="296"/>
      <c r="AB194" s="296"/>
      <c r="AC194" s="296"/>
      <c r="AD194" s="296"/>
      <c r="AE194" s="296"/>
      <c r="AF194" s="296"/>
      <c r="AG194" s="296"/>
      <c r="AH194" s="296"/>
      <c r="AI194" s="296"/>
      <c r="AJ194" s="296"/>
      <c r="AK194" s="296"/>
      <c r="AL194" s="296"/>
      <c r="AM194" s="296"/>
      <c r="AN194" s="296"/>
      <c r="AO194" s="296"/>
      <c r="AP194" s="41"/>
      <c r="AQ194" s="86"/>
      <c r="AR194" s="86"/>
      <c r="AS194" s="86"/>
    </row>
    <row r="195" spans="2:45" ht="18" customHeight="1" thickBot="1" x14ac:dyDescent="0.2">
      <c r="B195" s="42">
        <v>5</v>
      </c>
      <c r="C195" s="46"/>
      <c r="D195" s="46"/>
      <c r="E195" s="48" t="s">
        <v>74</v>
      </c>
      <c r="F195" s="80"/>
      <c r="G195" s="47"/>
      <c r="H195" s="109"/>
      <c r="I195" s="255"/>
      <c r="J195" s="366" t="str">
        <f>IFERROR(VLOOKUP($F195,補助対象機器一覧20220831!$A$2:$K$200,2,FALSE),"")</f>
        <v/>
      </c>
      <c r="K195" s="367"/>
      <c r="L195" s="368"/>
      <c r="M195" s="245"/>
      <c r="N195" s="366" t="str">
        <f>IFERROR(VLOOKUP($F195,補助対象機器一覧20220831!$A$2:$K$200,7,FALSE),"")</f>
        <v/>
      </c>
      <c r="O195" s="367"/>
      <c r="P195" s="368"/>
      <c r="Q195" s="245"/>
      <c r="R195" s="366" t="str">
        <f>IFERROR(VLOOKUP($F195,補助対象機器一覧20220831!$A$2:$K$200,8,FALSE),"")</f>
        <v/>
      </c>
      <c r="S195" s="367"/>
      <c r="T195" s="368"/>
      <c r="U195" s="245"/>
      <c r="V195" s="244" t="str">
        <f>IFERROR(VLOOKUP($F195,補助対象機器一覧20220831!$A$2:$K$200,9,FALSE),"")</f>
        <v/>
      </c>
      <c r="W195" s="46"/>
      <c r="X195" s="402" t="str">
        <f>IF($B195&lt;=入力シート!$F$85,""&amp;中間シート!X528,"")</f>
        <v/>
      </c>
      <c r="Y195" s="402"/>
      <c r="Z195" s="402"/>
      <c r="AA195" s="402"/>
      <c r="AB195" s="402"/>
      <c r="AC195" s="402"/>
      <c r="AD195" s="402"/>
      <c r="AE195" s="402"/>
      <c r="AF195" s="402"/>
      <c r="AG195" s="402"/>
      <c r="AH195" s="402"/>
      <c r="AI195" s="402"/>
      <c r="AJ195" s="402"/>
      <c r="AK195" s="402"/>
      <c r="AL195" s="402"/>
      <c r="AM195" s="402"/>
      <c r="AN195" s="402"/>
      <c r="AO195" s="402"/>
      <c r="AP195" s="41"/>
      <c r="AQ195" s="81">
        <f>IF(J195&lt;&gt;"",1,IF(H195="なし",2,0))</f>
        <v>0</v>
      </c>
      <c r="AR195" s="86"/>
      <c r="AS195" s="86"/>
    </row>
    <row r="196" spans="2:45" ht="5.0999999999999996" customHeight="1" thickBot="1" x14ac:dyDescent="0.2">
      <c r="C196" s="46"/>
      <c r="D196" s="46"/>
      <c r="E196" s="48"/>
      <c r="F196" s="246"/>
      <c r="G196" s="47"/>
      <c r="H196" s="47"/>
      <c r="I196" s="255"/>
      <c r="J196" s="246"/>
      <c r="K196" s="246"/>
      <c r="L196" s="246"/>
      <c r="M196" s="245"/>
      <c r="N196" s="246"/>
      <c r="O196" s="246"/>
      <c r="P196" s="246"/>
      <c r="Q196" s="245"/>
      <c r="R196" s="246"/>
      <c r="S196" s="246"/>
      <c r="T196" s="246"/>
      <c r="U196" s="245"/>
      <c r="V196" s="246"/>
      <c r="W196" s="46"/>
      <c r="X196" s="402"/>
      <c r="Y196" s="402"/>
      <c r="Z196" s="402"/>
      <c r="AA196" s="402"/>
      <c r="AB196" s="402"/>
      <c r="AC196" s="402"/>
      <c r="AD196" s="402"/>
      <c r="AE196" s="402"/>
      <c r="AF196" s="402"/>
      <c r="AG196" s="402"/>
      <c r="AH196" s="402"/>
      <c r="AI196" s="402"/>
      <c r="AJ196" s="402"/>
      <c r="AK196" s="402"/>
      <c r="AL196" s="402"/>
      <c r="AM196" s="402"/>
      <c r="AN196" s="402"/>
      <c r="AO196" s="402"/>
      <c r="AP196" s="41"/>
      <c r="AQ196" s="86"/>
      <c r="AR196" s="86"/>
      <c r="AS196" s="86"/>
    </row>
    <row r="197" spans="2:45" ht="18" customHeight="1" thickBot="1" x14ac:dyDescent="0.2">
      <c r="B197" s="42">
        <v>5</v>
      </c>
      <c r="C197" s="46"/>
      <c r="D197" s="46"/>
      <c r="E197" s="47"/>
      <c r="F197" s="246"/>
      <c r="G197" s="47"/>
      <c r="H197" s="47"/>
      <c r="I197" s="261" t="str">
        <f>IF(AQ195=2,"入力してください→",IF(AQ195=1,"入力不要です→",""))</f>
        <v/>
      </c>
      <c r="J197" s="387"/>
      <c r="K197" s="388"/>
      <c r="L197" s="389"/>
      <c r="M197" s="245"/>
      <c r="N197" s="387"/>
      <c r="O197" s="388"/>
      <c r="P197" s="389"/>
      <c r="Q197" s="245"/>
      <c r="R197" s="387"/>
      <c r="S197" s="388"/>
      <c r="T197" s="389"/>
      <c r="U197" s="245"/>
      <c r="V197" s="249"/>
      <c r="W197" s="46"/>
      <c r="X197" s="402"/>
      <c r="Y197" s="402"/>
      <c r="Z197" s="402"/>
      <c r="AA197" s="402"/>
      <c r="AB197" s="402"/>
      <c r="AC197" s="402"/>
      <c r="AD197" s="402"/>
      <c r="AE197" s="402"/>
      <c r="AF197" s="402"/>
      <c r="AG197" s="402"/>
      <c r="AH197" s="402"/>
      <c r="AI197" s="402"/>
      <c r="AJ197" s="402"/>
      <c r="AK197" s="402"/>
      <c r="AL197" s="402"/>
      <c r="AM197" s="402"/>
      <c r="AN197" s="402"/>
      <c r="AO197" s="402"/>
      <c r="AP197" s="41"/>
      <c r="AQ197" s="86"/>
      <c r="AR197" s="86"/>
      <c r="AS197" s="86"/>
    </row>
    <row r="198" spans="2:45" x14ac:dyDescent="0.15">
      <c r="C198" s="46"/>
      <c r="D198" s="46"/>
      <c r="E198" s="47"/>
      <c r="F198" s="246"/>
      <c r="G198" s="47"/>
      <c r="H198" s="47"/>
      <c r="I198" s="257"/>
      <c r="J198" s="245"/>
      <c r="K198" s="245"/>
      <c r="L198" s="245"/>
      <c r="M198" s="245"/>
      <c r="N198" s="245"/>
      <c r="O198" s="245"/>
      <c r="P198" s="245"/>
      <c r="Q198" s="245"/>
      <c r="R198" s="245"/>
      <c r="S198" s="245"/>
      <c r="T198" s="245"/>
      <c r="U198" s="245"/>
      <c r="V198" s="245"/>
      <c r="W198" s="46"/>
      <c r="X198" s="296" t="s">
        <v>212</v>
      </c>
      <c r="Y198" s="296"/>
      <c r="Z198" s="296"/>
      <c r="AA198" s="296"/>
      <c r="AB198" s="296"/>
      <c r="AC198" s="296"/>
      <c r="AD198" s="296"/>
      <c r="AE198" s="296"/>
      <c r="AF198" s="296"/>
      <c r="AG198" s="296"/>
      <c r="AH198" s="296"/>
      <c r="AI198" s="296"/>
      <c r="AJ198" s="296"/>
      <c r="AK198" s="296"/>
      <c r="AL198" s="296"/>
      <c r="AM198" s="296"/>
      <c r="AN198" s="296"/>
      <c r="AO198" s="296"/>
      <c r="AP198" s="41"/>
      <c r="AQ198" s="86"/>
      <c r="AR198" s="86"/>
      <c r="AS198" s="86"/>
    </row>
    <row r="199" spans="2:45" ht="14.25" thickBot="1" x14ac:dyDescent="0.2">
      <c r="C199" s="86"/>
      <c r="D199" s="86"/>
      <c r="E199" s="93"/>
      <c r="F199" s="247"/>
      <c r="G199" s="93"/>
      <c r="H199" s="93"/>
      <c r="I199" s="258"/>
      <c r="J199" s="248"/>
      <c r="K199" s="248"/>
      <c r="L199" s="248"/>
      <c r="M199" s="248"/>
      <c r="N199" s="248"/>
      <c r="O199" s="248"/>
      <c r="P199" s="248"/>
      <c r="Q199" s="248"/>
      <c r="R199" s="248"/>
      <c r="S199" s="248"/>
      <c r="T199" s="248"/>
      <c r="U199" s="248"/>
      <c r="V199" s="248"/>
      <c r="W199" s="86"/>
      <c r="X199" s="296" t="s">
        <v>212</v>
      </c>
      <c r="Y199" s="296"/>
      <c r="Z199" s="296"/>
      <c r="AA199" s="296"/>
      <c r="AB199" s="296"/>
      <c r="AC199" s="296"/>
      <c r="AD199" s="296"/>
      <c r="AE199" s="296"/>
      <c r="AF199" s="296"/>
      <c r="AG199" s="296"/>
      <c r="AH199" s="296"/>
      <c r="AI199" s="296"/>
      <c r="AJ199" s="296"/>
      <c r="AK199" s="296"/>
      <c r="AL199" s="296"/>
      <c r="AM199" s="296"/>
      <c r="AN199" s="296"/>
      <c r="AO199" s="296"/>
      <c r="AP199" s="41"/>
      <c r="AQ199" s="86"/>
      <c r="AR199" s="86"/>
      <c r="AS199" s="86"/>
    </row>
    <row r="200" spans="2:45" ht="18" customHeight="1" thickBot="1" x14ac:dyDescent="0.2">
      <c r="B200" s="42">
        <v>6</v>
      </c>
      <c r="C200" s="86"/>
      <c r="D200" s="94" t="s">
        <v>161</v>
      </c>
      <c r="E200" s="95" t="s">
        <v>72</v>
      </c>
      <c r="F200" s="80"/>
      <c r="G200" s="86"/>
      <c r="H200" s="80"/>
      <c r="I200" s="259"/>
      <c r="J200" s="366" t="str">
        <f>IFERROR(VLOOKUP($F200,補助対象機器一覧20220831!$A$2:$K$200,2,FALSE),"")</f>
        <v/>
      </c>
      <c r="K200" s="367"/>
      <c r="L200" s="368"/>
      <c r="M200" s="248"/>
      <c r="N200" s="366" t="str">
        <f>IFERROR(VLOOKUP($F200,補助対象機器一覧20220831!$A$2:$K$200,7,FALSE),"")</f>
        <v/>
      </c>
      <c r="O200" s="367"/>
      <c r="P200" s="368"/>
      <c r="Q200" s="248"/>
      <c r="R200" s="366" t="str">
        <f>IFERROR(VLOOKUP($F200,補助対象機器一覧20220831!$A$2:$K$200,8,FALSE),"")</f>
        <v/>
      </c>
      <c r="S200" s="367"/>
      <c r="T200" s="368"/>
      <c r="U200" s="248"/>
      <c r="V200" s="244" t="str">
        <f>IFERROR(VLOOKUP($F200,補助対象機器一覧20220831!$A$2:$K$200,9,FALSE),"")</f>
        <v/>
      </c>
      <c r="W200" s="86"/>
      <c r="X200" s="402" t="str">
        <f>IF($B200&lt;=入力シート!$F$85,""&amp;中間シート!X529,"")</f>
        <v/>
      </c>
      <c r="Y200" s="402"/>
      <c r="Z200" s="402"/>
      <c r="AA200" s="402"/>
      <c r="AB200" s="402"/>
      <c r="AC200" s="402"/>
      <c r="AD200" s="402"/>
      <c r="AE200" s="402"/>
      <c r="AF200" s="402"/>
      <c r="AG200" s="402"/>
      <c r="AH200" s="402"/>
      <c r="AI200" s="402"/>
      <c r="AJ200" s="402"/>
      <c r="AK200" s="402"/>
      <c r="AL200" s="402"/>
      <c r="AM200" s="402"/>
      <c r="AN200" s="402"/>
      <c r="AO200" s="402"/>
      <c r="AP200" s="41"/>
      <c r="AQ200" s="81">
        <f>IF(J200&lt;&gt;"",1,IF(H200="なし",2,0))</f>
        <v>0</v>
      </c>
      <c r="AR200" s="86"/>
      <c r="AS200" s="86"/>
    </row>
    <row r="201" spans="2:45" ht="5.0999999999999996" customHeight="1" thickBot="1" x14ac:dyDescent="0.2">
      <c r="C201" s="86"/>
      <c r="D201" s="94"/>
      <c r="E201" s="95"/>
      <c r="F201" s="248"/>
      <c r="G201" s="86"/>
      <c r="H201" s="86"/>
      <c r="I201" s="259"/>
      <c r="J201" s="248"/>
      <c r="K201" s="248"/>
      <c r="L201" s="248"/>
      <c r="M201" s="248"/>
      <c r="N201" s="248"/>
      <c r="O201" s="248"/>
      <c r="P201" s="248"/>
      <c r="Q201" s="248"/>
      <c r="R201" s="248"/>
      <c r="S201" s="248"/>
      <c r="T201" s="248"/>
      <c r="U201" s="248"/>
      <c r="V201" s="248"/>
      <c r="W201" s="86"/>
      <c r="X201" s="402"/>
      <c r="Y201" s="402"/>
      <c r="Z201" s="402"/>
      <c r="AA201" s="402"/>
      <c r="AB201" s="402"/>
      <c r="AC201" s="402"/>
      <c r="AD201" s="402"/>
      <c r="AE201" s="402"/>
      <c r="AF201" s="402"/>
      <c r="AG201" s="402"/>
      <c r="AH201" s="402"/>
      <c r="AI201" s="402"/>
      <c r="AJ201" s="402"/>
      <c r="AK201" s="402"/>
      <c r="AL201" s="402"/>
      <c r="AM201" s="402"/>
      <c r="AN201" s="402"/>
      <c r="AO201" s="402"/>
      <c r="AP201" s="41"/>
      <c r="AQ201" s="86"/>
      <c r="AR201" s="86"/>
      <c r="AS201" s="86"/>
    </row>
    <row r="202" spans="2:45" ht="18" customHeight="1" thickBot="1" x14ac:dyDescent="0.2">
      <c r="B202" s="42">
        <v>6</v>
      </c>
      <c r="C202" s="86"/>
      <c r="D202" s="94"/>
      <c r="E202" s="95"/>
      <c r="F202" s="247"/>
      <c r="G202" s="86"/>
      <c r="H202" s="86"/>
      <c r="I202" s="260" t="str">
        <f>IF(AQ200=2,"入力してください→",IF(AQ200=1,"入力不要です→",""))</f>
        <v/>
      </c>
      <c r="J202" s="387"/>
      <c r="K202" s="388"/>
      <c r="L202" s="389"/>
      <c r="M202" s="248"/>
      <c r="N202" s="387"/>
      <c r="O202" s="388"/>
      <c r="P202" s="389"/>
      <c r="Q202" s="248"/>
      <c r="R202" s="387"/>
      <c r="S202" s="388"/>
      <c r="T202" s="389"/>
      <c r="U202" s="248"/>
      <c r="V202" s="249"/>
      <c r="W202" s="86"/>
      <c r="X202" s="402"/>
      <c r="Y202" s="402"/>
      <c r="Z202" s="402"/>
      <c r="AA202" s="402"/>
      <c r="AB202" s="402"/>
      <c r="AC202" s="402"/>
      <c r="AD202" s="402"/>
      <c r="AE202" s="402"/>
      <c r="AF202" s="402"/>
      <c r="AG202" s="402"/>
      <c r="AH202" s="402"/>
      <c r="AI202" s="402"/>
      <c r="AJ202" s="402"/>
      <c r="AK202" s="402"/>
      <c r="AL202" s="402"/>
      <c r="AM202" s="402"/>
      <c r="AN202" s="402"/>
      <c r="AO202" s="402"/>
      <c r="AP202" s="41"/>
      <c r="AQ202" s="86"/>
      <c r="AR202" s="86"/>
      <c r="AS202" s="86"/>
    </row>
    <row r="203" spans="2:45" ht="5.0999999999999996" customHeight="1" thickBot="1" x14ac:dyDescent="0.2">
      <c r="C203" s="86"/>
      <c r="D203" s="86"/>
      <c r="E203" s="93"/>
      <c r="F203" s="248"/>
      <c r="G203" s="93"/>
      <c r="H203" s="93"/>
      <c r="I203" s="259"/>
      <c r="J203" s="248"/>
      <c r="K203" s="248"/>
      <c r="L203" s="248"/>
      <c r="M203" s="248"/>
      <c r="N203" s="248"/>
      <c r="O203" s="248"/>
      <c r="P203" s="248"/>
      <c r="Q203" s="248"/>
      <c r="R203" s="248"/>
      <c r="S203" s="248"/>
      <c r="T203" s="248"/>
      <c r="U203" s="248"/>
      <c r="V203" s="248"/>
      <c r="W203" s="86"/>
      <c r="X203" s="296" t="s">
        <v>212</v>
      </c>
      <c r="Y203" s="296"/>
      <c r="Z203" s="296"/>
      <c r="AA203" s="296"/>
      <c r="AB203" s="296"/>
      <c r="AC203" s="296"/>
      <c r="AD203" s="296"/>
      <c r="AE203" s="296"/>
      <c r="AF203" s="296"/>
      <c r="AG203" s="296"/>
      <c r="AH203" s="296"/>
      <c r="AI203" s="296"/>
      <c r="AJ203" s="296"/>
      <c r="AK203" s="296"/>
      <c r="AL203" s="296"/>
      <c r="AM203" s="296"/>
      <c r="AN203" s="296"/>
      <c r="AO203" s="296"/>
      <c r="AP203" s="41"/>
      <c r="AQ203" s="86"/>
      <c r="AR203" s="86"/>
      <c r="AS203" s="86"/>
    </row>
    <row r="204" spans="2:45" ht="18" customHeight="1" thickBot="1" x14ac:dyDescent="0.2">
      <c r="B204" s="42">
        <v>6</v>
      </c>
      <c r="C204" s="86"/>
      <c r="D204" s="86"/>
      <c r="E204" s="95" t="s">
        <v>73</v>
      </c>
      <c r="F204" s="80"/>
      <c r="G204" s="93"/>
      <c r="H204" s="80"/>
      <c r="I204" s="259"/>
      <c r="J204" s="366" t="str">
        <f>IFERROR(VLOOKUP($F204,補助対象機器一覧20220831!$A$2:$K$200,2,FALSE),"")</f>
        <v/>
      </c>
      <c r="K204" s="367"/>
      <c r="L204" s="368"/>
      <c r="M204" s="248"/>
      <c r="N204" s="366" t="str">
        <f>IFERROR(VLOOKUP($F204,補助対象機器一覧20220831!$A$2:$K$200,7,FALSE),"")</f>
        <v/>
      </c>
      <c r="O204" s="367"/>
      <c r="P204" s="368"/>
      <c r="Q204" s="248"/>
      <c r="R204" s="366" t="str">
        <f>IFERROR(VLOOKUP($F204,補助対象機器一覧20220831!$A$2:$K$200,8,FALSE),"")</f>
        <v/>
      </c>
      <c r="S204" s="367"/>
      <c r="T204" s="368"/>
      <c r="U204" s="248"/>
      <c r="V204" s="244" t="str">
        <f>IFERROR(VLOOKUP($F204,補助対象機器一覧20220831!$A$2:$K$200,9,FALSE),"")</f>
        <v/>
      </c>
      <c r="W204" s="86"/>
      <c r="X204" s="402" t="str">
        <f>IF($B204&lt;=入力シート!$F$85,""&amp;中間シート!X530,"")</f>
        <v/>
      </c>
      <c r="Y204" s="402"/>
      <c r="Z204" s="402"/>
      <c r="AA204" s="402"/>
      <c r="AB204" s="402"/>
      <c r="AC204" s="402"/>
      <c r="AD204" s="402"/>
      <c r="AE204" s="402"/>
      <c r="AF204" s="402"/>
      <c r="AG204" s="402"/>
      <c r="AH204" s="402"/>
      <c r="AI204" s="402"/>
      <c r="AJ204" s="402"/>
      <c r="AK204" s="402"/>
      <c r="AL204" s="402"/>
      <c r="AM204" s="402"/>
      <c r="AN204" s="402"/>
      <c r="AO204" s="402"/>
      <c r="AP204" s="41"/>
      <c r="AQ204" s="81">
        <f>IF(J204&lt;&gt;"",1,IF(H204="なし",2,0))</f>
        <v>0</v>
      </c>
      <c r="AR204" s="86"/>
      <c r="AS204" s="86"/>
    </row>
    <row r="205" spans="2:45" ht="5.0999999999999996" customHeight="1" thickBot="1" x14ac:dyDescent="0.2">
      <c r="C205" s="86"/>
      <c r="D205" s="86"/>
      <c r="E205" s="95"/>
      <c r="F205" s="247"/>
      <c r="G205" s="93"/>
      <c r="H205" s="93"/>
      <c r="I205" s="259"/>
      <c r="J205" s="247"/>
      <c r="K205" s="247"/>
      <c r="L205" s="247"/>
      <c r="M205" s="248"/>
      <c r="N205" s="247"/>
      <c r="O205" s="247"/>
      <c r="P205" s="247"/>
      <c r="Q205" s="248"/>
      <c r="R205" s="247"/>
      <c r="S205" s="247"/>
      <c r="T205" s="247"/>
      <c r="U205" s="248"/>
      <c r="V205" s="247"/>
      <c r="W205" s="86"/>
      <c r="X205" s="402"/>
      <c r="Y205" s="402"/>
      <c r="Z205" s="402"/>
      <c r="AA205" s="402"/>
      <c r="AB205" s="402"/>
      <c r="AC205" s="402"/>
      <c r="AD205" s="402"/>
      <c r="AE205" s="402"/>
      <c r="AF205" s="402"/>
      <c r="AG205" s="402"/>
      <c r="AH205" s="402"/>
      <c r="AI205" s="402"/>
      <c r="AJ205" s="402"/>
      <c r="AK205" s="402"/>
      <c r="AL205" s="402"/>
      <c r="AM205" s="402"/>
      <c r="AN205" s="402"/>
      <c r="AO205" s="402"/>
      <c r="AP205" s="41"/>
      <c r="AQ205" s="86"/>
      <c r="AR205" s="86"/>
      <c r="AS205" s="86"/>
    </row>
    <row r="206" spans="2:45" ht="18" customHeight="1" thickBot="1" x14ac:dyDescent="0.2">
      <c r="B206" s="42">
        <v>6</v>
      </c>
      <c r="C206" s="86"/>
      <c r="D206" s="86"/>
      <c r="E206" s="95"/>
      <c r="F206" s="247"/>
      <c r="G206" s="93"/>
      <c r="H206" s="93"/>
      <c r="I206" s="260" t="str">
        <f>IF(AQ204=2,"入力してください→",IF(AQ204=1,"入力不要です→",""))</f>
        <v/>
      </c>
      <c r="J206" s="387"/>
      <c r="K206" s="388"/>
      <c r="L206" s="389"/>
      <c r="M206" s="248"/>
      <c r="N206" s="387"/>
      <c r="O206" s="388"/>
      <c r="P206" s="389"/>
      <c r="Q206" s="248"/>
      <c r="R206" s="387"/>
      <c r="S206" s="388"/>
      <c r="T206" s="389"/>
      <c r="U206" s="248"/>
      <c r="V206" s="249"/>
      <c r="W206" s="86"/>
      <c r="X206" s="402"/>
      <c r="Y206" s="402"/>
      <c r="Z206" s="402"/>
      <c r="AA206" s="402"/>
      <c r="AB206" s="402"/>
      <c r="AC206" s="402"/>
      <c r="AD206" s="402"/>
      <c r="AE206" s="402"/>
      <c r="AF206" s="402"/>
      <c r="AG206" s="402"/>
      <c r="AH206" s="402"/>
      <c r="AI206" s="402"/>
      <c r="AJ206" s="402"/>
      <c r="AK206" s="402"/>
      <c r="AL206" s="402"/>
      <c r="AM206" s="402"/>
      <c r="AN206" s="402"/>
      <c r="AO206" s="402"/>
      <c r="AP206" s="41"/>
      <c r="AQ206" s="86"/>
      <c r="AR206" s="86"/>
      <c r="AS206" s="86"/>
    </row>
    <row r="207" spans="2:45" ht="5.0999999999999996" customHeight="1" thickBot="1" x14ac:dyDescent="0.2">
      <c r="C207" s="86"/>
      <c r="D207" s="86"/>
      <c r="E207" s="95"/>
      <c r="F207" s="247"/>
      <c r="G207" s="93"/>
      <c r="H207" s="93"/>
      <c r="I207" s="259"/>
      <c r="J207" s="247"/>
      <c r="K207" s="247"/>
      <c r="L207" s="247"/>
      <c r="M207" s="248"/>
      <c r="N207" s="247"/>
      <c r="O207" s="247"/>
      <c r="P207" s="247"/>
      <c r="Q207" s="248"/>
      <c r="R207" s="247"/>
      <c r="S207" s="247"/>
      <c r="T207" s="247"/>
      <c r="U207" s="248"/>
      <c r="V207" s="247"/>
      <c r="W207" s="86"/>
      <c r="X207" s="296" t="s">
        <v>212</v>
      </c>
      <c r="Y207" s="296"/>
      <c r="Z207" s="296"/>
      <c r="AA207" s="296"/>
      <c r="AB207" s="296"/>
      <c r="AC207" s="296"/>
      <c r="AD207" s="296"/>
      <c r="AE207" s="296"/>
      <c r="AF207" s="296"/>
      <c r="AG207" s="296"/>
      <c r="AH207" s="296"/>
      <c r="AI207" s="296"/>
      <c r="AJ207" s="296"/>
      <c r="AK207" s="296"/>
      <c r="AL207" s="296"/>
      <c r="AM207" s="296"/>
      <c r="AN207" s="296"/>
      <c r="AO207" s="296"/>
      <c r="AP207" s="41"/>
      <c r="AQ207" s="86"/>
      <c r="AR207" s="86"/>
      <c r="AS207" s="86"/>
    </row>
    <row r="208" spans="2:45" ht="18" customHeight="1" thickBot="1" x14ac:dyDescent="0.2">
      <c r="B208" s="42">
        <v>6</v>
      </c>
      <c r="C208" s="86"/>
      <c r="D208" s="86"/>
      <c r="E208" s="95" t="s">
        <v>74</v>
      </c>
      <c r="F208" s="80"/>
      <c r="G208" s="93"/>
      <c r="H208" s="80"/>
      <c r="I208" s="259"/>
      <c r="J208" s="366" t="str">
        <f>IFERROR(VLOOKUP($F208,補助対象機器一覧20220831!$A$2:$K$200,2,FALSE),"")</f>
        <v/>
      </c>
      <c r="K208" s="367"/>
      <c r="L208" s="368"/>
      <c r="M208" s="248"/>
      <c r="N208" s="366" t="str">
        <f>IFERROR(VLOOKUP($F208,補助対象機器一覧20220831!$A$2:$K$200,7,FALSE),"")</f>
        <v/>
      </c>
      <c r="O208" s="367"/>
      <c r="P208" s="368"/>
      <c r="Q208" s="248"/>
      <c r="R208" s="366" t="str">
        <f>IFERROR(VLOOKUP($F208,補助対象機器一覧20220831!$A$2:$K$200,8,FALSE),"")</f>
        <v/>
      </c>
      <c r="S208" s="367"/>
      <c r="T208" s="368"/>
      <c r="U208" s="248"/>
      <c r="V208" s="244" t="str">
        <f>IFERROR(VLOOKUP($F208,補助対象機器一覧20220831!$A$2:$K$200,9,FALSE),"")</f>
        <v/>
      </c>
      <c r="W208" s="86"/>
      <c r="X208" s="402" t="str">
        <f>IF($B208&lt;=入力シート!$F$85,""&amp;中間シート!X531,"")</f>
        <v/>
      </c>
      <c r="Y208" s="402"/>
      <c r="Z208" s="402"/>
      <c r="AA208" s="402"/>
      <c r="AB208" s="402"/>
      <c r="AC208" s="402"/>
      <c r="AD208" s="402"/>
      <c r="AE208" s="402"/>
      <c r="AF208" s="402"/>
      <c r="AG208" s="402"/>
      <c r="AH208" s="402"/>
      <c r="AI208" s="402"/>
      <c r="AJ208" s="402"/>
      <c r="AK208" s="402"/>
      <c r="AL208" s="402"/>
      <c r="AM208" s="402"/>
      <c r="AN208" s="402"/>
      <c r="AO208" s="402"/>
      <c r="AP208" s="41"/>
      <c r="AQ208" s="81">
        <f>IF(J208&lt;&gt;"",1,IF(H208="なし",2,0))</f>
        <v>0</v>
      </c>
      <c r="AR208" s="86"/>
      <c r="AS208" s="86"/>
    </row>
    <row r="209" spans="2:45" ht="5.0999999999999996" customHeight="1" thickBot="1" x14ac:dyDescent="0.2">
      <c r="C209" s="86"/>
      <c r="D209" s="86"/>
      <c r="E209" s="95"/>
      <c r="F209" s="247"/>
      <c r="G209" s="93"/>
      <c r="H209" s="93"/>
      <c r="I209" s="259"/>
      <c r="J209" s="247"/>
      <c r="K209" s="247"/>
      <c r="L209" s="247"/>
      <c r="M209" s="248"/>
      <c r="N209" s="247"/>
      <c r="O209" s="247"/>
      <c r="P209" s="247"/>
      <c r="Q209" s="248"/>
      <c r="R209" s="247"/>
      <c r="S209" s="247"/>
      <c r="T209" s="247"/>
      <c r="U209" s="248"/>
      <c r="V209" s="247"/>
      <c r="W209" s="86"/>
      <c r="X209" s="402"/>
      <c r="Y209" s="402"/>
      <c r="Z209" s="402"/>
      <c r="AA209" s="402"/>
      <c r="AB209" s="402"/>
      <c r="AC209" s="402"/>
      <c r="AD209" s="402"/>
      <c r="AE209" s="402"/>
      <c r="AF209" s="402"/>
      <c r="AG209" s="402"/>
      <c r="AH209" s="402"/>
      <c r="AI209" s="402"/>
      <c r="AJ209" s="402"/>
      <c r="AK209" s="402"/>
      <c r="AL209" s="402"/>
      <c r="AM209" s="402"/>
      <c r="AN209" s="402"/>
      <c r="AO209" s="402"/>
      <c r="AP209" s="41"/>
      <c r="AQ209" s="86"/>
      <c r="AR209" s="86"/>
      <c r="AS209" s="86"/>
    </row>
    <row r="210" spans="2:45" ht="18" customHeight="1" thickBot="1" x14ac:dyDescent="0.2">
      <c r="B210" s="42">
        <v>6</v>
      </c>
      <c r="C210" s="86"/>
      <c r="D210" s="86"/>
      <c r="E210" s="93"/>
      <c r="F210" s="247"/>
      <c r="G210" s="93"/>
      <c r="H210" s="93"/>
      <c r="I210" s="260" t="str">
        <f>IF(AQ208=2,"入力してください→",IF(AQ208=1,"入力不要です→",""))</f>
        <v/>
      </c>
      <c r="J210" s="387"/>
      <c r="K210" s="388"/>
      <c r="L210" s="389"/>
      <c r="M210" s="248"/>
      <c r="N210" s="387"/>
      <c r="O210" s="388"/>
      <c r="P210" s="389"/>
      <c r="Q210" s="248"/>
      <c r="R210" s="387"/>
      <c r="S210" s="388"/>
      <c r="T210" s="389"/>
      <c r="U210" s="248"/>
      <c r="V210" s="249"/>
      <c r="W210" s="86"/>
      <c r="X210" s="402"/>
      <c r="Y210" s="402"/>
      <c r="Z210" s="402"/>
      <c r="AA210" s="402"/>
      <c r="AB210" s="402"/>
      <c r="AC210" s="402"/>
      <c r="AD210" s="402"/>
      <c r="AE210" s="402"/>
      <c r="AF210" s="402"/>
      <c r="AG210" s="402"/>
      <c r="AH210" s="402"/>
      <c r="AI210" s="402"/>
      <c r="AJ210" s="402"/>
      <c r="AK210" s="402"/>
      <c r="AL210" s="402"/>
      <c r="AM210" s="402"/>
      <c r="AN210" s="402"/>
      <c r="AO210" s="402"/>
      <c r="AP210" s="41"/>
      <c r="AQ210" s="86"/>
      <c r="AR210" s="86"/>
      <c r="AS210" s="86"/>
    </row>
    <row r="211" spans="2:45" x14ac:dyDescent="0.15">
      <c r="C211" s="86"/>
      <c r="D211" s="86"/>
      <c r="E211" s="93"/>
      <c r="F211" s="247"/>
      <c r="G211" s="93"/>
      <c r="H211" s="93"/>
      <c r="I211" s="258"/>
      <c r="J211" s="248"/>
      <c r="K211" s="248"/>
      <c r="L211" s="248"/>
      <c r="M211" s="248"/>
      <c r="N211" s="248"/>
      <c r="O211" s="248"/>
      <c r="P211" s="248"/>
      <c r="Q211" s="248"/>
      <c r="R211" s="248"/>
      <c r="S211" s="248"/>
      <c r="T211" s="248"/>
      <c r="U211" s="248"/>
      <c r="V211" s="248"/>
      <c r="W211" s="86"/>
      <c r="X211" s="296" t="s">
        <v>212</v>
      </c>
      <c r="Y211" s="296"/>
      <c r="Z211" s="296"/>
      <c r="AA211" s="296"/>
      <c r="AB211" s="296"/>
      <c r="AC211" s="296"/>
      <c r="AD211" s="296"/>
      <c r="AE211" s="296"/>
      <c r="AF211" s="296"/>
      <c r="AG211" s="296"/>
      <c r="AH211" s="296"/>
      <c r="AI211" s="296"/>
      <c r="AJ211" s="296"/>
      <c r="AK211" s="296"/>
      <c r="AL211" s="296"/>
      <c r="AM211" s="296"/>
      <c r="AN211" s="296"/>
      <c r="AO211" s="296"/>
      <c r="AP211" s="41"/>
      <c r="AQ211" s="86"/>
      <c r="AR211" s="86"/>
      <c r="AS211" s="86"/>
    </row>
    <row r="212" spans="2:45" ht="14.25" thickBot="1" x14ac:dyDescent="0.2">
      <c r="C212" s="46"/>
      <c r="D212" s="46"/>
      <c r="E212" s="47"/>
      <c r="F212" s="246"/>
      <c r="G212" s="47"/>
      <c r="H212" s="47"/>
      <c r="I212" s="257"/>
      <c r="J212" s="245"/>
      <c r="K212" s="245"/>
      <c r="L212" s="245"/>
      <c r="M212" s="245"/>
      <c r="N212" s="245"/>
      <c r="O212" s="245"/>
      <c r="P212" s="245"/>
      <c r="Q212" s="245"/>
      <c r="R212" s="245"/>
      <c r="S212" s="245"/>
      <c r="T212" s="245"/>
      <c r="U212" s="245"/>
      <c r="V212" s="245"/>
      <c r="W212" s="46"/>
      <c r="X212" s="296" t="s">
        <v>212</v>
      </c>
      <c r="Y212" s="296"/>
      <c r="Z212" s="296"/>
      <c r="AA212" s="296"/>
      <c r="AB212" s="296"/>
      <c r="AC212" s="296"/>
      <c r="AD212" s="296"/>
      <c r="AE212" s="296"/>
      <c r="AF212" s="296"/>
      <c r="AG212" s="296"/>
      <c r="AH212" s="296"/>
      <c r="AI212" s="296"/>
      <c r="AJ212" s="296"/>
      <c r="AK212" s="296"/>
      <c r="AL212" s="296"/>
      <c r="AM212" s="296"/>
      <c r="AN212" s="296"/>
      <c r="AO212" s="296"/>
      <c r="AP212" s="41"/>
      <c r="AQ212" s="86"/>
      <c r="AR212" s="86"/>
      <c r="AS212" s="86"/>
    </row>
    <row r="213" spans="2:45" ht="18" customHeight="1" thickBot="1" x14ac:dyDescent="0.2">
      <c r="B213" s="42">
        <v>7</v>
      </c>
      <c r="C213" s="46"/>
      <c r="D213" s="82" t="s">
        <v>162</v>
      </c>
      <c r="E213" s="48" t="s">
        <v>72</v>
      </c>
      <c r="F213" s="80"/>
      <c r="G213" s="46"/>
      <c r="H213" s="109"/>
      <c r="I213" s="255"/>
      <c r="J213" s="366" t="str">
        <f>IFERROR(VLOOKUP($F213,補助対象機器一覧20220831!$A$2:$K$200,2,FALSE),"")</f>
        <v/>
      </c>
      <c r="K213" s="367"/>
      <c r="L213" s="368"/>
      <c r="M213" s="245"/>
      <c r="N213" s="366" t="str">
        <f>IFERROR(VLOOKUP($F213,補助対象機器一覧20220831!$A$2:$K$200,7,FALSE),"")</f>
        <v/>
      </c>
      <c r="O213" s="367"/>
      <c r="P213" s="368"/>
      <c r="Q213" s="245"/>
      <c r="R213" s="366" t="str">
        <f>IFERROR(VLOOKUP($F213,補助対象機器一覧20220831!$A$2:$K$200,8,FALSE),"")</f>
        <v/>
      </c>
      <c r="S213" s="367"/>
      <c r="T213" s="368"/>
      <c r="U213" s="245"/>
      <c r="V213" s="244" t="str">
        <f>IFERROR(VLOOKUP($F213,補助対象機器一覧20220831!$A$2:$K$200,9,FALSE),"")</f>
        <v/>
      </c>
      <c r="W213" s="46"/>
      <c r="X213" s="402" t="str">
        <f>IF($B213&lt;=入力シート!$F$85,""&amp;中間シート!X532,"")</f>
        <v/>
      </c>
      <c r="Y213" s="402"/>
      <c r="Z213" s="402"/>
      <c r="AA213" s="402"/>
      <c r="AB213" s="402"/>
      <c r="AC213" s="402"/>
      <c r="AD213" s="402"/>
      <c r="AE213" s="402"/>
      <c r="AF213" s="402"/>
      <c r="AG213" s="402"/>
      <c r="AH213" s="402"/>
      <c r="AI213" s="402"/>
      <c r="AJ213" s="402"/>
      <c r="AK213" s="402"/>
      <c r="AL213" s="402"/>
      <c r="AM213" s="402"/>
      <c r="AN213" s="402"/>
      <c r="AO213" s="402"/>
      <c r="AP213" s="41"/>
      <c r="AQ213" s="81">
        <f>IF(J213&lt;&gt;"",1,IF(H213="なし",2,0))</f>
        <v>0</v>
      </c>
      <c r="AR213" s="86"/>
      <c r="AS213" s="86"/>
    </row>
    <row r="214" spans="2:45" ht="5.0999999999999996" customHeight="1" thickBot="1" x14ac:dyDescent="0.2">
      <c r="C214" s="46"/>
      <c r="D214" s="82"/>
      <c r="E214" s="48"/>
      <c r="F214" s="245"/>
      <c r="G214" s="46"/>
      <c r="H214" s="46"/>
      <c r="I214" s="255"/>
      <c r="J214" s="245"/>
      <c r="K214" s="245"/>
      <c r="L214" s="245"/>
      <c r="M214" s="245"/>
      <c r="N214" s="245"/>
      <c r="O214" s="245"/>
      <c r="P214" s="245"/>
      <c r="Q214" s="245"/>
      <c r="R214" s="245"/>
      <c r="S214" s="245"/>
      <c r="T214" s="245"/>
      <c r="U214" s="245"/>
      <c r="V214" s="245"/>
      <c r="W214" s="46"/>
      <c r="X214" s="402"/>
      <c r="Y214" s="402"/>
      <c r="Z214" s="402"/>
      <c r="AA214" s="402"/>
      <c r="AB214" s="402"/>
      <c r="AC214" s="402"/>
      <c r="AD214" s="402"/>
      <c r="AE214" s="402"/>
      <c r="AF214" s="402"/>
      <c r="AG214" s="402"/>
      <c r="AH214" s="402"/>
      <c r="AI214" s="402"/>
      <c r="AJ214" s="402"/>
      <c r="AK214" s="402"/>
      <c r="AL214" s="402"/>
      <c r="AM214" s="402"/>
      <c r="AN214" s="402"/>
      <c r="AO214" s="402"/>
      <c r="AP214" s="41"/>
      <c r="AQ214" s="86"/>
      <c r="AR214" s="86"/>
      <c r="AS214" s="86"/>
    </row>
    <row r="215" spans="2:45" ht="18" customHeight="1" thickBot="1" x14ac:dyDescent="0.2">
      <c r="B215" s="42">
        <v>7</v>
      </c>
      <c r="C215" s="46"/>
      <c r="D215" s="82"/>
      <c r="E215" s="48"/>
      <c r="F215" s="246"/>
      <c r="G215" s="46"/>
      <c r="H215" s="46"/>
      <c r="I215" s="261" t="str">
        <f>IF(AQ213=2,"入力してください→",IF(AQ213=1,"入力不要です→",""))</f>
        <v/>
      </c>
      <c r="J215" s="387"/>
      <c r="K215" s="388"/>
      <c r="L215" s="389"/>
      <c r="M215" s="245"/>
      <c r="N215" s="387"/>
      <c r="O215" s="388"/>
      <c r="P215" s="389"/>
      <c r="Q215" s="245"/>
      <c r="R215" s="387"/>
      <c r="S215" s="388"/>
      <c r="T215" s="389"/>
      <c r="U215" s="245"/>
      <c r="V215" s="249"/>
      <c r="W215" s="46"/>
      <c r="X215" s="402"/>
      <c r="Y215" s="402"/>
      <c r="Z215" s="402"/>
      <c r="AA215" s="402"/>
      <c r="AB215" s="402"/>
      <c r="AC215" s="402"/>
      <c r="AD215" s="402"/>
      <c r="AE215" s="402"/>
      <c r="AF215" s="402"/>
      <c r="AG215" s="402"/>
      <c r="AH215" s="402"/>
      <c r="AI215" s="402"/>
      <c r="AJ215" s="402"/>
      <c r="AK215" s="402"/>
      <c r="AL215" s="402"/>
      <c r="AM215" s="402"/>
      <c r="AN215" s="402"/>
      <c r="AO215" s="402"/>
      <c r="AP215" s="41"/>
      <c r="AQ215" s="86"/>
      <c r="AR215" s="86"/>
      <c r="AS215" s="86"/>
    </row>
    <row r="216" spans="2:45" ht="5.0999999999999996" customHeight="1" thickBot="1" x14ac:dyDescent="0.2">
      <c r="C216" s="46"/>
      <c r="D216" s="46"/>
      <c r="E216" s="47"/>
      <c r="F216" s="245"/>
      <c r="G216" s="47"/>
      <c r="H216" s="47"/>
      <c r="I216" s="255"/>
      <c r="J216" s="245"/>
      <c r="K216" s="245"/>
      <c r="L216" s="245"/>
      <c r="M216" s="245"/>
      <c r="N216" s="245"/>
      <c r="O216" s="245"/>
      <c r="P216" s="245"/>
      <c r="Q216" s="245"/>
      <c r="R216" s="245"/>
      <c r="S216" s="245"/>
      <c r="T216" s="245"/>
      <c r="U216" s="245"/>
      <c r="V216" s="245"/>
      <c r="W216" s="46"/>
      <c r="X216" s="296" t="s">
        <v>212</v>
      </c>
      <c r="Y216" s="296"/>
      <c r="Z216" s="296"/>
      <c r="AA216" s="296"/>
      <c r="AB216" s="296"/>
      <c r="AC216" s="296"/>
      <c r="AD216" s="296"/>
      <c r="AE216" s="296"/>
      <c r="AF216" s="296"/>
      <c r="AG216" s="296"/>
      <c r="AH216" s="296"/>
      <c r="AI216" s="296"/>
      <c r="AJ216" s="296"/>
      <c r="AK216" s="296"/>
      <c r="AL216" s="296"/>
      <c r="AM216" s="296"/>
      <c r="AN216" s="296"/>
      <c r="AO216" s="296"/>
      <c r="AP216" s="41"/>
      <c r="AQ216" s="86"/>
      <c r="AR216" s="86"/>
      <c r="AS216" s="86"/>
    </row>
    <row r="217" spans="2:45" ht="18" customHeight="1" thickBot="1" x14ac:dyDescent="0.2">
      <c r="B217" s="42">
        <v>7</v>
      </c>
      <c r="C217" s="46"/>
      <c r="D217" s="46"/>
      <c r="E217" s="48" t="s">
        <v>73</v>
      </c>
      <c r="F217" s="80"/>
      <c r="G217" s="47"/>
      <c r="H217" s="109"/>
      <c r="I217" s="255"/>
      <c r="J217" s="366" t="str">
        <f>IFERROR(VLOOKUP($F217,補助対象機器一覧20220831!$A$2:$K$200,2,FALSE),"")</f>
        <v/>
      </c>
      <c r="K217" s="367"/>
      <c r="L217" s="368"/>
      <c r="M217" s="245"/>
      <c r="N217" s="366" t="str">
        <f>IFERROR(VLOOKUP($F217,補助対象機器一覧20220831!$A$2:$K$200,7,FALSE),"")</f>
        <v/>
      </c>
      <c r="O217" s="367"/>
      <c r="P217" s="368"/>
      <c r="Q217" s="245"/>
      <c r="R217" s="366" t="str">
        <f>IFERROR(VLOOKUP($F217,補助対象機器一覧20220831!$A$2:$K$200,8,FALSE),"")</f>
        <v/>
      </c>
      <c r="S217" s="367"/>
      <c r="T217" s="368"/>
      <c r="U217" s="245"/>
      <c r="V217" s="244" t="str">
        <f>IFERROR(VLOOKUP($F217,補助対象機器一覧20220831!$A$2:$K$200,9,FALSE),"")</f>
        <v/>
      </c>
      <c r="W217" s="46"/>
      <c r="X217" s="402" t="str">
        <f>IF($B217&lt;=入力シート!$F$85,""&amp;中間シート!X533,"")</f>
        <v/>
      </c>
      <c r="Y217" s="402"/>
      <c r="Z217" s="402"/>
      <c r="AA217" s="402"/>
      <c r="AB217" s="402"/>
      <c r="AC217" s="402"/>
      <c r="AD217" s="402"/>
      <c r="AE217" s="402"/>
      <c r="AF217" s="402"/>
      <c r="AG217" s="402"/>
      <c r="AH217" s="402"/>
      <c r="AI217" s="402"/>
      <c r="AJ217" s="402"/>
      <c r="AK217" s="402"/>
      <c r="AL217" s="402"/>
      <c r="AM217" s="402"/>
      <c r="AN217" s="402"/>
      <c r="AO217" s="402"/>
      <c r="AP217" s="41"/>
      <c r="AQ217" s="81">
        <f>IF(J217&lt;&gt;"",1,IF(H217="なし",2,0))</f>
        <v>0</v>
      </c>
      <c r="AR217" s="86"/>
      <c r="AS217" s="86"/>
    </row>
    <row r="218" spans="2:45" ht="5.0999999999999996" customHeight="1" thickBot="1" x14ac:dyDescent="0.2">
      <c r="C218" s="46"/>
      <c r="D218" s="46"/>
      <c r="E218" s="48"/>
      <c r="F218" s="246"/>
      <c r="G218" s="47"/>
      <c r="H218" s="47"/>
      <c r="I218" s="255"/>
      <c r="J218" s="246"/>
      <c r="K218" s="246"/>
      <c r="L218" s="246"/>
      <c r="M218" s="245"/>
      <c r="N218" s="246"/>
      <c r="O218" s="246"/>
      <c r="P218" s="246"/>
      <c r="Q218" s="245"/>
      <c r="R218" s="246"/>
      <c r="S218" s="246"/>
      <c r="T218" s="246"/>
      <c r="U218" s="245"/>
      <c r="V218" s="246"/>
      <c r="W218" s="46"/>
      <c r="X218" s="402"/>
      <c r="Y218" s="402"/>
      <c r="Z218" s="402"/>
      <c r="AA218" s="402"/>
      <c r="AB218" s="402"/>
      <c r="AC218" s="402"/>
      <c r="AD218" s="402"/>
      <c r="AE218" s="402"/>
      <c r="AF218" s="402"/>
      <c r="AG218" s="402"/>
      <c r="AH218" s="402"/>
      <c r="AI218" s="402"/>
      <c r="AJ218" s="402"/>
      <c r="AK218" s="402"/>
      <c r="AL218" s="402"/>
      <c r="AM218" s="402"/>
      <c r="AN218" s="402"/>
      <c r="AO218" s="402"/>
      <c r="AP218" s="41"/>
      <c r="AQ218" s="86"/>
      <c r="AR218" s="86"/>
      <c r="AS218" s="86"/>
    </row>
    <row r="219" spans="2:45" ht="18" customHeight="1" thickBot="1" x14ac:dyDescent="0.2">
      <c r="B219" s="42">
        <v>7</v>
      </c>
      <c r="C219" s="46"/>
      <c r="D219" s="46"/>
      <c r="E219" s="48"/>
      <c r="F219" s="246"/>
      <c r="G219" s="47"/>
      <c r="H219" s="47"/>
      <c r="I219" s="261" t="str">
        <f>IF(AQ217=2,"入力してください→",IF(AQ217=1,"入力不要です→",""))</f>
        <v/>
      </c>
      <c r="J219" s="387"/>
      <c r="K219" s="388"/>
      <c r="L219" s="389"/>
      <c r="M219" s="245"/>
      <c r="N219" s="387"/>
      <c r="O219" s="388"/>
      <c r="P219" s="389"/>
      <c r="Q219" s="245"/>
      <c r="R219" s="387"/>
      <c r="S219" s="388"/>
      <c r="T219" s="389"/>
      <c r="U219" s="245"/>
      <c r="V219" s="249"/>
      <c r="W219" s="46"/>
      <c r="X219" s="402"/>
      <c r="Y219" s="402"/>
      <c r="Z219" s="402"/>
      <c r="AA219" s="402"/>
      <c r="AB219" s="402"/>
      <c r="AC219" s="402"/>
      <c r="AD219" s="402"/>
      <c r="AE219" s="402"/>
      <c r="AF219" s="402"/>
      <c r="AG219" s="402"/>
      <c r="AH219" s="402"/>
      <c r="AI219" s="402"/>
      <c r="AJ219" s="402"/>
      <c r="AK219" s="402"/>
      <c r="AL219" s="402"/>
      <c r="AM219" s="402"/>
      <c r="AN219" s="402"/>
      <c r="AO219" s="402"/>
      <c r="AP219" s="41"/>
      <c r="AQ219" s="86"/>
      <c r="AR219" s="86"/>
      <c r="AS219" s="86"/>
    </row>
    <row r="220" spans="2:45" ht="5.0999999999999996" customHeight="1" thickBot="1" x14ac:dyDescent="0.2">
      <c r="C220" s="46"/>
      <c r="D220" s="46"/>
      <c r="E220" s="48"/>
      <c r="F220" s="246"/>
      <c r="G220" s="47"/>
      <c r="H220" s="47"/>
      <c r="I220" s="255"/>
      <c r="J220" s="246"/>
      <c r="K220" s="246"/>
      <c r="L220" s="246"/>
      <c r="M220" s="245"/>
      <c r="N220" s="246"/>
      <c r="O220" s="246"/>
      <c r="P220" s="246"/>
      <c r="Q220" s="245"/>
      <c r="R220" s="246"/>
      <c r="S220" s="246"/>
      <c r="T220" s="246"/>
      <c r="U220" s="245"/>
      <c r="V220" s="246"/>
      <c r="W220" s="46"/>
      <c r="X220" s="296" t="s">
        <v>212</v>
      </c>
      <c r="Y220" s="296"/>
      <c r="Z220" s="296"/>
      <c r="AA220" s="296"/>
      <c r="AB220" s="296"/>
      <c r="AC220" s="296"/>
      <c r="AD220" s="296"/>
      <c r="AE220" s="296"/>
      <c r="AF220" s="296"/>
      <c r="AG220" s="296"/>
      <c r="AH220" s="296"/>
      <c r="AI220" s="296"/>
      <c r="AJ220" s="296"/>
      <c r="AK220" s="296"/>
      <c r="AL220" s="296"/>
      <c r="AM220" s="296"/>
      <c r="AN220" s="296"/>
      <c r="AO220" s="296"/>
      <c r="AP220" s="41"/>
      <c r="AQ220" s="86"/>
      <c r="AR220" s="86"/>
      <c r="AS220" s="86"/>
    </row>
    <row r="221" spans="2:45" ht="18" customHeight="1" thickBot="1" x14ac:dyDescent="0.2">
      <c r="B221" s="42">
        <v>7</v>
      </c>
      <c r="C221" s="46"/>
      <c r="D221" s="46"/>
      <c r="E221" s="48" t="s">
        <v>74</v>
      </c>
      <c r="F221" s="80"/>
      <c r="G221" s="47"/>
      <c r="H221" s="109"/>
      <c r="I221" s="255"/>
      <c r="J221" s="366" t="str">
        <f>IFERROR(VLOOKUP($F221,補助対象機器一覧20220831!$A$2:$K$200,2,FALSE),"")</f>
        <v/>
      </c>
      <c r="K221" s="367"/>
      <c r="L221" s="368"/>
      <c r="M221" s="245"/>
      <c r="N221" s="366" t="str">
        <f>IFERROR(VLOOKUP($F221,補助対象機器一覧20220831!$A$2:$K$200,7,FALSE),"")</f>
        <v/>
      </c>
      <c r="O221" s="367"/>
      <c r="P221" s="368"/>
      <c r="Q221" s="245"/>
      <c r="R221" s="366" t="str">
        <f>IFERROR(VLOOKUP($F221,補助対象機器一覧20220831!$A$2:$K$200,8,FALSE),"")</f>
        <v/>
      </c>
      <c r="S221" s="367"/>
      <c r="T221" s="368"/>
      <c r="U221" s="245"/>
      <c r="V221" s="244" t="str">
        <f>IFERROR(VLOOKUP($F221,補助対象機器一覧20220831!$A$2:$K$200,9,FALSE),"")</f>
        <v/>
      </c>
      <c r="W221" s="46"/>
      <c r="X221" s="402" t="str">
        <f>IF($B221&lt;=入力シート!$F$85,""&amp;中間シート!X534,"")</f>
        <v/>
      </c>
      <c r="Y221" s="402"/>
      <c r="Z221" s="402"/>
      <c r="AA221" s="402"/>
      <c r="AB221" s="402"/>
      <c r="AC221" s="402"/>
      <c r="AD221" s="402"/>
      <c r="AE221" s="402"/>
      <c r="AF221" s="402"/>
      <c r="AG221" s="402"/>
      <c r="AH221" s="402"/>
      <c r="AI221" s="402"/>
      <c r="AJ221" s="402"/>
      <c r="AK221" s="402"/>
      <c r="AL221" s="402"/>
      <c r="AM221" s="402"/>
      <c r="AN221" s="402"/>
      <c r="AO221" s="402"/>
      <c r="AP221" s="41"/>
      <c r="AQ221" s="81">
        <f>IF(J221&lt;&gt;"",1,IF(H221="なし",2,0))</f>
        <v>0</v>
      </c>
      <c r="AR221" s="86"/>
      <c r="AS221" s="86"/>
    </row>
    <row r="222" spans="2:45" ht="5.0999999999999996" customHeight="1" thickBot="1" x14ac:dyDescent="0.2">
      <c r="C222" s="46"/>
      <c r="D222" s="46"/>
      <c r="E222" s="48"/>
      <c r="F222" s="246"/>
      <c r="G222" s="47"/>
      <c r="H222" s="47"/>
      <c r="I222" s="255"/>
      <c r="J222" s="246"/>
      <c r="K222" s="246"/>
      <c r="L222" s="246"/>
      <c r="M222" s="245"/>
      <c r="N222" s="246"/>
      <c r="O222" s="246"/>
      <c r="P222" s="246"/>
      <c r="Q222" s="245"/>
      <c r="R222" s="246"/>
      <c r="S222" s="246"/>
      <c r="T222" s="246"/>
      <c r="U222" s="245"/>
      <c r="V222" s="246"/>
      <c r="W222" s="46"/>
      <c r="X222" s="402"/>
      <c r="Y222" s="402"/>
      <c r="Z222" s="402"/>
      <c r="AA222" s="402"/>
      <c r="AB222" s="402"/>
      <c r="AC222" s="402"/>
      <c r="AD222" s="402"/>
      <c r="AE222" s="402"/>
      <c r="AF222" s="402"/>
      <c r="AG222" s="402"/>
      <c r="AH222" s="402"/>
      <c r="AI222" s="402"/>
      <c r="AJ222" s="402"/>
      <c r="AK222" s="402"/>
      <c r="AL222" s="402"/>
      <c r="AM222" s="402"/>
      <c r="AN222" s="402"/>
      <c r="AO222" s="402"/>
      <c r="AP222" s="41"/>
      <c r="AQ222" s="86"/>
      <c r="AR222" s="86"/>
      <c r="AS222" s="86"/>
    </row>
    <row r="223" spans="2:45" ht="18" customHeight="1" thickBot="1" x14ac:dyDescent="0.2">
      <c r="B223" s="42">
        <v>7</v>
      </c>
      <c r="C223" s="46"/>
      <c r="D223" s="46"/>
      <c r="E223" s="47"/>
      <c r="F223" s="246"/>
      <c r="G223" s="47"/>
      <c r="H223" s="47"/>
      <c r="I223" s="261" t="str">
        <f>IF(AQ221=2,"入力してください→",IF(AQ221=1,"入力不要です→",""))</f>
        <v/>
      </c>
      <c r="J223" s="387"/>
      <c r="K223" s="388"/>
      <c r="L223" s="389"/>
      <c r="M223" s="245"/>
      <c r="N223" s="387"/>
      <c r="O223" s="388"/>
      <c r="P223" s="389"/>
      <c r="Q223" s="245"/>
      <c r="R223" s="387"/>
      <c r="S223" s="388"/>
      <c r="T223" s="389"/>
      <c r="U223" s="245"/>
      <c r="V223" s="249"/>
      <c r="W223" s="46"/>
      <c r="X223" s="402"/>
      <c r="Y223" s="402"/>
      <c r="Z223" s="402"/>
      <c r="AA223" s="402"/>
      <c r="AB223" s="402"/>
      <c r="AC223" s="402"/>
      <c r="AD223" s="402"/>
      <c r="AE223" s="402"/>
      <c r="AF223" s="402"/>
      <c r="AG223" s="402"/>
      <c r="AH223" s="402"/>
      <c r="AI223" s="402"/>
      <c r="AJ223" s="402"/>
      <c r="AK223" s="402"/>
      <c r="AL223" s="402"/>
      <c r="AM223" s="402"/>
      <c r="AN223" s="402"/>
      <c r="AO223" s="402"/>
      <c r="AP223" s="41"/>
      <c r="AQ223" s="86"/>
      <c r="AR223" s="86"/>
      <c r="AS223" s="86"/>
    </row>
    <row r="224" spans="2:45" x14ac:dyDescent="0.15">
      <c r="C224" s="46"/>
      <c r="D224" s="46"/>
      <c r="E224" s="47"/>
      <c r="F224" s="246"/>
      <c r="G224" s="47"/>
      <c r="H224" s="47"/>
      <c r="I224" s="257"/>
      <c r="J224" s="245"/>
      <c r="K224" s="245"/>
      <c r="L224" s="245"/>
      <c r="M224" s="245"/>
      <c r="N224" s="245"/>
      <c r="O224" s="245"/>
      <c r="P224" s="245"/>
      <c r="Q224" s="245"/>
      <c r="R224" s="245"/>
      <c r="S224" s="245"/>
      <c r="T224" s="245"/>
      <c r="U224" s="245"/>
      <c r="V224" s="245"/>
      <c r="W224" s="46"/>
      <c r="X224" s="296" t="s">
        <v>212</v>
      </c>
      <c r="Y224" s="296"/>
      <c r="Z224" s="296"/>
      <c r="AA224" s="296"/>
      <c r="AB224" s="296"/>
      <c r="AC224" s="296"/>
      <c r="AD224" s="296"/>
      <c r="AE224" s="296"/>
      <c r="AF224" s="296"/>
      <c r="AG224" s="296"/>
      <c r="AH224" s="296"/>
      <c r="AI224" s="296"/>
      <c r="AJ224" s="296"/>
      <c r="AK224" s="296"/>
      <c r="AL224" s="296"/>
      <c r="AM224" s="296"/>
      <c r="AN224" s="296"/>
      <c r="AO224" s="296"/>
      <c r="AP224" s="41"/>
      <c r="AQ224" s="86"/>
      <c r="AR224" s="86"/>
      <c r="AS224" s="86"/>
    </row>
    <row r="225" spans="2:45" ht="14.25" thickBot="1" x14ac:dyDescent="0.2">
      <c r="C225" s="86"/>
      <c r="D225" s="86"/>
      <c r="E225" s="93"/>
      <c r="F225" s="247"/>
      <c r="G225" s="93"/>
      <c r="H225" s="93"/>
      <c r="I225" s="258"/>
      <c r="J225" s="248"/>
      <c r="K225" s="248"/>
      <c r="L225" s="248"/>
      <c r="M225" s="248"/>
      <c r="N225" s="248"/>
      <c r="O225" s="248"/>
      <c r="P225" s="248"/>
      <c r="Q225" s="248"/>
      <c r="R225" s="248"/>
      <c r="S225" s="248"/>
      <c r="T225" s="248"/>
      <c r="U225" s="248"/>
      <c r="V225" s="248"/>
      <c r="W225" s="86"/>
      <c r="X225" s="296" t="s">
        <v>212</v>
      </c>
      <c r="Y225" s="296"/>
      <c r="Z225" s="296"/>
      <c r="AA225" s="296"/>
      <c r="AB225" s="296"/>
      <c r="AC225" s="296"/>
      <c r="AD225" s="296"/>
      <c r="AE225" s="296"/>
      <c r="AF225" s="296"/>
      <c r="AG225" s="296"/>
      <c r="AH225" s="296"/>
      <c r="AI225" s="296"/>
      <c r="AJ225" s="296"/>
      <c r="AK225" s="296"/>
      <c r="AL225" s="296"/>
      <c r="AM225" s="296"/>
      <c r="AN225" s="296"/>
      <c r="AO225" s="296"/>
      <c r="AP225" s="41"/>
      <c r="AQ225" s="86"/>
      <c r="AR225" s="86"/>
      <c r="AS225" s="86"/>
    </row>
    <row r="226" spans="2:45" ht="18" customHeight="1" thickBot="1" x14ac:dyDescent="0.2">
      <c r="B226" s="42">
        <v>8</v>
      </c>
      <c r="C226" s="86"/>
      <c r="D226" s="94" t="s">
        <v>163</v>
      </c>
      <c r="E226" s="95" t="s">
        <v>72</v>
      </c>
      <c r="F226" s="80"/>
      <c r="G226" s="86"/>
      <c r="H226" s="80"/>
      <c r="I226" s="259"/>
      <c r="J226" s="366" t="str">
        <f>IFERROR(VLOOKUP($F226,補助対象機器一覧20220831!$A$2:$K$200,2,FALSE),"")</f>
        <v/>
      </c>
      <c r="K226" s="367"/>
      <c r="L226" s="368"/>
      <c r="M226" s="248"/>
      <c r="N226" s="366" t="str">
        <f>IFERROR(VLOOKUP($F226,補助対象機器一覧20220831!$A$2:$K$200,7,FALSE),"")</f>
        <v/>
      </c>
      <c r="O226" s="367"/>
      <c r="P226" s="368"/>
      <c r="Q226" s="248"/>
      <c r="R226" s="366" t="str">
        <f>IFERROR(VLOOKUP($F226,補助対象機器一覧20220831!$A$2:$K$200,8,FALSE),"")</f>
        <v/>
      </c>
      <c r="S226" s="367"/>
      <c r="T226" s="368"/>
      <c r="U226" s="248"/>
      <c r="V226" s="244" t="str">
        <f>IFERROR(VLOOKUP($F226,補助対象機器一覧20220831!$A$2:$K$200,9,FALSE),"")</f>
        <v/>
      </c>
      <c r="W226" s="86"/>
      <c r="X226" s="402" t="str">
        <f>IF($B226&lt;=入力シート!$F$85,""&amp;中間シート!X535,"")</f>
        <v/>
      </c>
      <c r="Y226" s="402"/>
      <c r="Z226" s="402"/>
      <c r="AA226" s="402"/>
      <c r="AB226" s="402"/>
      <c r="AC226" s="402"/>
      <c r="AD226" s="402"/>
      <c r="AE226" s="402"/>
      <c r="AF226" s="402"/>
      <c r="AG226" s="402"/>
      <c r="AH226" s="402"/>
      <c r="AI226" s="402"/>
      <c r="AJ226" s="402"/>
      <c r="AK226" s="402"/>
      <c r="AL226" s="402"/>
      <c r="AM226" s="402"/>
      <c r="AN226" s="402"/>
      <c r="AO226" s="402"/>
      <c r="AP226" s="41"/>
      <c r="AQ226" s="81">
        <f>IF(J226&lt;&gt;"",1,IF(H226="なし",2,0))</f>
        <v>0</v>
      </c>
      <c r="AR226" s="86"/>
      <c r="AS226" s="86"/>
    </row>
    <row r="227" spans="2:45" ht="5.0999999999999996" customHeight="1" thickBot="1" x14ac:dyDescent="0.2">
      <c r="C227" s="86"/>
      <c r="D227" s="94"/>
      <c r="E227" s="95"/>
      <c r="F227" s="248"/>
      <c r="G227" s="86"/>
      <c r="H227" s="86"/>
      <c r="I227" s="259"/>
      <c r="J227" s="248"/>
      <c r="K227" s="248"/>
      <c r="L227" s="248"/>
      <c r="M227" s="248"/>
      <c r="N227" s="248"/>
      <c r="O227" s="248"/>
      <c r="P227" s="248"/>
      <c r="Q227" s="248"/>
      <c r="R227" s="248"/>
      <c r="S227" s="248"/>
      <c r="T227" s="248"/>
      <c r="U227" s="248"/>
      <c r="V227" s="248"/>
      <c r="W227" s="86"/>
      <c r="X227" s="402"/>
      <c r="Y227" s="402"/>
      <c r="Z227" s="402"/>
      <c r="AA227" s="402"/>
      <c r="AB227" s="402"/>
      <c r="AC227" s="402"/>
      <c r="AD227" s="402"/>
      <c r="AE227" s="402"/>
      <c r="AF227" s="402"/>
      <c r="AG227" s="402"/>
      <c r="AH227" s="402"/>
      <c r="AI227" s="402"/>
      <c r="AJ227" s="402"/>
      <c r="AK227" s="402"/>
      <c r="AL227" s="402"/>
      <c r="AM227" s="402"/>
      <c r="AN227" s="402"/>
      <c r="AO227" s="402"/>
      <c r="AP227" s="41"/>
      <c r="AQ227" s="86"/>
      <c r="AR227" s="86"/>
      <c r="AS227" s="86"/>
    </row>
    <row r="228" spans="2:45" ht="18" customHeight="1" thickBot="1" x14ac:dyDescent="0.2">
      <c r="B228" s="42">
        <v>8</v>
      </c>
      <c r="C228" s="86"/>
      <c r="D228" s="94"/>
      <c r="E228" s="95"/>
      <c r="F228" s="247"/>
      <c r="G228" s="86"/>
      <c r="H228" s="86"/>
      <c r="I228" s="260" t="str">
        <f>IF(AQ226=2,"入力してください→",IF(AQ226=1,"入力不要です→",""))</f>
        <v/>
      </c>
      <c r="J228" s="387"/>
      <c r="K228" s="388"/>
      <c r="L228" s="389"/>
      <c r="M228" s="248"/>
      <c r="N228" s="387"/>
      <c r="O228" s="388"/>
      <c r="P228" s="389"/>
      <c r="Q228" s="248"/>
      <c r="R228" s="387"/>
      <c r="S228" s="388"/>
      <c r="T228" s="389"/>
      <c r="U228" s="248"/>
      <c r="V228" s="249"/>
      <c r="W228" s="86"/>
      <c r="X228" s="402"/>
      <c r="Y228" s="402"/>
      <c r="Z228" s="402"/>
      <c r="AA228" s="402"/>
      <c r="AB228" s="402"/>
      <c r="AC228" s="402"/>
      <c r="AD228" s="402"/>
      <c r="AE228" s="402"/>
      <c r="AF228" s="402"/>
      <c r="AG228" s="402"/>
      <c r="AH228" s="402"/>
      <c r="AI228" s="402"/>
      <c r="AJ228" s="402"/>
      <c r="AK228" s="402"/>
      <c r="AL228" s="402"/>
      <c r="AM228" s="402"/>
      <c r="AN228" s="402"/>
      <c r="AO228" s="402"/>
      <c r="AP228" s="41"/>
      <c r="AQ228" s="86"/>
      <c r="AR228" s="86"/>
      <c r="AS228" s="86"/>
    </row>
    <row r="229" spans="2:45" ht="5.0999999999999996" customHeight="1" thickBot="1" x14ac:dyDescent="0.2">
      <c r="C229" s="86"/>
      <c r="D229" s="86"/>
      <c r="E229" s="93"/>
      <c r="F229" s="248"/>
      <c r="G229" s="93"/>
      <c r="H229" s="93"/>
      <c r="I229" s="259"/>
      <c r="J229" s="248"/>
      <c r="K229" s="248"/>
      <c r="L229" s="248"/>
      <c r="M229" s="248"/>
      <c r="N229" s="248"/>
      <c r="O229" s="248"/>
      <c r="P229" s="248"/>
      <c r="Q229" s="248"/>
      <c r="R229" s="248"/>
      <c r="S229" s="248"/>
      <c r="T229" s="248"/>
      <c r="U229" s="248"/>
      <c r="V229" s="248"/>
      <c r="W229" s="86"/>
      <c r="X229" s="296" t="s">
        <v>212</v>
      </c>
      <c r="Y229" s="296"/>
      <c r="Z229" s="296"/>
      <c r="AA229" s="296"/>
      <c r="AB229" s="296"/>
      <c r="AC229" s="296"/>
      <c r="AD229" s="296"/>
      <c r="AE229" s="296"/>
      <c r="AF229" s="296"/>
      <c r="AG229" s="296"/>
      <c r="AH229" s="296"/>
      <c r="AI229" s="296"/>
      <c r="AJ229" s="296"/>
      <c r="AK229" s="296"/>
      <c r="AL229" s="296"/>
      <c r="AM229" s="296"/>
      <c r="AN229" s="296"/>
      <c r="AO229" s="296"/>
      <c r="AP229" s="41"/>
      <c r="AQ229" s="86"/>
      <c r="AR229" s="86"/>
      <c r="AS229" s="86"/>
    </row>
    <row r="230" spans="2:45" ht="18" customHeight="1" thickBot="1" x14ac:dyDescent="0.2">
      <c r="B230" s="42">
        <v>8</v>
      </c>
      <c r="C230" s="86"/>
      <c r="D230" s="86"/>
      <c r="E230" s="95" t="s">
        <v>73</v>
      </c>
      <c r="F230" s="80"/>
      <c r="G230" s="93"/>
      <c r="H230" s="80"/>
      <c r="I230" s="259"/>
      <c r="J230" s="366" t="str">
        <f>IFERROR(VLOOKUP($F230,補助対象機器一覧20220831!$A$2:$K$200,2,FALSE),"")</f>
        <v/>
      </c>
      <c r="K230" s="367"/>
      <c r="L230" s="368"/>
      <c r="M230" s="248"/>
      <c r="N230" s="366" t="str">
        <f>IFERROR(VLOOKUP($F230,補助対象機器一覧20220831!$A$2:$K$200,7,FALSE),"")</f>
        <v/>
      </c>
      <c r="O230" s="367"/>
      <c r="P230" s="368"/>
      <c r="Q230" s="248"/>
      <c r="R230" s="366" t="str">
        <f>IFERROR(VLOOKUP($F230,補助対象機器一覧20220831!$A$2:$K$200,8,FALSE),"")</f>
        <v/>
      </c>
      <c r="S230" s="367"/>
      <c r="T230" s="368"/>
      <c r="U230" s="248"/>
      <c r="V230" s="244" t="str">
        <f>IFERROR(VLOOKUP($F230,補助対象機器一覧20220831!$A$2:$K$200,9,FALSE),"")</f>
        <v/>
      </c>
      <c r="W230" s="86"/>
      <c r="X230" s="402" t="str">
        <f>IF($B230&lt;=入力シート!$F$85,""&amp;中間シート!X536,"")</f>
        <v/>
      </c>
      <c r="Y230" s="402"/>
      <c r="Z230" s="402"/>
      <c r="AA230" s="402"/>
      <c r="AB230" s="402"/>
      <c r="AC230" s="402"/>
      <c r="AD230" s="402"/>
      <c r="AE230" s="402"/>
      <c r="AF230" s="402"/>
      <c r="AG230" s="402"/>
      <c r="AH230" s="402"/>
      <c r="AI230" s="402"/>
      <c r="AJ230" s="402"/>
      <c r="AK230" s="402"/>
      <c r="AL230" s="402"/>
      <c r="AM230" s="402"/>
      <c r="AN230" s="402"/>
      <c r="AO230" s="402"/>
      <c r="AP230" s="41"/>
      <c r="AQ230" s="81">
        <f>IF(J230&lt;&gt;"",1,IF(H230="なし",2,0))</f>
        <v>0</v>
      </c>
      <c r="AR230" s="86"/>
      <c r="AS230" s="86"/>
    </row>
    <row r="231" spans="2:45" ht="5.0999999999999996" customHeight="1" thickBot="1" x14ac:dyDescent="0.2">
      <c r="C231" s="86"/>
      <c r="D231" s="86"/>
      <c r="E231" s="95"/>
      <c r="F231" s="247"/>
      <c r="G231" s="93"/>
      <c r="H231" s="93"/>
      <c r="I231" s="259"/>
      <c r="J231" s="247"/>
      <c r="K231" s="247"/>
      <c r="L231" s="247"/>
      <c r="M231" s="248"/>
      <c r="N231" s="247"/>
      <c r="O231" s="247"/>
      <c r="P231" s="247"/>
      <c r="Q231" s="248"/>
      <c r="R231" s="247"/>
      <c r="S231" s="247"/>
      <c r="T231" s="247"/>
      <c r="U231" s="248"/>
      <c r="V231" s="247"/>
      <c r="W231" s="86"/>
      <c r="X231" s="402"/>
      <c r="Y231" s="402"/>
      <c r="Z231" s="402"/>
      <c r="AA231" s="402"/>
      <c r="AB231" s="402"/>
      <c r="AC231" s="402"/>
      <c r="AD231" s="402"/>
      <c r="AE231" s="402"/>
      <c r="AF231" s="402"/>
      <c r="AG231" s="402"/>
      <c r="AH231" s="402"/>
      <c r="AI231" s="402"/>
      <c r="AJ231" s="402"/>
      <c r="AK231" s="402"/>
      <c r="AL231" s="402"/>
      <c r="AM231" s="402"/>
      <c r="AN231" s="402"/>
      <c r="AO231" s="402"/>
      <c r="AP231" s="41"/>
      <c r="AQ231" s="86"/>
      <c r="AR231" s="86"/>
      <c r="AS231" s="86"/>
    </row>
    <row r="232" spans="2:45" ht="18" customHeight="1" thickBot="1" x14ac:dyDescent="0.2">
      <c r="B232" s="42">
        <v>8</v>
      </c>
      <c r="C232" s="86"/>
      <c r="D232" s="86"/>
      <c r="E232" s="95"/>
      <c r="F232" s="247"/>
      <c r="G232" s="93"/>
      <c r="H232" s="93"/>
      <c r="I232" s="260" t="str">
        <f>IF(AQ230=2,"入力してください→",IF(AQ230=1,"入力不要です→",""))</f>
        <v/>
      </c>
      <c r="J232" s="387"/>
      <c r="K232" s="388"/>
      <c r="L232" s="389"/>
      <c r="M232" s="248"/>
      <c r="N232" s="387"/>
      <c r="O232" s="388"/>
      <c r="P232" s="389"/>
      <c r="Q232" s="248"/>
      <c r="R232" s="387"/>
      <c r="S232" s="388"/>
      <c r="T232" s="389"/>
      <c r="U232" s="248"/>
      <c r="V232" s="249"/>
      <c r="W232" s="86"/>
      <c r="X232" s="402"/>
      <c r="Y232" s="402"/>
      <c r="Z232" s="402"/>
      <c r="AA232" s="402"/>
      <c r="AB232" s="402"/>
      <c r="AC232" s="402"/>
      <c r="AD232" s="402"/>
      <c r="AE232" s="402"/>
      <c r="AF232" s="402"/>
      <c r="AG232" s="402"/>
      <c r="AH232" s="402"/>
      <c r="AI232" s="402"/>
      <c r="AJ232" s="402"/>
      <c r="AK232" s="402"/>
      <c r="AL232" s="402"/>
      <c r="AM232" s="402"/>
      <c r="AN232" s="402"/>
      <c r="AO232" s="402"/>
      <c r="AP232" s="41"/>
      <c r="AQ232" s="86"/>
      <c r="AR232" s="86"/>
      <c r="AS232" s="86"/>
    </row>
    <row r="233" spans="2:45" ht="5.0999999999999996" customHeight="1" thickBot="1" x14ac:dyDescent="0.2">
      <c r="C233" s="86"/>
      <c r="D233" s="86"/>
      <c r="E233" s="95"/>
      <c r="F233" s="247"/>
      <c r="G233" s="93"/>
      <c r="H233" s="93"/>
      <c r="I233" s="259"/>
      <c r="J233" s="247"/>
      <c r="K233" s="247"/>
      <c r="L233" s="247"/>
      <c r="M233" s="248"/>
      <c r="N233" s="247"/>
      <c r="O233" s="247"/>
      <c r="P233" s="247"/>
      <c r="Q233" s="248"/>
      <c r="R233" s="247"/>
      <c r="S233" s="247"/>
      <c r="T233" s="247"/>
      <c r="U233" s="248"/>
      <c r="V233" s="247"/>
      <c r="W233" s="86"/>
      <c r="X233" s="296" t="s">
        <v>212</v>
      </c>
      <c r="Y233" s="296"/>
      <c r="Z233" s="296"/>
      <c r="AA233" s="296"/>
      <c r="AB233" s="296"/>
      <c r="AC233" s="296"/>
      <c r="AD233" s="296"/>
      <c r="AE233" s="296"/>
      <c r="AF233" s="296"/>
      <c r="AG233" s="296"/>
      <c r="AH233" s="296"/>
      <c r="AI233" s="296"/>
      <c r="AJ233" s="296"/>
      <c r="AK233" s="296"/>
      <c r="AL233" s="296"/>
      <c r="AM233" s="296"/>
      <c r="AN233" s="296"/>
      <c r="AO233" s="296"/>
      <c r="AP233" s="41"/>
      <c r="AQ233" s="86"/>
      <c r="AR233" s="86"/>
      <c r="AS233" s="86"/>
    </row>
    <row r="234" spans="2:45" ht="18" customHeight="1" thickBot="1" x14ac:dyDescent="0.2">
      <c r="B234" s="42">
        <v>8</v>
      </c>
      <c r="C234" s="86"/>
      <c r="D234" s="86"/>
      <c r="E234" s="95" t="s">
        <v>74</v>
      </c>
      <c r="F234" s="80"/>
      <c r="G234" s="93"/>
      <c r="H234" s="80"/>
      <c r="I234" s="259"/>
      <c r="J234" s="366" t="str">
        <f>IFERROR(VLOOKUP($F234,補助対象機器一覧20220831!$A$2:$K$200,2,FALSE),"")</f>
        <v/>
      </c>
      <c r="K234" s="367"/>
      <c r="L234" s="368"/>
      <c r="M234" s="248"/>
      <c r="N234" s="366" t="str">
        <f>IFERROR(VLOOKUP($F234,補助対象機器一覧20220831!$A$2:$K$200,7,FALSE),"")</f>
        <v/>
      </c>
      <c r="O234" s="367"/>
      <c r="P234" s="368"/>
      <c r="Q234" s="248"/>
      <c r="R234" s="366" t="str">
        <f>IFERROR(VLOOKUP($F234,補助対象機器一覧20220831!$A$2:$K$200,8,FALSE),"")</f>
        <v/>
      </c>
      <c r="S234" s="367"/>
      <c r="T234" s="368"/>
      <c r="U234" s="248"/>
      <c r="V234" s="244" t="str">
        <f>IFERROR(VLOOKUP($F234,補助対象機器一覧20220831!$A$2:$K$200,9,FALSE),"")</f>
        <v/>
      </c>
      <c r="W234" s="86"/>
      <c r="X234" s="402" t="str">
        <f>IF($B234&lt;=入力シート!$F$85,""&amp;中間シート!X537,"")</f>
        <v/>
      </c>
      <c r="Y234" s="402"/>
      <c r="Z234" s="402"/>
      <c r="AA234" s="402"/>
      <c r="AB234" s="402"/>
      <c r="AC234" s="402"/>
      <c r="AD234" s="402"/>
      <c r="AE234" s="402"/>
      <c r="AF234" s="402"/>
      <c r="AG234" s="402"/>
      <c r="AH234" s="402"/>
      <c r="AI234" s="402"/>
      <c r="AJ234" s="402"/>
      <c r="AK234" s="402"/>
      <c r="AL234" s="402"/>
      <c r="AM234" s="402"/>
      <c r="AN234" s="402"/>
      <c r="AO234" s="402"/>
      <c r="AP234" s="41"/>
      <c r="AQ234" s="81">
        <f>IF(J234&lt;&gt;"",1,IF(H234="なし",2,0))</f>
        <v>0</v>
      </c>
      <c r="AR234" s="86"/>
      <c r="AS234" s="86"/>
    </row>
    <row r="235" spans="2:45" ht="5.0999999999999996" customHeight="1" thickBot="1" x14ac:dyDescent="0.2">
      <c r="C235" s="86"/>
      <c r="D235" s="86"/>
      <c r="E235" s="95"/>
      <c r="F235" s="247"/>
      <c r="G235" s="93"/>
      <c r="H235" s="93"/>
      <c r="I235" s="259"/>
      <c r="J235" s="247"/>
      <c r="K235" s="247"/>
      <c r="L235" s="247"/>
      <c r="M235" s="248"/>
      <c r="N235" s="247"/>
      <c r="O235" s="247"/>
      <c r="P235" s="247"/>
      <c r="Q235" s="248"/>
      <c r="R235" s="247"/>
      <c r="S235" s="247"/>
      <c r="T235" s="247"/>
      <c r="U235" s="248"/>
      <c r="V235" s="247"/>
      <c r="W235" s="86"/>
      <c r="X235" s="402"/>
      <c r="Y235" s="402"/>
      <c r="Z235" s="402"/>
      <c r="AA235" s="402"/>
      <c r="AB235" s="402"/>
      <c r="AC235" s="402"/>
      <c r="AD235" s="402"/>
      <c r="AE235" s="402"/>
      <c r="AF235" s="402"/>
      <c r="AG235" s="402"/>
      <c r="AH235" s="402"/>
      <c r="AI235" s="402"/>
      <c r="AJ235" s="402"/>
      <c r="AK235" s="402"/>
      <c r="AL235" s="402"/>
      <c r="AM235" s="402"/>
      <c r="AN235" s="402"/>
      <c r="AO235" s="402"/>
      <c r="AP235" s="41"/>
      <c r="AQ235" s="86"/>
      <c r="AR235" s="86"/>
      <c r="AS235" s="86"/>
    </row>
    <row r="236" spans="2:45" ht="18" customHeight="1" thickBot="1" x14ac:dyDescent="0.2">
      <c r="B236" s="42">
        <v>8</v>
      </c>
      <c r="C236" s="86"/>
      <c r="D236" s="86"/>
      <c r="E236" s="93"/>
      <c r="F236" s="247"/>
      <c r="G236" s="93"/>
      <c r="H236" s="93"/>
      <c r="I236" s="260" t="str">
        <f>IF(AQ234=2,"入力してください→",IF(AQ234=1,"入力不要です→",""))</f>
        <v/>
      </c>
      <c r="J236" s="387"/>
      <c r="K236" s="388"/>
      <c r="L236" s="389"/>
      <c r="M236" s="248"/>
      <c r="N236" s="387"/>
      <c r="O236" s="388"/>
      <c r="P236" s="389"/>
      <c r="Q236" s="248"/>
      <c r="R236" s="387"/>
      <c r="S236" s="388"/>
      <c r="T236" s="389"/>
      <c r="U236" s="248"/>
      <c r="V236" s="249"/>
      <c r="W236" s="86"/>
      <c r="X236" s="402"/>
      <c r="Y236" s="402"/>
      <c r="Z236" s="402"/>
      <c r="AA236" s="402"/>
      <c r="AB236" s="402"/>
      <c r="AC236" s="402"/>
      <c r="AD236" s="402"/>
      <c r="AE236" s="402"/>
      <c r="AF236" s="402"/>
      <c r="AG236" s="402"/>
      <c r="AH236" s="402"/>
      <c r="AI236" s="402"/>
      <c r="AJ236" s="402"/>
      <c r="AK236" s="402"/>
      <c r="AL236" s="402"/>
      <c r="AM236" s="402"/>
      <c r="AN236" s="402"/>
      <c r="AO236" s="402"/>
      <c r="AP236" s="41"/>
      <c r="AQ236" s="86"/>
      <c r="AR236" s="86"/>
      <c r="AS236" s="86"/>
    </row>
    <row r="237" spans="2:45" x14ac:dyDescent="0.15">
      <c r="C237" s="86"/>
      <c r="D237" s="86"/>
      <c r="E237" s="93"/>
      <c r="F237" s="247"/>
      <c r="G237" s="93"/>
      <c r="H237" s="93"/>
      <c r="I237" s="258"/>
      <c r="J237" s="248"/>
      <c r="K237" s="248"/>
      <c r="L237" s="248"/>
      <c r="M237" s="248"/>
      <c r="N237" s="248"/>
      <c r="O237" s="248"/>
      <c r="P237" s="248"/>
      <c r="Q237" s="248"/>
      <c r="R237" s="248"/>
      <c r="S237" s="248"/>
      <c r="T237" s="248"/>
      <c r="U237" s="248"/>
      <c r="V237" s="248"/>
      <c r="W237" s="86"/>
      <c r="X237" s="296" t="s">
        <v>212</v>
      </c>
      <c r="Y237" s="296"/>
      <c r="Z237" s="296"/>
      <c r="AA237" s="296"/>
      <c r="AB237" s="296"/>
      <c r="AC237" s="296"/>
      <c r="AD237" s="296"/>
      <c r="AE237" s="296"/>
      <c r="AF237" s="296"/>
      <c r="AG237" s="296"/>
      <c r="AH237" s="296"/>
      <c r="AI237" s="296"/>
      <c r="AJ237" s="296"/>
      <c r="AK237" s="296"/>
      <c r="AL237" s="296"/>
      <c r="AM237" s="296"/>
      <c r="AN237" s="296"/>
      <c r="AO237" s="296"/>
      <c r="AQ237" s="86"/>
      <c r="AR237" s="86"/>
      <c r="AS237" s="86"/>
    </row>
    <row r="238" spans="2:45" ht="14.25" thickBot="1" x14ac:dyDescent="0.2">
      <c r="C238" s="46"/>
      <c r="D238" s="46"/>
      <c r="E238" s="47"/>
      <c r="F238" s="246"/>
      <c r="G238" s="47"/>
      <c r="H238" s="47"/>
      <c r="I238" s="257"/>
      <c r="J238" s="245"/>
      <c r="K238" s="245"/>
      <c r="L238" s="245"/>
      <c r="M238" s="245"/>
      <c r="N238" s="245"/>
      <c r="O238" s="245"/>
      <c r="P238" s="245"/>
      <c r="Q238" s="245"/>
      <c r="R238" s="245"/>
      <c r="S238" s="245"/>
      <c r="T238" s="245"/>
      <c r="U238" s="245"/>
      <c r="V238" s="245"/>
      <c r="W238" s="46"/>
      <c r="X238" s="296" t="s">
        <v>212</v>
      </c>
      <c r="Y238" s="296"/>
      <c r="Z238" s="296"/>
      <c r="AA238" s="296"/>
      <c r="AB238" s="296"/>
      <c r="AC238" s="296"/>
      <c r="AD238" s="296"/>
      <c r="AE238" s="296"/>
      <c r="AF238" s="296"/>
      <c r="AG238" s="296"/>
      <c r="AH238" s="296"/>
      <c r="AI238" s="296"/>
      <c r="AJ238" s="296"/>
      <c r="AK238" s="296"/>
      <c r="AL238" s="296"/>
      <c r="AM238" s="296"/>
      <c r="AN238" s="296"/>
      <c r="AO238" s="296"/>
      <c r="AQ238" s="86"/>
      <c r="AR238" s="86"/>
      <c r="AS238" s="86"/>
    </row>
    <row r="239" spans="2:45" ht="18" customHeight="1" thickBot="1" x14ac:dyDescent="0.2">
      <c r="B239" s="42">
        <v>9</v>
      </c>
      <c r="C239" s="46"/>
      <c r="D239" s="82" t="s">
        <v>164</v>
      </c>
      <c r="E239" s="48" t="s">
        <v>72</v>
      </c>
      <c r="F239" s="80"/>
      <c r="G239" s="46"/>
      <c r="H239" s="109"/>
      <c r="I239" s="255"/>
      <c r="J239" s="366" t="str">
        <f>IFERROR(VLOOKUP($F239,補助対象機器一覧20220831!$A$2:$K$200,2,FALSE),"")</f>
        <v/>
      </c>
      <c r="K239" s="367"/>
      <c r="L239" s="368"/>
      <c r="M239" s="245"/>
      <c r="N239" s="366" t="str">
        <f>IFERROR(VLOOKUP($F239,補助対象機器一覧20220831!$A$2:$K$200,7,FALSE),"")</f>
        <v/>
      </c>
      <c r="O239" s="367"/>
      <c r="P239" s="368"/>
      <c r="Q239" s="245"/>
      <c r="R239" s="366" t="str">
        <f>IFERROR(VLOOKUP($F239,補助対象機器一覧20220831!$A$2:$K$200,8,FALSE),"")</f>
        <v/>
      </c>
      <c r="S239" s="367"/>
      <c r="T239" s="368"/>
      <c r="U239" s="245"/>
      <c r="V239" s="244" t="str">
        <f>IFERROR(VLOOKUP($F239,補助対象機器一覧20220831!$A$2:$K$200,9,FALSE),"")</f>
        <v/>
      </c>
      <c r="W239" s="46"/>
      <c r="X239" s="402" t="str">
        <f>IF($B239&lt;=入力シート!$F$85,""&amp;中間シート!X538,"")</f>
        <v/>
      </c>
      <c r="Y239" s="402"/>
      <c r="Z239" s="402"/>
      <c r="AA239" s="402"/>
      <c r="AB239" s="402"/>
      <c r="AC239" s="402"/>
      <c r="AD239" s="402"/>
      <c r="AE239" s="402"/>
      <c r="AF239" s="402"/>
      <c r="AG239" s="402"/>
      <c r="AH239" s="402"/>
      <c r="AI239" s="402"/>
      <c r="AJ239" s="402"/>
      <c r="AK239" s="402"/>
      <c r="AL239" s="402"/>
      <c r="AM239" s="402"/>
      <c r="AN239" s="402"/>
      <c r="AO239" s="402"/>
      <c r="AQ239" s="81">
        <f>IF(J239&lt;&gt;"",1,IF(H239="なし",2,0))</f>
        <v>0</v>
      </c>
      <c r="AR239" s="86"/>
      <c r="AS239" s="86"/>
    </row>
    <row r="240" spans="2:45" ht="5.0999999999999996" customHeight="1" thickBot="1" x14ac:dyDescent="0.2">
      <c r="C240" s="46"/>
      <c r="D240" s="46"/>
      <c r="E240" s="48"/>
      <c r="F240" s="245"/>
      <c r="G240" s="46"/>
      <c r="H240" s="46"/>
      <c r="I240" s="255"/>
      <c r="J240" s="245"/>
      <c r="K240" s="245"/>
      <c r="L240" s="245"/>
      <c r="M240" s="245"/>
      <c r="N240" s="245"/>
      <c r="O240" s="245"/>
      <c r="P240" s="245"/>
      <c r="Q240" s="245"/>
      <c r="R240" s="245"/>
      <c r="S240" s="245"/>
      <c r="T240" s="245"/>
      <c r="U240" s="245"/>
      <c r="V240" s="245"/>
      <c r="W240" s="46"/>
      <c r="X240" s="402"/>
      <c r="Y240" s="402"/>
      <c r="Z240" s="402"/>
      <c r="AA240" s="402"/>
      <c r="AB240" s="402"/>
      <c r="AC240" s="402"/>
      <c r="AD240" s="402"/>
      <c r="AE240" s="402"/>
      <c r="AF240" s="402"/>
      <c r="AG240" s="402"/>
      <c r="AH240" s="402"/>
      <c r="AI240" s="402"/>
      <c r="AJ240" s="402"/>
      <c r="AK240" s="402"/>
      <c r="AL240" s="402"/>
      <c r="AM240" s="402"/>
      <c r="AN240" s="402"/>
      <c r="AO240" s="402"/>
      <c r="AP240" s="41"/>
      <c r="AQ240" s="86"/>
      <c r="AR240" s="86"/>
      <c r="AS240" s="86"/>
    </row>
    <row r="241" spans="2:45" ht="18" customHeight="1" thickBot="1" x14ac:dyDescent="0.2">
      <c r="B241" s="42">
        <v>9</v>
      </c>
      <c r="C241" s="46"/>
      <c r="D241" s="82"/>
      <c r="E241" s="48"/>
      <c r="F241" s="246"/>
      <c r="G241" s="46"/>
      <c r="H241" s="46"/>
      <c r="I241" s="261" t="str">
        <f>IF(AQ239=2,"入力してください→",IF(AQ239=1,"入力不要です→",""))</f>
        <v/>
      </c>
      <c r="J241" s="387"/>
      <c r="K241" s="388"/>
      <c r="L241" s="389"/>
      <c r="M241" s="245"/>
      <c r="N241" s="387"/>
      <c r="O241" s="388"/>
      <c r="P241" s="389"/>
      <c r="Q241" s="245"/>
      <c r="R241" s="387"/>
      <c r="S241" s="388"/>
      <c r="T241" s="389"/>
      <c r="U241" s="245"/>
      <c r="V241" s="249"/>
      <c r="W241" s="46"/>
      <c r="X241" s="402"/>
      <c r="Y241" s="402"/>
      <c r="Z241" s="402"/>
      <c r="AA241" s="402"/>
      <c r="AB241" s="402"/>
      <c r="AC241" s="402"/>
      <c r="AD241" s="402"/>
      <c r="AE241" s="402"/>
      <c r="AF241" s="402"/>
      <c r="AG241" s="402"/>
      <c r="AH241" s="402"/>
      <c r="AI241" s="402"/>
      <c r="AJ241" s="402"/>
      <c r="AK241" s="402"/>
      <c r="AL241" s="402"/>
      <c r="AM241" s="402"/>
      <c r="AN241" s="402"/>
      <c r="AO241" s="402"/>
      <c r="AP241" s="41"/>
      <c r="AQ241" s="86"/>
      <c r="AR241" s="86"/>
      <c r="AS241" s="86"/>
    </row>
    <row r="242" spans="2:45" ht="5.0999999999999996" customHeight="1" thickBot="1" x14ac:dyDescent="0.2">
      <c r="C242" s="46"/>
      <c r="D242" s="46"/>
      <c r="E242" s="48"/>
      <c r="F242" s="245"/>
      <c r="G242" s="47"/>
      <c r="H242" s="47"/>
      <c r="I242" s="255"/>
      <c r="J242" s="245"/>
      <c r="K242" s="245"/>
      <c r="L242" s="245"/>
      <c r="M242" s="245"/>
      <c r="N242" s="245"/>
      <c r="O242" s="245"/>
      <c r="P242" s="245"/>
      <c r="Q242" s="245"/>
      <c r="R242" s="245"/>
      <c r="S242" s="245"/>
      <c r="T242" s="245"/>
      <c r="U242" s="245"/>
      <c r="V242" s="245"/>
      <c r="W242" s="46"/>
      <c r="X242" s="296" t="s">
        <v>212</v>
      </c>
      <c r="Y242" s="296"/>
      <c r="Z242" s="296"/>
      <c r="AA242" s="296"/>
      <c r="AB242" s="296"/>
      <c r="AC242" s="296"/>
      <c r="AD242" s="296"/>
      <c r="AE242" s="296"/>
      <c r="AF242" s="296"/>
      <c r="AG242" s="296"/>
      <c r="AH242" s="296"/>
      <c r="AI242" s="296"/>
      <c r="AJ242" s="296"/>
      <c r="AK242" s="296"/>
      <c r="AL242" s="296"/>
      <c r="AM242" s="296"/>
      <c r="AN242" s="296"/>
      <c r="AO242" s="296"/>
      <c r="AP242" s="41"/>
      <c r="AQ242" s="86"/>
      <c r="AR242" s="86"/>
      <c r="AS242" s="86"/>
    </row>
    <row r="243" spans="2:45" ht="18" customHeight="1" thickBot="1" x14ac:dyDescent="0.2">
      <c r="B243" s="42">
        <v>9</v>
      </c>
      <c r="C243" s="46"/>
      <c r="D243" s="46"/>
      <c r="E243" s="48" t="s">
        <v>73</v>
      </c>
      <c r="F243" s="80"/>
      <c r="G243" s="47"/>
      <c r="H243" s="109"/>
      <c r="I243" s="255"/>
      <c r="J243" s="366" t="str">
        <f>IFERROR(VLOOKUP($F243,補助対象機器一覧20220831!$A$2:$K$200,2,FALSE),"")</f>
        <v/>
      </c>
      <c r="K243" s="367"/>
      <c r="L243" s="368"/>
      <c r="M243" s="245"/>
      <c r="N243" s="366" t="str">
        <f>IFERROR(VLOOKUP($F243,補助対象機器一覧20220831!$A$2:$K$200,7,FALSE),"")</f>
        <v/>
      </c>
      <c r="O243" s="367"/>
      <c r="P243" s="368"/>
      <c r="Q243" s="245"/>
      <c r="R243" s="366" t="str">
        <f>IFERROR(VLOOKUP($F243,補助対象機器一覧20220831!$A$2:$K$200,8,FALSE),"")</f>
        <v/>
      </c>
      <c r="S243" s="367"/>
      <c r="T243" s="368"/>
      <c r="U243" s="245"/>
      <c r="V243" s="244" t="str">
        <f>IFERROR(VLOOKUP($F243,補助対象機器一覧20220831!$A$2:$K$200,9,FALSE),"")</f>
        <v/>
      </c>
      <c r="W243" s="46"/>
      <c r="X243" s="402" t="str">
        <f>IF($B243&lt;=入力シート!$F$85,""&amp;中間シート!X539,"")</f>
        <v/>
      </c>
      <c r="Y243" s="402"/>
      <c r="Z243" s="402"/>
      <c r="AA243" s="402"/>
      <c r="AB243" s="402"/>
      <c r="AC243" s="402"/>
      <c r="AD243" s="402"/>
      <c r="AE243" s="402"/>
      <c r="AF243" s="402"/>
      <c r="AG243" s="402"/>
      <c r="AH243" s="402"/>
      <c r="AI243" s="402"/>
      <c r="AJ243" s="402"/>
      <c r="AK243" s="402"/>
      <c r="AL243" s="402"/>
      <c r="AM243" s="402"/>
      <c r="AN243" s="402"/>
      <c r="AO243" s="402"/>
      <c r="AP243" s="41"/>
      <c r="AQ243" s="81">
        <f>IF(J243&lt;&gt;"",1,IF(H243="なし",2,0))</f>
        <v>0</v>
      </c>
      <c r="AR243" s="86"/>
      <c r="AS243" s="86"/>
    </row>
    <row r="244" spans="2:45" ht="5.0999999999999996" customHeight="1" thickBot="1" x14ac:dyDescent="0.2">
      <c r="C244" s="46"/>
      <c r="D244" s="46"/>
      <c r="E244" s="48"/>
      <c r="F244" s="246"/>
      <c r="G244" s="47"/>
      <c r="H244" s="47"/>
      <c r="I244" s="255"/>
      <c r="J244" s="246"/>
      <c r="K244" s="246"/>
      <c r="L244" s="246"/>
      <c r="M244" s="245"/>
      <c r="N244" s="246"/>
      <c r="O244" s="246"/>
      <c r="P244" s="246"/>
      <c r="Q244" s="245"/>
      <c r="R244" s="246"/>
      <c r="S244" s="246"/>
      <c r="T244" s="246"/>
      <c r="U244" s="245"/>
      <c r="V244" s="246"/>
      <c r="W244" s="46"/>
      <c r="X244" s="402"/>
      <c r="Y244" s="402"/>
      <c r="Z244" s="402"/>
      <c r="AA244" s="402"/>
      <c r="AB244" s="402"/>
      <c r="AC244" s="402"/>
      <c r="AD244" s="402"/>
      <c r="AE244" s="402"/>
      <c r="AF244" s="402"/>
      <c r="AG244" s="402"/>
      <c r="AH244" s="402"/>
      <c r="AI244" s="402"/>
      <c r="AJ244" s="402"/>
      <c r="AK244" s="402"/>
      <c r="AL244" s="402"/>
      <c r="AM244" s="402"/>
      <c r="AN244" s="402"/>
      <c r="AO244" s="402"/>
      <c r="AP244" s="41"/>
      <c r="AQ244" s="86"/>
      <c r="AR244" s="86"/>
      <c r="AS244" s="86"/>
    </row>
    <row r="245" spans="2:45" ht="18" customHeight="1" thickBot="1" x14ac:dyDescent="0.2">
      <c r="B245" s="42">
        <v>9</v>
      </c>
      <c r="C245" s="46"/>
      <c r="D245" s="46"/>
      <c r="E245" s="48"/>
      <c r="F245" s="246"/>
      <c r="G245" s="47"/>
      <c r="H245" s="47"/>
      <c r="I245" s="261" t="str">
        <f>IF(AQ243=2,"入力してください→",IF(AQ243=1,"入力不要です→",""))</f>
        <v/>
      </c>
      <c r="J245" s="387"/>
      <c r="K245" s="388"/>
      <c r="L245" s="389"/>
      <c r="M245" s="245"/>
      <c r="N245" s="387"/>
      <c r="O245" s="388"/>
      <c r="P245" s="389"/>
      <c r="Q245" s="245"/>
      <c r="R245" s="387"/>
      <c r="S245" s="388"/>
      <c r="T245" s="389"/>
      <c r="U245" s="245"/>
      <c r="V245" s="249"/>
      <c r="W245" s="46"/>
      <c r="X245" s="402"/>
      <c r="Y245" s="402"/>
      <c r="Z245" s="402"/>
      <c r="AA245" s="402"/>
      <c r="AB245" s="402"/>
      <c r="AC245" s="402"/>
      <c r="AD245" s="402"/>
      <c r="AE245" s="402"/>
      <c r="AF245" s="402"/>
      <c r="AG245" s="402"/>
      <c r="AH245" s="402"/>
      <c r="AI245" s="402"/>
      <c r="AJ245" s="402"/>
      <c r="AK245" s="402"/>
      <c r="AL245" s="402"/>
      <c r="AM245" s="402"/>
      <c r="AN245" s="402"/>
      <c r="AO245" s="402"/>
      <c r="AP245" s="41"/>
      <c r="AQ245" s="86"/>
      <c r="AR245" s="86"/>
      <c r="AS245" s="86"/>
    </row>
    <row r="246" spans="2:45" ht="5.0999999999999996" customHeight="1" thickBot="1" x14ac:dyDescent="0.2">
      <c r="C246" s="46"/>
      <c r="D246" s="46"/>
      <c r="E246" s="48"/>
      <c r="F246" s="246"/>
      <c r="G246" s="47"/>
      <c r="H246" s="47"/>
      <c r="I246" s="255"/>
      <c r="J246" s="246"/>
      <c r="K246" s="246"/>
      <c r="L246" s="246"/>
      <c r="M246" s="245"/>
      <c r="N246" s="246"/>
      <c r="O246" s="246"/>
      <c r="P246" s="246"/>
      <c r="Q246" s="245"/>
      <c r="R246" s="246"/>
      <c r="S246" s="246"/>
      <c r="T246" s="246"/>
      <c r="U246" s="245"/>
      <c r="V246" s="246"/>
      <c r="W246" s="46"/>
      <c r="X246" s="296" t="s">
        <v>212</v>
      </c>
      <c r="Y246" s="296"/>
      <c r="Z246" s="296"/>
      <c r="AA246" s="296"/>
      <c r="AB246" s="296"/>
      <c r="AC246" s="296"/>
      <c r="AD246" s="296"/>
      <c r="AE246" s="296"/>
      <c r="AF246" s="296"/>
      <c r="AG246" s="296"/>
      <c r="AH246" s="296"/>
      <c r="AI246" s="296"/>
      <c r="AJ246" s="296"/>
      <c r="AK246" s="296"/>
      <c r="AL246" s="296"/>
      <c r="AM246" s="296"/>
      <c r="AN246" s="296"/>
      <c r="AO246" s="296"/>
      <c r="AP246" s="41"/>
      <c r="AQ246" s="86"/>
      <c r="AR246" s="86"/>
      <c r="AS246" s="86"/>
    </row>
    <row r="247" spans="2:45" ht="18" customHeight="1" thickBot="1" x14ac:dyDescent="0.2">
      <c r="B247" s="42">
        <v>9</v>
      </c>
      <c r="C247" s="46"/>
      <c r="D247" s="46"/>
      <c r="E247" s="48" t="s">
        <v>74</v>
      </c>
      <c r="F247" s="80"/>
      <c r="G247" s="47"/>
      <c r="H247" s="109"/>
      <c r="I247" s="255"/>
      <c r="J247" s="366" t="str">
        <f>IFERROR(VLOOKUP($F247,補助対象機器一覧20220831!$A$2:$K$200,2,FALSE),"")</f>
        <v/>
      </c>
      <c r="K247" s="367"/>
      <c r="L247" s="368"/>
      <c r="M247" s="245"/>
      <c r="N247" s="366" t="str">
        <f>IFERROR(VLOOKUP($F247,補助対象機器一覧20220831!$A$2:$K$200,7,FALSE),"")</f>
        <v/>
      </c>
      <c r="O247" s="367"/>
      <c r="P247" s="368"/>
      <c r="Q247" s="245"/>
      <c r="R247" s="366" t="str">
        <f>IFERROR(VLOOKUP($F247,補助対象機器一覧20220831!$A$2:$K$200,8,FALSE),"")</f>
        <v/>
      </c>
      <c r="S247" s="367"/>
      <c r="T247" s="368"/>
      <c r="U247" s="245"/>
      <c r="V247" s="244" t="str">
        <f>IFERROR(VLOOKUP($F247,補助対象機器一覧20220831!$A$2:$K$200,9,FALSE),"")</f>
        <v/>
      </c>
      <c r="W247" s="46"/>
      <c r="X247" s="402" t="str">
        <f>IF($B247&lt;=入力シート!$F$85,""&amp;中間シート!X540,"")</f>
        <v/>
      </c>
      <c r="Y247" s="402"/>
      <c r="Z247" s="402"/>
      <c r="AA247" s="402"/>
      <c r="AB247" s="402"/>
      <c r="AC247" s="402"/>
      <c r="AD247" s="402"/>
      <c r="AE247" s="402"/>
      <c r="AF247" s="402"/>
      <c r="AG247" s="402"/>
      <c r="AH247" s="402"/>
      <c r="AI247" s="402"/>
      <c r="AJ247" s="402"/>
      <c r="AK247" s="402"/>
      <c r="AL247" s="402"/>
      <c r="AM247" s="402"/>
      <c r="AN247" s="402"/>
      <c r="AO247" s="402"/>
      <c r="AP247" s="41"/>
      <c r="AQ247" s="81">
        <f>IF(J247&lt;&gt;"",1,IF(H247="なし",2,0))</f>
        <v>0</v>
      </c>
      <c r="AR247" s="86"/>
      <c r="AS247" s="86"/>
    </row>
    <row r="248" spans="2:45" ht="5.0999999999999996" customHeight="1" thickBot="1" x14ac:dyDescent="0.2">
      <c r="C248" s="46"/>
      <c r="D248" s="46"/>
      <c r="E248" s="48"/>
      <c r="F248" s="246"/>
      <c r="G248" s="47"/>
      <c r="H248" s="47"/>
      <c r="I248" s="255"/>
      <c r="J248" s="246"/>
      <c r="K248" s="246"/>
      <c r="L248" s="246"/>
      <c r="M248" s="245"/>
      <c r="N248" s="246"/>
      <c r="O248" s="246"/>
      <c r="P248" s="246"/>
      <c r="Q248" s="245"/>
      <c r="R248" s="246"/>
      <c r="S248" s="246"/>
      <c r="T248" s="246"/>
      <c r="U248" s="245"/>
      <c r="V248" s="246"/>
      <c r="W248" s="46"/>
      <c r="X248" s="402"/>
      <c r="Y248" s="402"/>
      <c r="Z248" s="402"/>
      <c r="AA248" s="402"/>
      <c r="AB248" s="402"/>
      <c r="AC248" s="402"/>
      <c r="AD248" s="402"/>
      <c r="AE248" s="402"/>
      <c r="AF248" s="402"/>
      <c r="AG248" s="402"/>
      <c r="AH248" s="402"/>
      <c r="AI248" s="402"/>
      <c r="AJ248" s="402"/>
      <c r="AK248" s="402"/>
      <c r="AL248" s="402"/>
      <c r="AM248" s="402"/>
      <c r="AN248" s="402"/>
      <c r="AO248" s="402"/>
      <c r="AP248" s="41"/>
      <c r="AQ248" s="86"/>
      <c r="AR248" s="86"/>
      <c r="AS248" s="86"/>
    </row>
    <row r="249" spans="2:45" ht="18" customHeight="1" thickBot="1" x14ac:dyDescent="0.2">
      <c r="B249" s="42">
        <v>9</v>
      </c>
      <c r="C249" s="46"/>
      <c r="D249" s="46"/>
      <c r="E249" s="47"/>
      <c r="F249" s="246"/>
      <c r="G249" s="47"/>
      <c r="H249" s="47"/>
      <c r="I249" s="261" t="str">
        <f>IF(AQ247=2,"入力してください→",IF(AQ247=1,"入力不要です→",""))</f>
        <v/>
      </c>
      <c r="J249" s="387"/>
      <c r="K249" s="388"/>
      <c r="L249" s="389"/>
      <c r="M249" s="245"/>
      <c r="N249" s="387"/>
      <c r="O249" s="388"/>
      <c r="P249" s="389"/>
      <c r="Q249" s="245"/>
      <c r="R249" s="387"/>
      <c r="S249" s="388"/>
      <c r="T249" s="389"/>
      <c r="U249" s="245"/>
      <c r="V249" s="249"/>
      <c r="W249" s="46"/>
      <c r="X249" s="402"/>
      <c r="Y249" s="402"/>
      <c r="Z249" s="402"/>
      <c r="AA249" s="402"/>
      <c r="AB249" s="402"/>
      <c r="AC249" s="402"/>
      <c r="AD249" s="402"/>
      <c r="AE249" s="402"/>
      <c r="AF249" s="402"/>
      <c r="AG249" s="402"/>
      <c r="AH249" s="402"/>
      <c r="AI249" s="402"/>
      <c r="AJ249" s="402"/>
      <c r="AK249" s="402"/>
      <c r="AL249" s="402"/>
      <c r="AM249" s="402"/>
      <c r="AN249" s="402"/>
      <c r="AO249" s="402"/>
      <c r="AP249" s="41"/>
      <c r="AQ249" s="86"/>
      <c r="AR249" s="86"/>
      <c r="AS249" s="86"/>
    </row>
    <row r="250" spans="2:45" x14ac:dyDescent="0.15">
      <c r="C250" s="46"/>
      <c r="D250" s="46"/>
      <c r="E250" s="47"/>
      <c r="F250" s="246"/>
      <c r="G250" s="47"/>
      <c r="H250" s="47"/>
      <c r="I250" s="257"/>
      <c r="J250" s="245"/>
      <c r="K250" s="245"/>
      <c r="L250" s="245"/>
      <c r="M250" s="245"/>
      <c r="N250" s="245"/>
      <c r="O250" s="245"/>
      <c r="P250" s="245"/>
      <c r="Q250" s="245"/>
      <c r="R250" s="245"/>
      <c r="S250" s="245"/>
      <c r="T250" s="245"/>
      <c r="U250" s="245"/>
      <c r="V250" s="245"/>
      <c r="W250" s="46"/>
      <c r="X250" s="296" t="s">
        <v>212</v>
      </c>
      <c r="Y250" s="296"/>
      <c r="Z250" s="296"/>
      <c r="AA250" s="296"/>
      <c r="AB250" s="296"/>
      <c r="AC250" s="296"/>
      <c r="AD250" s="296"/>
      <c r="AE250" s="296"/>
      <c r="AF250" s="296"/>
      <c r="AG250" s="296"/>
      <c r="AH250" s="296"/>
      <c r="AI250" s="296"/>
      <c r="AJ250" s="296"/>
      <c r="AK250" s="296"/>
      <c r="AL250" s="296"/>
      <c r="AM250" s="296"/>
      <c r="AN250" s="296"/>
      <c r="AO250" s="296"/>
      <c r="AQ250" s="86"/>
      <c r="AR250" s="86"/>
      <c r="AS250" s="86"/>
    </row>
    <row r="251" spans="2:45" ht="14.25" thickBot="1" x14ac:dyDescent="0.2">
      <c r="C251" s="86"/>
      <c r="D251" s="86"/>
      <c r="E251" s="93"/>
      <c r="F251" s="247"/>
      <c r="G251" s="93"/>
      <c r="H251" s="93"/>
      <c r="I251" s="258"/>
      <c r="J251" s="248"/>
      <c r="K251" s="248"/>
      <c r="L251" s="248"/>
      <c r="M251" s="248"/>
      <c r="N251" s="248"/>
      <c r="O251" s="248"/>
      <c r="P251" s="248"/>
      <c r="Q251" s="248"/>
      <c r="R251" s="248"/>
      <c r="S251" s="248"/>
      <c r="T251" s="248"/>
      <c r="U251" s="248"/>
      <c r="V251" s="248"/>
      <c r="W251" s="86"/>
      <c r="X251" s="296" t="s">
        <v>212</v>
      </c>
      <c r="Y251" s="296"/>
      <c r="Z251" s="296"/>
      <c r="AA251" s="296"/>
      <c r="AB251" s="296"/>
      <c r="AC251" s="296"/>
      <c r="AD251" s="296"/>
      <c r="AE251" s="296"/>
      <c r="AF251" s="296"/>
      <c r="AG251" s="296"/>
      <c r="AH251" s="296"/>
      <c r="AI251" s="296"/>
      <c r="AJ251" s="296"/>
      <c r="AK251" s="296"/>
      <c r="AL251" s="296"/>
      <c r="AM251" s="296"/>
      <c r="AN251" s="296"/>
      <c r="AO251" s="296"/>
      <c r="AQ251" s="86"/>
      <c r="AR251" s="86"/>
      <c r="AS251" s="86"/>
    </row>
    <row r="252" spans="2:45" ht="18" customHeight="1" thickBot="1" x14ac:dyDescent="0.2">
      <c r="B252" s="42">
        <v>10</v>
      </c>
      <c r="C252" s="86"/>
      <c r="D252" s="94" t="s">
        <v>165</v>
      </c>
      <c r="E252" s="95" t="s">
        <v>72</v>
      </c>
      <c r="F252" s="80"/>
      <c r="G252" s="86"/>
      <c r="H252" s="80"/>
      <c r="I252" s="259"/>
      <c r="J252" s="366" t="str">
        <f>IFERROR(VLOOKUP($F252,補助対象機器一覧20220831!$A$2:$K$200,2,FALSE),"")</f>
        <v/>
      </c>
      <c r="K252" s="367"/>
      <c r="L252" s="368"/>
      <c r="M252" s="248"/>
      <c r="N252" s="366" t="str">
        <f>IFERROR(VLOOKUP($F252,補助対象機器一覧20220831!$A$2:$K$200,7,FALSE),"")</f>
        <v/>
      </c>
      <c r="O252" s="367"/>
      <c r="P252" s="368"/>
      <c r="Q252" s="248"/>
      <c r="R252" s="366" t="str">
        <f>IFERROR(VLOOKUP($F252,補助対象機器一覧20220831!$A$2:$K$200,8,FALSE),"")</f>
        <v/>
      </c>
      <c r="S252" s="367"/>
      <c r="T252" s="368"/>
      <c r="U252" s="248"/>
      <c r="V252" s="244" t="str">
        <f>IFERROR(VLOOKUP($F252,補助対象機器一覧20220831!$A$2:$K$200,9,FALSE),"")</f>
        <v/>
      </c>
      <c r="W252" s="86"/>
      <c r="X252" s="402" t="str">
        <f>IF($B252&lt;=入力シート!$F$85,""&amp;中間シート!X541,"")</f>
        <v/>
      </c>
      <c r="Y252" s="402"/>
      <c r="Z252" s="402"/>
      <c r="AA252" s="402"/>
      <c r="AB252" s="402"/>
      <c r="AC252" s="402"/>
      <c r="AD252" s="402"/>
      <c r="AE252" s="402"/>
      <c r="AF252" s="402"/>
      <c r="AG252" s="402"/>
      <c r="AH252" s="402"/>
      <c r="AI252" s="402"/>
      <c r="AJ252" s="402"/>
      <c r="AK252" s="402"/>
      <c r="AL252" s="402"/>
      <c r="AM252" s="402"/>
      <c r="AN252" s="402"/>
      <c r="AO252" s="402"/>
      <c r="AQ252" s="81">
        <f>IF(J252&lt;&gt;"",1,IF(H252="なし",2,0))</f>
        <v>0</v>
      </c>
      <c r="AR252" s="86"/>
      <c r="AS252" s="86"/>
    </row>
    <row r="253" spans="2:45" ht="5.0999999999999996" customHeight="1" thickBot="1" x14ac:dyDescent="0.2">
      <c r="C253" s="86"/>
      <c r="D253" s="94"/>
      <c r="E253" s="95"/>
      <c r="F253" s="248"/>
      <c r="G253" s="86"/>
      <c r="H253" s="86"/>
      <c r="I253" s="259"/>
      <c r="J253" s="248"/>
      <c r="K253" s="248"/>
      <c r="L253" s="248"/>
      <c r="M253" s="248"/>
      <c r="N253" s="248"/>
      <c r="O253" s="248"/>
      <c r="P253" s="248"/>
      <c r="Q253" s="248"/>
      <c r="R253" s="248"/>
      <c r="S253" s="248"/>
      <c r="T253" s="248"/>
      <c r="U253" s="248"/>
      <c r="V253" s="248"/>
      <c r="W253" s="86"/>
      <c r="X253" s="402"/>
      <c r="Y253" s="402"/>
      <c r="Z253" s="402"/>
      <c r="AA253" s="402"/>
      <c r="AB253" s="402"/>
      <c r="AC253" s="402"/>
      <c r="AD253" s="402"/>
      <c r="AE253" s="402"/>
      <c r="AF253" s="402"/>
      <c r="AG253" s="402"/>
      <c r="AH253" s="402"/>
      <c r="AI253" s="402"/>
      <c r="AJ253" s="402"/>
      <c r="AK253" s="402"/>
      <c r="AL253" s="402"/>
      <c r="AM253" s="402"/>
      <c r="AN253" s="402"/>
      <c r="AO253" s="402"/>
      <c r="AP253" s="41"/>
      <c r="AQ253" s="86"/>
      <c r="AR253" s="86"/>
      <c r="AS253" s="86"/>
    </row>
    <row r="254" spans="2:45" ht="18" customHeight="1" thickBot="1" x14ac:dyDescent="0.2">
      <c r="B254" s="42">
        <v>10</v>
      </c>
      <c r="C254" s="86"/>
      <c r="D254" s="94"/>
      <c r="E254" s="95"/>
      <c r="F254" s="247"/>
      <c r="G254" s="86"/>
      <c r="H254" s="86"/>
      <c r="I254" s="260" t="str">
        <f>IF(AQ252=2,"入力してください→",IF(AQ252=1,"入力不要です→",""))</f>
        <v/>
      </c>
      <c r="J254" s="387"/>
      <c r="K254" s="388"/>
      <c r="L254" s="389"/>
      <c r="M254" s="248"/>
      <c r="N254" s="387"/>
      <c r="O254" s="388"/>
      <c r="P254" s="389"/>
      <c r="Q254" s="248"/>
      <c r="R254" s="387"/>
      <c r="S254" s="388"/>
      <c r="T254" s="389"/>
      <c r="U254" s="248"/>
      <c r="V254" s="249"/>
      <c r="W254" s="86"/>
      <c r="X254" s="402"/>
      <c r="Y254" s="402"/>
      <c r="Z254" s="402"/>
      <c r="AA254" s="402"/>
      <c r="AB254" s="402"/>
      <c r="AC254" s="402"/>
      <c r="AD254" s="402"/>
      <c r="AE254" s="402"/>
      <c r="AF254" s="402"/>
      <c r="AG254" s="402"/>
      <c r="AH254" s="402"/>
      <c r="AI254" s="402"/>
      <c r="AJ254" s="402"/>
      <c r="AK254" s="402"/>
      <c r="AL254" s="402"/>
      <c r="AM254" s="402"/>
      <c r="AN254" s="402"/>
      <c r="AO254" s="402"/>
      <c r="AP254" s="41"/>
      <c r="AQ254" s="86"/>
      <c r="AR254" s="86"/>
      <c r="AS254" s="86"/>
    </row>
    <row r="255" spans="2:45" ht="5.0999999999999996" customHeight="1" thickBot="1" x14ac:dyDescent="0.2">
      <c r="C255" s="86"/>
      <c r="D255" s="86"/>
      <c r="E255" s="93"/>
      <c r="F255" s="248"/>
      <c r="G255" s="93"/>
      <c r="H255" s="93"/>
      <c r="I255" s="259"/>
      <c r="J255" s="248"/>
      <c r="K255" s="248"/>
      <c r="L255" s="248"/>
      <c r="M255" s="248"/>
      <c r="N255" s="248"/>
      <c r="O255" s="248"/>
      <c r="P255" s="248"/>
      <c r="Q255" s="248"/>
      <c r="R255" s="248"/>
      <c r="S255" s="248"/>
      <c r="T255" s="248"/>
      <c r="U255" s="248"/>
      <c r="V255" s="248"/>
      <c r="W255" s="86"/>
      <c r="X255" s="296" t="s">
        <v>212</v>
      </c>
      <c r="Y255" s="296"/>
      <c r="Z255" s="296"/>
      <c r="AA255" s="296"/>
      <c r="AB255" s="296"/>
      <c r="AC255" s="296"/>
      <c r="AD255" s="296"/>
      <c r="AE255" s="296"/>
      <c r="AF255" s="296"/>
      <c r="AG255" s="296"/>
      <c r="AH255" s="296"/>
      <c r="AI255" s="296"/>
      <c r="AJ255" s="296"/>
      <c r="AK255" s="296"/>
      <c r="AL255" s="296"/>
      <c r="AM255" s="296"/>
      <c r="AN255" s="296"/>
      <c r="AO255" s="296"/>
      <c r="AP255" s="41"/>
      <c r="AQ255" s="86"/>
      <c r="AR255" s="86"/>
      <c r="AS255" s="86"/>
    </row>
    <row r="256" spans="2:45" ht="18" customHeight="1" thickBot="1" x14ac:dyDescent="0.2">
      <c r="B256" s="42">
        <v>10</v>
      </c>
      <c r="C256" s="86"/>
      <c r="D256" s="86"/>
      <c r="E256" s="95" t="s">
        <v>73</v>
      </c>
      <c r="F256" s="80"/>
      <c r="G256" s="93"/>
      <c r="H256" s="80"/>
      <c r="I256" s="259"/>
      <c r="J256" s="366" t="str">
        <f>IFERROR(VLOOKUP($F256,補助対象機器一覧20220831!$A$2:$K$200,2,FALSE),"")</f>
        <v/>
      </c>
      <c r="K256" s="367"/>
      <c r="L256" s="368"/>
      <c r="M256" s="248"/>
      <c r="N256" s="366" t="str">
        <f>IFERROR(VLOOKUP($F256,補助対象機器一覧20220831!$A$2:$K$200,7,FALSE),"")</f>
        <v/>
      </c>
      <c r="O256" s="367"/>
      <c r="P256" s="368"/>
      <c r="Q256" s="248"/>
      <c r="R256" s="366" t="str">
        <f>IFERROR(VLOOKUP($F256,補助対象機器一覧20220831!$A$2:$K$200,8,FALSE),"")</f>
        <v/>
      </c>
      <c r="S256" s="367"/>
      <c r="T256" s="368"/>
      <c r="U256" s="248"/>
      <c r="V256" s="244" t="str">
        <f>IFERROR(VLOOKUP($F256,補助対象機器一覧20220831!$A$2:$K$200,9,FALSE),"")</f>
        <v/>
      </c>
      <c r="W256" s="86"/>
      <c r="X256" s="402" t="str">
        <f>IF($B256&lt;=入力シート!$F$85,""&amp;中間シート!X542,"")</f>
        <v/>
      </c>
      <c r="Y256" s="402"/>
      <c r="Z256" s="402"/>
      <c r="AA256" s="402"/>
      <c r="AB256" s="402"/>
      <c r="AC256" s="402"/>
      <c r="AD256" s="402"/>
      <c r="AE256" s="402"/>
      <c r="AF256" s="402"/>
      <c r="AG256" s="402"/>
      <c r="AH256" s="402"/>
      <c r="AI256" s="402"/>
      <c r="AJ256" s="402"/>
      <c r="AK256" s="402"/>
      <c r="AL256" s="402"/>
      <c r="AM256" s="402"/>
      <c r="AN256" s="402"/>
      <c r="AO256" s="402"/>
      <c r="AP256" s="41"/>
      <c r="AQ256" s="81">
        <f>IF(J256&lt;&gt;"",1,IF(H256="なし",2,0))</f>
        <v>0</v>
      </c>
      <c r="AR256" s="86"/>
      <c r="AS256" s="86"/>
    </row>
    <row r="257" spans="2:45" ht="5.0999999999999996" customHeight="1" thickBot="1" x14ac:dyDescent="0.2">
      <c r="C257" s="86"/>
      <c r="D257" s="86"/>
      <c r="E257" s="95"/>
      <c r="F257" s="247"/>
      <c r="G257" s="93"/>
      <c r="H257" s="93"/>
      <c r="I257" s="259"/>
      <c r="J257" s="247"/>
      <c r="K257" s="247"/>
      <c r="L257" s="247"/>
      <c r="M257" s="248"/>
      <c r="N257" s="247"/>
      <c r="O257" s="247"/>
      <c r="P257" s="247"/>
      <c r="Q257" s="248"/>
      <c r="R257" s="247"/>
      <c r="S257" s="247"/>
      <c r="T257" s="247"/>
      <c r="U257" s="248"/>
      <c r="V257" s="247"/>
      <c r="W257" s="86"/>
      <c r="X257" s="402"/>
      <c r="Y257" s="402"/>
      <c r="Z257" s="402"/>
      <c r="AA257" s="402"/>
      <c r="AB257" s="402"/>
      <c r="AC257" s="402"/>
      <c r="AD257" s="402"/>
      <c r="AE257" s="402"/>
      <c r="AF257" s="402"/>
      <c r="AG257" s="402"/>
      <c r="AH257" s="402"/>
      <c r="AI257" s="402"/>
      <c r="AJ257" s="402"/>
      <c r="AK257" s="402"/>
      <c r="AL257" s="402"/>
      <c r="AM257" s="402"/>
      <c r="AN257" s="402"/>
      <c r="AO257" s="402"/>
      <c r="AP257" s="41"/>
      <c r="AQ257" s="86"/>
      <c r="AR257" s="86"/>
      <c r="AS257" s="86"/>
    </row>
    <row r="258" spans="2:45" ht="18" customHeight="1" thickBot="1" x14ac:dyDescent="0.2">
      <c r="B258" s="42">
        <v>10</v>
      </c>
      <c r="C258" s="86"/>
      <c r="D258" s="86"/>
      <c r="E258" s="95"/>
      <c r="F258" s="247"/>
      <c r="G258" s="93"/>
      <c r="H258" s="93"/>
      <c r="I258" s="260" t="str">
        <f>IF(AQ256=2,"入力してください→",IF(AQ256=1,"入力不要です→",""))</f>
        <v/>
      </c>
      <c r="J258" s="387"/>
      <c r="K258" s="388"/>
      <c r="L258" s="389"/>
      <c r="M258" s="248"/>
      <c r="N258" s="387"/>
      <c r="O258" s="388"/>
      <c r="P258" s="389"/>
      <c r="Q258" s="248"/>
      <c r="R258" s="387"/>
      <c r="S258" s="388"/>
      <c r="T258" s="389"/>
      <c r="U258" s="248"/>
      <c r="V258" s="249"/>
      <c r="W258" s="86"/>
      <c r="X258" s="402"/>
      <c r="Y258" s="402"/>
      <c r="Z258" s="402"/>
      <c r="AA258" s="402"/>
      <c r="AB258" s="402"/>
      <c r="AC258" s="402"/>
      <c r="AD258" s="402"/>
      <c r="AE258" s="402"/>
      <c r="AF258" s="402"/>
      <c r="AG258" s="402"/>
      <c r="AH258" s="402"/>
      <c r="AI258" s="402"/>
      <c r="AJ258" s="402"/>
      <c r="AK258" s="402"/>
      <c r="AL258" s="402"/>
      <c r="AM258" s="402"/>
      <c r="AN258" s="402"/>
      <c r="AO258" s="402"/>
      <c r="AP258" s="41"/>
      <c r="AQ258" s="86"/>
      <c r="AR258" s="86"/>
      <c r="AS258" s="86"/>
    </row>
    <row r="259" spans="2:45" ht="5.0999999999999996" customHeight="1" thickBot="1" x14ac:dyDescent="0.2">
      <c r="C259" s="86"/>
      <c r="D259" s="86"/>
      <c r="E259" s="95"/>
      <c r="F259" s="247"/>
      <c r="G259" s="93"/>
      <c r="H259" s="93"/>
      <c r="I259" s="259"/>
      <c r="J259" s="247"/>
      <c r="K259" s="247"/>
      <c r="L259" s="247"/>
      <c r="M259" s="248"/>
      <c r="N259" s="247"/>
      <c r="O259" s="247"/>
      <c r="P259" s="247"/>
      <c r="Q259" s="248"/>
      <c r="R259" s="247"/>
      <c r="S259" s="247"/>
      <c r="T259" s="247"/>
      <c r="U259" s="248"/>
      <c r="V259" s="247"/>
      <c r="W259" s="86"/>
      <c r="X259" s="296" t="s">
        <v>212</v>
      </c>
      <c r="Y259" s="296"/>
      <c r="Z259" s="296"/>
      <c r="AA259" s="296"/>
      <c r="AB259" s="296"/>
      <c r="AC259" s="296"/>
      <c r="AD259" s="296"/>
      <c r="AE259" s="296"/>
      <c r="AF259" s="296"/>
      <c r="AG259" s="296"/>
      <c r="AH259" s="296"/>
      <c r="AI259" s="296"/>
      <c r="AJ259" s="296"/>
      <c r="AK259" s="296"/>
      <c r="AL259" s="296"/>
      <c r="AM259" s="296"/>
      <c r="AN259" s="296"/>
      <c r="AO259" s="296"/>
      <c r="AP259" s="41"/>
      <c r="AQ259" s="86"/>
      <c r="AR259" s="86"/>
      <c r="AS259" s="86"/>
    </row>
    <row r="260" spans="2:45" ht="18" customHeight="1" thickBot="1" x14ac:dyDescent="0.2">
      <c r="B260" s="42">
        <v>10</v>
      </c>
      <c r="C260" s="86"/>
      <c r="D260" s="86"/>
      <c r="E260" s="95" t="s">
        <v>74</v>
      </c>
      <c r="F260" s="80"/>
      <c r="G260" s="93"/>
      <c r="H260" s="80"/>
      <c r="I260" s="259"/>
      <c r="J260" s="366" t="str">
        <f>IFERROR(VLOOKUP($F260,補助対象機器一覧20220831!$A$2:$K$200,2,FALSE),"")</f>
        <v/>
      </c>
      <c r="K260" s="367"/>
      <c r="L260" s="368"/>
      <c r="M260" s="248"/>
      <c r="N260" s="366" t="str">
        <f>IFERROR(VLOOKUP($F260,補助対象機器一覧20220831!$A$2:$K$200,7,FALSE),"")</f>
        <v/>
      </c>
      <c r="O260" s="367"/>
      <c r="P260" s="368"/>
      <c r="Q260" s="248"/>
      <c r="R260" s="366" t="str">
        <f>IFERROR(VLOOKUP($F260,補助対象機器一覧20220831!$A$2:$K$200,8,FALSE),"")</f>
        <v/>
      </c>
      <c r="S260" s="367"/>
      <c r="T260" s="368"/>
      <c r="U260" s="248"/>
      <c r="V260" s="244" t="str">
        <f>IFERROR(VLOOKUP($F260,補助対象機器一覧20220831!$A$2:$K$200,9,FALSE),"")</f>
        <v/>
      </c>
      <c r="W260" s="86"/>
      <c r="X260" s="402" t="str">
        <f>IF($B260&lt;=入力シート!$F$85,""&amp;中間シート!X543,"")</f>
        <v/>
      </c>
      <c r="Y260" s="402"/>
      <c r="Z260" s="402"/>
      <c r="AA260" s="402"/>
      <c r="AB260" s="402"/>
      <c r="AC260" s="402"/>
      <c r="AD260" s="402"/>
      <c r="AE260" s="402"/>
      <c r="AF260" s="402"/>
      <c r="AG260" s="402"/>
      <c r="AH260" s="402"/>
      <c r="AI260" s="402"/>
      <c r="AJ260" s="402"/>
      <c r="AK260" s="402"/>
      <c r="AL260" s="402"/>
      <c r="AM260" s="402"/>
      <c r="AN260" s="402"/>
      <c r="AO260" s="402"/>
      <c r="AP260" s="41"/>
      <c r="AQ260" s="81">
        <f>IF(J260&lt;&gt;"",1,IF(H260="なし",2,0))</f>
        <v>0</v>
      </c>
      <c r="AR260" s="86"/>
      <c r="AS260" s="86"/>
    </row>
    <row r="261" spans="2:45" ht="5.0999999999999996" customHeight="1" thickBot="1" x14ac:dyDescent="0.2">
      <c r="C261" s="86"/>
      <c r="D261" s="86"/>
      <c r="E261" s="95"/>
      <c r="F261" s="247"/>
      <c r="G261" s="93"/>
      <c r="H261" s="93"/>
      <c r="I261" s="259"/>
      <c r="J261" s="247"/>
      <c r="K261" s="247"/>
      <c r="L261" s="247"/>
      <c r="M261" s="248"/>
      <c r="N261" s="247"/>
      <c r="O261" s="247"/>
      <c r="P261" s="247"/>
      <c r="Q261" s="248"/>
      <c r="R261" s="247"/>
      <c r="S261" s="247"/>
      <c r="T261" s="247"/>
      <c r="U261" s="248"/>
      <c r="V261" s="247"/>
      <c r="W261" s="86"/>
      <c r="X261" s="402"/>
      <c r="Y261" s="402"/>
      <c r="Z261" s="402"/>
      <c r="AA261" s="402"/>
      <c r="AB261" s="402"/>
      <c r="AC261" s="402"/>
      <c r="AD261" s="402"/>
      <c r="AE261" s="402"/>
      <c r="AF261" s="402"/>
      <c r="AG261" s="402"/>
      <c r="AH261" s="402"/>
      <c r="AI261" s="402"/>
      <c r="AJ261" s="402"/>
      <c r="AK261" s="402"/>
      <c r="AL261" s="402"/>
      <c r="AM261" s="402"/>
      <c r="AN261" s="402"/>
      <c r="AO261" s="402"/>
      <c r="AP261" s="41"/>
      <c r="AQ261" s="86"/>
      <c r="AR261" s="86"/>
      <c r="AS261" s="86"/>
    </row>
    <row r="262" spans="2:45" ht="18" customHeight="1" thickBot="1" x14ac:dyDescent="0.2">
      <c r="B262" s="42">
        <v>10</v>
      </c>
      <c r="C262" s="86"/>
      <c r="D262" s="86"/>
      <c r="E262" s="93"/>
      <c r="F262" s="247"/>
      <c r="G262" s="93"/>
      <c r="H262" s="93"/>
      <c r="I262" s="260" t="str">
        <f>IF(AQ260=2,"入力してください→",IF(AQ260=1,"入力不要です→",""))</f>
        <v/>
      </c>
      <c r="J262" s="387"/>
      <c r="K262" s="388"/>
      <c r="L262" s="389"/>
      <c r="M262" s="248"/>
      <c r="N262" s="387"/>
      <c r="O262" s="388"/>
      <c r="P262" s="389"/>
      <c r="Q262" s="248"/>
      <c r="R262" s="387"/>
      <c r="S262" s="388"/>
      <c r="T262" s="389"/>
      <c r="U262" s="248"/>
      <c r="V262" s="249"/>
      <c r="W262" s="86"/>
      <c r="X262" s="402"/>
      <c r="Y262" s="402"/>
      <c r="Z262" s="402"/>
      <c r="AA262" s="402"/>
      <c r="AB262" s="402"/>
      <c r="AC262" s="402"/>
      <c r="AD262" s="402"/>
      <c r="AE262" s="402"/>
      <c r="AF262" s="402"/>
      <c r="AG262" s="402"/>
      <c r="AH262" s="402"/>
      <c r="AI262" s="402"/>
      <c r="AJ262" s="402"/>
      <c r="AK262" s="402"/>
      <c r="AL262" s="402"/>
      <c r="AM262" s="402"/>
      <c r="AN262" s="402"/>
      <c r="AO262" s="402"/>
      <c r="AP262" s="41"/>
      <c r="AQ262" s="86"/>
      <c r="AR262" s="86"/>
      <c r="AS262" s="86"/>
    </row>
    <row r="263" spans="2:45" x14ac:dyDescent="0.15">
      <c r="C263" s="86"/>
      <c r="D263" s="86"/>
      <c r="E263" s="93"/>
      <c r="F263" s="247"/>
      <c r="G263" s="93"/>
      <c r="H263" s="93"/>
      <c r="I263" s="258"/>
      <c r="J263" s="248"/>
      <c r="K263" s="248"/>
      <c r="L263" s="248"/>
      <c r="M263" s="248"/>
      <c r="N263" s="248"/>
      <c r="O263" s="248"/>
      <c r="P263" s="248"/>
      <c r="Q263" s="248"/>
      <c r="R263" s="248"/>
      <c r="S263" s="248"/>
      <c r="T263" s="248"/>
      <c r="U263" s="248"/>
      <c r="V263" s="248"/>
      <c r="W263" s="86"/>
      <c r="X263" s="296" t="s">
        <v>212</v>
      </c>
      <c r="Y263" s="296"/>
      <c r="Z263" s="296"/>
      <c r="AA263" s="296"/>
      <c r="AB263" s="296"/>
      <c r="AC263" s="296"/>
      <c r="AD263" s="296"/>
      <c r="AE263" s="296"/>
      <c r="AF263" s="296"/>
      <c r="AG263" s="296"/>
      <c r="AH263" s="296"/>
      <c r="AI263" s="296"/>
      <c r="AJ263" s="296"/>
      <c r="AK263" s="296"/>
      <c r="AL263" s="296"/>
      <c r="AM263" s="296"/>
      <c r="AN263" s="296"/>
      <c r="AO263" s="296"/>
      <c r="AQ263" s="86"/>
      <c r="AR263" s="86"/>
      <c r="AS263" s="86"/>
    </row>
    <row r="264" spans="2:45" ht="14.25" thickBot="1" x14ac:dyDescent="0.2">
      <c r="C264" s="46"/>
      <c r="D264" s="46"/>
      <c r="E264" s="47"/>
      <c r="F264" s="246"/>
      <c r="G264" s="47"/>
      <c r="H264" s="47"/>
      <c r="I264" s="257"/>
      <c r="J264" s="245"/>
      <c r="K264" s="245"/>
      <c r="L264" s="245"/>
      <c r="M264" s="245"/>
      <c r="N264" s="245"/>
      <c r="O264" s="245"/>
      <c r="P264" s="245"/>
      <c r="Q264" s="245"/>
      <c r="R264" s="245"/>
      <c r="S264" s="245"/>
      <c r="T264" s="245"/>
      <c r="U264" s="245"/>
      <c r="V264" s="245"/>
      <c r="W264" s="46"/>
      <c r="X264" s="296" t="s">
        <v>212</v>
      </c>
      <c r="Y264" s="296"/>
      <c r="Z264" s="296"/>
      <c r="AA264" s="296"/>
      <c r="AB264" s="296"/>
      <c r="AC264" s="296"/>
      <c r="AD264" s="296"/>
      <c r="AE264" s="296"/>
      <c r="AF264" s="296"/>
      <c r="AG264" s="296"/>
      <c r="AH264" s="296"/>
      <c r="AI264" s="296"/>
      <c r="AJ264" s="296"/>
      <c r="AK264" s="296"/>
      <c r="AL264" s="296"/>
      <c r="AM264" s="296"/>
      <c r="AN264" s="296"/>
      <c r="AO264" s="296"/>
      <c r="AQ264" s="86"/>
      <c r="AR264" s="86"/>
      <c r="AS264" s="86"/>
    </row>
    <row r="265" spans="2:45" ht="18" customHeight="1" thickBot="1" x14ac:dyDescent="0.2">
      <c r="B265" s="42">
        <v>11</v>
      </c>
      <c r="C265" s="46"/>
      <c r="D265" s="82" t="s">
        <v>166</v>
      </c>
      <c r="E265" s="48" t="s">
        <v>72</v>
      </c>
      <c r="F265" s="80"/>
      <c r="G265" s="46"/>
      <c r="H265" s="109"/>
      <c r="I265" s="255"/>
      <c r="J265" s="366" t="str">
        <f>IFERROR(VLOOKUP($F265,補助対象機器一覧20220831!$A$2:$K$200,2,FALSE),"")</f>
        <v/>
      </c>
      <c r="K265" s="367"/>
      <c r="L265" s="368"/>
      <c r="M265" s="245"/>
      <c r="N265" s="366" t="str">
        <f>IFERROR(VLOOKUP($F265,補助対象機器一覧20220831!$A$2:$K$200,7,FALSE),"")</f>
        <v/>
      </c>
      <c r="O265" s="367"/>
      <c r="P265" s="368"/>
      <c r="Q265" s="245"/>
      <c r="R265" s="366" t="str">
        <f>IFERROR(VLOOKUP($F265,補助対象機器一覧20220831!$A$2:$K$200,8,FALSE),"")</f>
        <v/>
      </c>
      <c r="S265" s="367"/>
      <c r="T265" s="368"/>
      <c r="U265" s="245"/>
      <c r="V265" s="244" t="str">
        <f>IFERROR(VLOOKUP($F265,補助対象機器一覧20220831!$A$2:$K$200,9,FALSE),"")</f>
        <v/>
      </c>
      <c r="W265" s="46"/>
      <c r="X265" s="402" t="str">
        <f>IF($B265&lt;=入力シート!$F$85,""&amp;中間シート!X544,"")</f>
        <v/>
      </c>
      <c r="Y265" s="402"/>
      <c r="Z265" s="402"/>
      <c r="AA265" s="402"/>
      <c r="AB265" s="402"/>
      <c r="AC265" s="402"/>
      <c r="AD265" s="402"/>
      <c r="AE265" s="402"/>
      <c r="AF265" s="402"/>
      <c r="AG265" s="402"/>
      <c r="AH265" s="402"/>
      <c r="AI265" s="402"/>
      <c r="AJ265" s="402"/>
      <c r="AK265" s="402"/>
      <c r="AL265" s="402"/>
      <c r="AM265" s="402"/>
      <c r="AN265" s="402"/>
      <c r="AO265" s="402"/>
      <c r="AQ265" s="81">
        <f>IF(J265&lt;&gt;"",1,IF(H265="なし",2,0))</f>
        <v>0</v>
      </c>
      <c r="AR265" s="86"/>
      <c r="AS265" s="86"/>
    </row>
    <row r="266" spans="2:45" ht="5.0999999999999996" customHeight="1" thickBot="1" x14ac:dyDescent="0.2">
      <c r="C266" s="46"/>
      <c r="D266" s="82"/>
      <c r="E266" s="48"/>
      <c r="F266" s="245"/>
      <c r="G266" s="46"/>
      <c r="H266" s="46"/>
      <c r="I266" s="255"/>
      <c r="J266" s="245"/>
      <c r="K266" s="245"/>
      <c r="L266" s="245"/>
      <c r="M266" s="245"/>
      <c r="N266" s="245"/>
      <c r="O266" s="245"/>
      <c r="P266" s="245"/>
      <c r="Q266" s="245"/>
      <c r="R266" s="245"/>
      <c r="S266" s="245"/>
      <c r="T266" s="245"/>
      <c r="U266" s="245"/>
      <c r="V266" s="245"/>
      <c r="W266" s="46"/>
      <c r="X266" s="402"/>
      <c r="Y266" s="402"/>
      <c r="Z266" s="402"/>
      <c r="AA266" s="402"/>
      <c r="AB266" s="402"/>
      <c r="AC266" s="402"/>
      <c r="AD266" s="402"/>
      <c r="AE266" s="402"/>
      <c r="AF266" s="402"/>
      <c r="AG266" s="402"/>
      <c r="AH266" s="402"/>
      <c r="AI266" s="402"/>
      <c r="AJ266" s="402"/>
      <c r="AK266" s="402"/>
      <c r="AL266" s="402"/>
      <c r="AM266" s="402"/>
      <c r="AN266" s="402"/>
      <c r="AO266" s="402"/>
      <c r="AP266" s="41"/>
      <c r="AQ266" s="86"/>
      <c r="AR266" s="86"/>
      <c r="AS266" s="86"/>
    </row>
    <row r="267" spans="2:45" ht="18" customHeight="1" thickBot="1" x14ac:dyDescent="0.2">
      <c r="B267" s="42">
        <v>11</v>
      </c>
      <c r="C267" s="46"/>
      <c r="D267" s="82"/>
      <c r="E267" s="48"/>
      <c r="F267" s="246"/>
      <c r="G267" s="46"/>
      <c r="H267" s="46"/>
      <c r="I267" s="261" t="str">
        <f>IF(AQ265=2,"入力してください→",IF(AQ265=1,"入力不要です→",""))</f>
        <v/>
      </c>
      <c r="J267" s="387"/>
      <c r="K267" s="388"/>
      <c r="L267" s="389"/>
      <c r="M267" s="245"/>
      <c r="N267" s="387"/>
      <c r="O267" s="388"/>
      <c r="P267" s="389"/>
      <c r="Q267" s="245"/>
      <c r="R267" s="387"/>
      <c r="S267" s="388"/>
      <c r="T267" s="389"/>
      <c r="U267" s="245"/>
      <c r="V267" s="249"/>
      <c r="W267" s="46"/>
      <c r="X267" s="402"/>
      <c r="Y267" s="402"/>
      <c r="Z267" s="402"/>
      <c r="AA267" s="402"/>
      <c r="AB267" s="402"/>
      <c r="AC267" s="402"/>
      <c r="AD267" s="402"/>
      <c r="AE267" s="402"/>
      <c r="AF267" s="402"/>
      <c r="AG267" s="402"/>
      <c r="AH267" s="402"/>
      <c r="AI267" s="402"/>
      <c r="AJ267" s="402"/>
      <c r="AK267" s="402"/>
      <c r="AL267" s="402"/>
      <c r="AM267" s="402"/>
      <c r="AN267" s="402"/>
      <c r="AO267" s="402"/>
      <c r="AP267" s="41"/>
      <c r="AQ267" s="86"/>
      <c r="AR267" s="86"/>
      <c r="AS267" s="86"/>
    </row>
    <row r="268" spans="2:45" ht="5.0999999999999996" customHeight="1" thickBot="1" x14ac:dyDescent="0.2">
      <c r="C268" s="46"/>
      <c r="D268" s="46"/>
      <c r="E268" s="47"/>
      <c r="F268" s="245"/>
      <c r="G268" s="47"/>
      <c r="H268" s="47"/>
      <c r="I268" s="255"/>
      <c r="J268" s="245"/>
      <c r="K268" s="245"/>
      <c r="L268" s="245"/>
      <c r="M268" s="245"/>
      <c r="N268" s="245"/>
      <c r="O268" s="245"/>
      <c r="P268" s="245"/>
      <c r="Q268" s="245"/>
      <c r="R268" s="245"/>
      <c r="S268" s="245"/>
      <c r="T268" s="245"/>
      <c r="U268" s="245"/>
      <c r="V268" s="245"/>
      <c r="W268" s="46"/>
      <c r="X268" s="296" t="s">
        <v>212</v>
      </c>
      <c r="Y268" s="296"/>
      <c r="Z268" s="296"/>
      <c r="AA268" s="296"/>
      <c r="AB268" s="296"/>
      <c r="AC268" s="296"/>
      <c r="AD268" s="296"/>
      <c r="AE268" s="296"/>
      <c r="AF268" s="296"/>
      <c r="AG268" s="296"/>
      <c r="AH268" s="296"/>
      <c r="AI268" s="296"/>
      <c r="AJ268" s="296"/>
      <c r="AK268" s="296"/>
      <c r="AL268" s="296"/>
      <c r="AM268" s="296"/>
      <c r="AN268" s="296"/>
      <c r="AO268" s="296"/>
      <c r="AP268" s="41"/>
      <c r="AQ268" s="86"/>
      <c r="AR268" s="86"/>
      <c r="AS268" s="86"/>
    </row>
    <row r="269" spans="2:45" ht="18" customHeight="1" thickBot="1" x14ac:dyDescent="0.2">
      <c r="B269" s="42">
        <v>11</v>
      </c>
      <c r="C269" s="46"/>
      <c r="D269" s="46"/>
      <c r="E269" s="48" t="s">
        <v>73</v>
      </c>
      <c r="F269" s="80"/>
      <c r="G269" s="47"/>
      <c r="H269" s="109"/>
      <c r="I269" s="255"/>
      <c r="J269" s="366" t="str">
        <f>IFERROR(VLOOKUP($F269,補助対象機器一覧20220831!$A$2:$K$200,2,FALSE),"")</f>
        <v/>
      </c>
      <c r="K269" s="367"/>
      <c r="L269" s="368"/>
      <c r="M269" s="245"/>
      <c r="N269" s="366" t="str">
        <f>IFERROR(VLOOKUP($F269,補助対象機器一覧20220831!$A$2:$K$200,7,FALSE),"")</f>
        <v/>
      </c>
      <c r="O269" s="367"/>
      <c r="P269" s="368"/>
      <c r="Q269" s="245"/>
      <c r="R269" s="366" t="str">
        <f>IFERROR(VLOOKUP($F269,補助対象機器一覧20220831!$A$2:$K$200,8,FALSE),"")</f>
        <v/>
      </c>
      <c r="S269" s="367"/>
      <c r="T269" s="368"/>
      <c r="U269" s="245"/>
      <c r="V269" s="244" t="str">
        <f>IFERROR(VLOOKUP($F269,補助対象機器一覧20220831!$A$2:$K$200,9,FALSE),"")</f>
        <v/>
      </c>
      <c r="W269" s="46"/>
      <c r="X269" s="402" t="str">
        <f>IF($B269&lt;=入力シート!$F$85,""&amp;中間シート!X545,"")</f>
        <v/>
      </c>
      <c r="Y269" s="402"/>
      <c r="Z269" s="402"/>
      <c r="AA269" s="402"/>
      <c r="AB269" s="402"/>
      <c r="AC269" s="402"/>
      <c r="AD269" s="402"/>
      <c r="AE269" s="402"/>
      <c r="AF269" s="402"/>
      <c r="AG269" s="402"/>
      <c r="AH269" s="402"/>
      <c r="AI269" s="402"/>
      <c r="AJ269" s="402"/>
      <c r="AK269" s="402"/>
      <c r="AL269" s="402"/>
      <c r="AM269" s="402"/>
      <c r="AN269" s="402"/>
      <c r="AO269" s="402"/>
      <c r="AP269" s="41"/>
      <c r="AQ269" s="81">
        <f>IF(J269&lt;&gt;"",1,IF(H269="なし",2,0))</f>
        <v>0</v>
      </c>
      <c r="AR269" s="86"/>
      <c r="AS269" s="86"/>
    </row>
    <row r="270" spans="2:45" ht="5.0999999999999996" customHeight="1" thickBot="1" x14ac:dyDescent="0.2">
      <c r="C270" s="46"/>
      <c r="D270" s="46"/>
      <c r="E270" s="48"/>
      <c r="F270" s="246"/>
      <c r="G270" s="47"/>
      <c r="H270" s="47"/>
      <c r="I270" s="255"/>
      <c r="J270" s="246"/>
      <c r="K270" s="246"/>
      <c r="L270" s="246"/>
      <c r="M270" s="245"/>
      <c r="N270" s="246"/>
      <c r="O270" s="246"/>
      <c r="P270" s="246"/>
      <c r="Q270" s="245"/>
      <c r="R270" s="246"/>
      <c r="S270" s="246"/>
      <c r="T270" s="246"/>
      <c r="U270" s="245"/>
      <c r="V270" s="246"/>
      <c r="W270" s="46"/>
      <c r="X270" s="402"/>
      <c r="Y270" s="402"/>
      <c r="Z270" s="402"/>
      <c r="AA270" s="402"/>
      <c r="AB270" s="402"/>
      <c r="AC270" s="402"/>
      <c r="AD270" s="402"/>
      <c r="AE270" s="402"/>
      <c r="AF270" s="402"/>
      <c r="AG270" s="402"/>
      <c r="AH270" s="402"/>
      <c r="AI270" s="402"/>
      <c r="AJ270" s="402"/>
      <c r="AK270" s="402"/>
      <c r="AL270" s="402"/>
      <c r="AM270" s="402"/>
      <c r="AN270" s="402"/>
      <c r="AO270" s="402"/>
      <c r="AP270" s="41"/>
      <c r="AQ270" s="86"/>
      <c r="AR270" s="86"/>
      <c r="AS270" s="86"/>
    </row>
    <row r="271" spans="2:45" ht="18" customHeight="1" thickBot="1" x14ac:dyDescent="0.2">
      <c r="B271" s="42">
        <v>11</v>
      </c>
      <c r="C271" s="46"/>
      <c r="D271" s="46"/>
      <c r="E271" s="48"/>
      <c r="F271" s="246"/>
      <c r="G271" s="47"/>
      <c r="H271" s="47"/>
      <c r="I271" s="261" t="str">
        <f>IF(AQ269=2,"入力してください→",IF(AQ269=1,"入力不要です→",""))</f>
        <v/>
      </c>
      <c r="J271" s="387"/>
      <c r="K271" s="388"/>
      <c r="L271" s="389"/>
      <c r="M271" s="245"/>
      <c r="N271" s="387"/>
      <c r="O271" s="388"/>
      <c r="P271" s="389"/>
      <c r="Q271" s="245"/>
      <c r="R271" s="387"/>
      <c r="S271" s="388"/>
      <c r="T271" s="389"/>
      <c r="U271" s="245"/>
      <c r="V271" s="249"/>
      <c r="W271" s="46"/>
      <c r="X271" s="402"/>
      <c r="Y271" s="402"/>
      <c r="Z271" s="402"/>
      <c r="AA271" s="402"/>
      <c r="AB271" s="402"/>
      <c r="AC271" s="402"/>
      <c r="AD271" s="402"/>
      <c r="AE271" s="402"/>
      <c r="AF271" s="402"/>
      <c r="AG271" s="402"/>
      <c r="AH271" s="402"/>
      <c r="AI271" s="402"/>
      <c r="AJ271" s="402"/>
      <c r="AK271" s="402"/>
      <c r="AL271" s="402"/>
      <c r="AM271" s="402"/>
      <c r="AN271" s="402"/>
      <c r="AO271" s="402"/>
      <c r="AP271" s="41"/>
      <c r="AQ271" s="86"/>
      <c r="AR271" s="86"/>
      <c r="AS271" s="86"/>
    </row>
    <row r="272" spans="2:45" ht="5.0999999999999996" customHeight="1" thickBot="1" x14ac:dyDescent="0.2">
      <c r="C272" s="46"/>
      <c r="D272" s="46"/>
      <c r="E272" s="48"/>
      <c r="F272" s="246"/>
      <c r="G272" s="47"/>
      <c r="H272" s="47"/>
      <c r="I272" s="255"/>
      <c r="J272" s="246"/>
      <c r="K272" s="246"/>
      <c r="L272" s="246"/>
      <c r="M272" s="245"/>
      <c r="N272" s="246"/>
      <c r="O272" s="246"/>
      <c r="P272" s="246"/>
      <c r="Q272" s="245"/>
      <c r="R272" s="246"/>
      <c r="S272" s="246"/>
      <c r="T272" s="246"/>
      <c r="U272" s="245"/>
      <c r="V272" s="246"/>
      <c r="W272" s="46"/>
      <c r="X272" s="296" t="s">
        <v>212</v>
      </c>
      <c r="Y272" s="296"/>
      <c r="Z272" s="296"/>
      <c r="AA272" s="296"/>
      <c r="AB272" s="296"/>
      <c r="AC272" s="296"/>
      <c r="AD272" s="296"/>
      <c r="AE272" s="296"/>
      <c r="AF272" s="296"/>
      <c r="AG272" s="296"/>
      <c r="AH272" s="296"/>
      <c r="AI272" s="296"/>
      <c r="AJ272" s="296"/>
      <c r="AK272" s="296"/>
      <c r="AL272" s="296"/>
      <c r="AM272" s="296"/>
      <c r="AN272" s="296"/>
      <c r="AO272" s="296"/>
      <c r="AP272" s="41"/>
      <c r="AQ272" s="86"/>
      <c r="AR272" s="86"/>
      <c r="AS272" s="86"/>
    </row>
    <row r="273" spans="2:45" ht="18" customHeight="1" thickBot="1" x14ac:dyDescent="0.2">
      <c r="B273" s="42">
        <v>11</v>
      </c>
      <c r="C273" s="46"/>
      <c r="D273" s="46"/>
      <c r="E273" s="48" t="s">
        <v>74</v>
      </c>
      <c r="F273" s="80"/>
      <c r="G273" s="47"/>
      <c r="H273" s="109"/>
      <c r="I273" s="255"/>
      <c r="J273" s="366" t="str">
        <f>IFERROR(VLOOKUP($F273,補助対象機器一覧20220831!$A$2:$K$200,2,FALSE),"")</f>
        <v/>
      </c>
      <c r="K273" s="367"/>
      <c r="L273" s="368"/>
      <c r="M273" s="245"/>
      <c r="N273" s="366" t="str">
        <f>IFERROR(VLOOKUP($F273,補助対象機器一覧20220831!$A$2:$K$200,7,FALSE),"")</f>
        <v/>
      </c>
      <c r="O273" s="367"/>
      <c r="P273" s="368"/>
      <c r="Q273" s="245"/>
      <c r="R273" s="366" t="str">
        <f>IFERROR(VLOOKUP($F273,補助対象機器一覧20220831!$A$2:$K$200,8,FALSE),"")</f>
        <v/>
      </c>
      <c r="S273" s="367"/>
      <c r="T273" s="368"/>
      <c r="U273" s="245"/>
      <c r="V273" s="244" t="str">
        <f>IFERROR(VLOOKUP($F273,補助対象機器一覧20220831!$A$2:$K$200,9,FALSE),"")</f>
        <v/>
      </c>
      <c r="W273" s="46"/>
      <c r="X273" s="402" t="str">
        <f>IF($B273&lt;=入力シート!$F$85,""&amp;中間シート!X546,"")</f>
        <v/>
      </c>
      <c r="Y273" s="402"/>
      <c r="Z273" s="402"/>
      <c r="AA273" s="402"/>
      <c r="AB273" s="402"/>
      <c r="AC273" s="402"/>
      <c r="AD273" s="402"/>
      <c r="AE273" s="402"/>
      <c r="AF273" s="402"/>
      <c r="AG273" s="402"/>
      <c r="AH273" s="402"/>
      <c r="AI273" s="402"/>
      <c r="AJ273" s="402"/>
      <c r="AK273" s="402"/>
      <c r="AL273" s="402"/>
      <c r="AM273" s="402"/>
      <c r="AN273" s="402"/>
      <c r="AO273" s="402"/>
      <c r="AP273" s="41"/>
      <c r="AQ273" s="81">
        <f>IF(J273&lt;&gt;"",1,IF(H273="なし",2,0))</f>
        <v>0</v>
      </c>
      <c r="AR273" s="86"/>
      <c r="AS273" s="86"/>
    </row>
    <row r="274" spans="2:45" ht="5.0999999999999996" customHeight="1" thickBot="1" x14ac:dyDescent="0.2">
      <c r="C274" s="46"/>
      <c r="D274" s="46"/>
      <c r="E274" s="48"/>
      <c r="F274" s="246"/>
      <c r="G274" s="47"/>
      <c r="H274" s="47"/>
      <c r="I274" s="255"/>
      <c r="J274" s="246"/>
      <c r="K274" s="246"/>
      <c r="L274" s="246"/>
      <c r="M274" s="245"/>
      <c r="N274" s="246"/>
      <c r="O274" s="246"/>
      <c r="P274" s="246"/>
      <c r="Q274" s="245"/>
      <c r="R274" s="246"/>
      <c r="S274" s="246"/>
      <c r="T274" s="246"/>
      <c r="U274" s="245"/>
      <c r="V274" s="246"/>
      <c r="W274" s="46"/>
      <c r="X274" s="402"/>
      <c r="Y274" s="402"/>
      <c r="Z274" s="402"/>
      <c r="AA274" s="402"/>
      <c r="AB274" s="402"/>
      <c r="AC274" s="402"/>
      <c r="AD274" s="402"/>
      <c r="AE274" s="402"/>
      <c r="AF274" s="402"/>
      <c r="AG274" s="402"/>
      <c r="AH274" s="402"/>
      <c r="AI274" s="402"/>
      <c r="AJ274" s="402"/>
      <c r="AK274" s="402"/>
      <c r="AL274" s="402"/>
      <c r="AM274" s="402"/>
      <c r="AN274" s="402"/>
      <c r="AO274" s="402"/>
      <c r="AP274" s="41"/>
      <c r="AQ274" s="86"/>
      <c r="AR274" s="86"/>
      <c r="AS274" s="86"/>
    </row>
    <row r="275" spans="2:45" ht="18" customHeight="1" thickBot="1" x14ac:dyDescent="0.2">
      <c r="B275" s="42">
        <v>11</v>
      </c>
      <c r="C275" s="46"/>
      <c r="D275" s="46"/>
      <c r="E275" s="47"/>
      <c r="F275" s="246"/>
      <c r="G275" s="47"/>
      <c r="H275" s="47"/>
      <c r="I275" s="261" t="str">
        <f>IF(AQ273=2,"入力してください→",IF(AQ273=1,"入力不要です→",""))</f>
        <v/>
      </c>
      <c r="J275" s="387"/>
      <c r="K275" s="388"/>
      <c r="L275" s="389"/>
      <c r="M275" s="245"/>
      <c r="N275" s="387"/>
      <c r="O275" s="388"/>
      <c r="P275" s="389"/>
      <c r="Q275" s="245"/>
      <c r="R275" s="387"/>
      <c r="S275" s="388"/>
      <c r="T275" s="389"/>
      <c r="U275" s="245"/>
      <c r="V275" s="249"/>
      <c r="W275" s="46"/>
      <c r="X275" s="402"/>
      <c r="Y275" s="402"/>
      <c r="Z275" s="402"/>
      <c r="AA275" s="402"/>
      <c r="AB275" s="402"/>
      <c r="AC275" s="402"/>
      <c r="AD275" s="402"/>
      <c r="AE275" s="402"/>
      <c r="AF275" s="402"/>
      <c r="AG275" s="402"/>
      <c r="AH275" s="402"/>
      <c r="AI275" s="402"/>
      <c r="AJ275" s="402"/>
      <c r="AK275" s="402"/>
      <c r="AL275" s="402"/>
      <c r="AM275" s="402"/>
      <c r="AN275" s="402"/>
      <c r="AO275" s="402"/>
      <c r="AP275" s="41"/>
      <c r="AQ275" s="86"/>
      <c r="AR275" s="86"/>
      <c r="AS275" s="86"/>
    </row>
    <row r="276" spans="2:45" x14ac:dyDescent="0.15">
      <c r="C276" s="46"/>
      <c r="D276" s="46"/>
      <c r="E276" s="47"/>
      <c r="F276" s="246"/>
      <c r="G276" s="47"/>
      <c r="H276" s="47"/>
      <c r="I276" s="257"/>
      <c r="J276" s="245"/>
      <c r="K276" s="245"/>
      <c r="L276" s="245"/>
      <c r="M276" s="245"/>
      <c r="N276" s="245"/>
      <c r="O276" s="245"/>
      <c r="P276" s="245"/>
      <c r="Q276" s="245"/>
      <c r="R276" s="245"/>
      <c r="S276" s="245"/>
      <c r="T276" s="245"/>
      <c r="U276" s="245"/>
      <c r="V276" s="245"/>
      <c r="W276" s="46"/>
      <c r="X276" s="296" t="s">
        <v>212</v>
      </c>
      <c r="Y276" s="296"/>
      <c r="Z276" s="296"/>
      <c r="AA276" s="296"/>
      <c r="AB276" s="296"/>
      <c r="AC276" s="296"/>
      <c r="AD276" s="296"/>
      <c r="AE276" s="296"/>
      <c r="AF276" s="296"/>
      <c r="AG276" s="296"/>
      <c r="AH276" s="296"/>
      <c r="AI276" s="296"/>
      <c r="AJ276" s="296"/>
      <c r="AK276" s="296"/>
      <c r="AL276" s="296"/>
      <c r="AM276" s="296"/>
      <c r="AN276" s="296"/>
      <c r="AO276" s="296"/>
      <c r="AQ276" s="86"/>
      <c r="AR276" s="86"/>
      <c r="AS276" s="86"/>
    </row>
    <row r="277" spans="2:45" ht="14.25" thickBot="1" x14ac:dyDescent="0.2">
      <c r="C277" s="86"/>
      <c r="D277" s="86"/>
      <c r="E277" s="93"/>
      <c r="F277" s="247"/>
      <c r="G277" s="93"/>
      <c r="H277" s="93"/>
      <c r="I277" s="258"/>
      <c r="J277" s="248"/>
      <c r="K277" s="248"/>
      <c r="L277" s="248"/>
      <c r="M277" s="248"/>
      <c r="N277" s="248"/>
      <c r="O277" s="248"/>
      <c r="P277" s="248"/>
      <c r="Q277" s="248"/>
      <c r="R277" s="248"/>
      <c r="S277" s="248"/>
      <c r="T277" s="248"/>
      <c r="U277" s="248"/>
      <c r="V277" s="248"/>
      <c r="W277" s="86"/>
      <c r="X277" s="296" t="s">
        <v>212</v>
      </c>
      <c r="Y277" s="296"/>
      <c r="Z277" s="296"/>
      <c r="AA277" s="296"/>
      <c r="AB277" s="296"/>
      <c r="AC277" s="296"/>
      <c r="AD277" s="296"/>
      <c r="AE277" s="296"/>
      <c r="AF277" s="296"/>
      <c r="AG277" s="296"/>
      <c r="AH277" s="296"/>
      <c r="AI277" s="296"/>
      <c r="AJ277" s="296"/>
      <c r="AK277" s="296"/>
      <c r="AL277" s="296"/>
      <c r="AM277" s="296"/>
      <c r="AN277" s="296"/>
      <c r="AO277" s="296"/>
      <c r="AQ277" s="86"/>
      <c r="AR277" s="86"/>
      <c r="AS277" s="86"/>
    </row>
    <row r="278" spans="2:45" ht="18" customHeight="1" thickBot="1" x14ac:dyDescent="0.2">
      <c r="B278" s="42">
        <v>12</v>
      </c>
      <c r="C278" s="86"/>
      <c r="D278" s="94" t="s">
        <v>167</v>
      </c>
      <c r="E278" s="95" t="s">
        <v>72</v>
      </c>
      <c r="F278" s="80"/>
      <c r="G278" s="86"/>
      <c r="H278" s="80"/>
      <c r="I278" s="259"/>
      <c r="J278" s="366" t="str">
        <f>IFERROR(VLOOKUP($F278,補助対象機器一覧20220831!$A$2:$K$200,2,FALSE),"")</f>
        <v/>
      </c>
      <c r="K278" s="367"/>
      <c r="L278" s="368"/>
      <c r="M278" s="248"/>
      <c r="N278" s="366" t="str">
        <f>IFERROR(VLOOKUP($F278,補助対象機器一覧20220831!$A$2:$K$200,7,FALSE),"")</f>
        <v/>
      </c>
      <c r="O278" s="367"/>
      <c r="P278" s="368"/>
      <c r="Q278" s="248"/>
      <c r="R278" s="366" t="str">
        <f>IFERROR(VLOOKUP($F278,補助対象機器一覧20220831!$A$2:$K$200,8,FALSE),"")</f>
        <v/>
      </c>
      <c r="S278" s="367"/>
      <c r="T278" s="368"/>
      <c r="U278" s="248"/>
      <c r="V278" s="244" t="str">
        <f>IFERROR(VLOOKUP($F278,補助対象機器一覧20220831!$A$2:$K$200,9,FALSE),"")</f>
        <v/>
      </c>
      <c r="W278" s="86"/>
      <c r="X278" s="402" t="str">
        <f>IF($B278&lt;=入力シート!$F$85,""&amp;中間シート!X547,"")</f>
        <v/>
      </c>
      <c r="Y278" s="402"/>
      <c r="Z278" s="402"/>
      <c r="AA278" s="402"/>
      <c r="AB278" s="402"/>
      <c r="AC278" s="402"/>
      <c r="AD278" s="402"/>
      <c r="AE278" s="402"/>
      <c r="AF278" s="402"/>
      <c r="AG278" s="402"/>
      <c r="AH278" s="402"/>
      <c r="AI278" s="402"/>
      <c r="AJ278" s="402"/>
      <c r="AK278" s="402"/>
      <c r="AL278" s="402"/>
      <c r="AM278" s="402"/>
      <c r="AN278" s="402"/>
      <c r="AO278" s="402"/>
      <c r="AQ278" s="81">
        <f>IF(J278&lt;&gt;"",1,IF(H278="なし",2,0))</f>
        <v>0</v>
      </c>
      <c r="AR278" s="86"/>
      <c r="AS278" s="86"/>
    </row>
    <row r="279" spans="2:45" ht="5.0999999999999996" customHeight="1" thickBot="1" x14ac:dyDescent="0.2">
      <c r="C279" s="86"/>
      <c r="D279" s="94"/>
      <c r="E279" s="95"/>
      <c r="F279" s="248"/>
      <c r="G279" s="86"/>
      <c r="H279" s="86"/>
      <c r="I279" s="259"/>
      <c r="J279" s="248"/>
      <c r="K279" s="248"/>
      <c r="L279" s="248"/>
      <c r="M279" s="248"/>
      <c r="N279" s="248"/>
      <c r="O279" s="248"/>
      <c r="P279" s="248"/>
      <c r="Q279" s="248"/>
      <c r="R279" s="248"/>
      <c r="S279" s="248"/>
      <c r="T279" s="248"/>
      <c r="U279" s="248"/>
      <c r="V279" s="248"/>
      <c r="W279" s="86"/>
      <c r="X279" s="402"/>
      <c r="Y279" s="402"/>
      <c r="Z279" s="402"/>
      <c r="AA279" s="402"/>
      <c r="AB279" s="402"/>
      <c r="AC279" s="402"/>
      <c r="AD279" s="402"/>
      <c r="AE279" s="402"/>
      <c r="AF279" s="402"/>
      <c r="AG279" s="402"/>
      <c r="AH279" s="402"/>
      <c r="AI279" s="402"/>
      <c r="AJ279" s="402"/>
      <c r="AK279" s="402"/>
      <c r="AL279" s="402"/>
      <c r="AM279" s="402"/>
      <c r="AN279" s="402"/>
      <c r="AO279" s="402"/>
      <c r="AP279" s="41"/>
      <c r="AQ279" s="86"/>
      <c r="AR279" s="86"/>
      <c r="AS279" s="86"/>
    </row>
    <row r="280" spans="2:45" ht="18" customHeight="1" thickBot="1" x14ac:dyDescent="0.2">
      <c r="B280" s="42">
        <v>12</v>
      </c>
      <c r="C280" s="86"/>
      <c r="D280" s="94"/>
      <c r="E280" s="95"/>
      <c r="F280" s="247"/>
      <c r="G280" s="86"/>
      <c r="H280" s="86"/>
      <c r="I280" s="260" t="str">
        <f>IF(AQ278=2,"入力してください→",IF(AQ278=1,"入力不要です→",""))</f>
        <v/>
      </c>
      <c r="J280" s="387"/>
      <c r="K280" s="388"/>
      <c r="L280" s="389"/>
      <c r="M280" s="248"/>
      <c r="N280" s="387"/>
      <c r="O280" s="388"/>
      <c r="P280" s="389"/>
      <c r="Q280" s="248"/>
      <c r="R280" s="387"/>
      <c r="S280" s="388"/>
      <c r="T280" s="389"/>
      <c r="U280" s="248"/>
      <c r="V280" s="249"/>
      <c r="W280" s="86"/>
      <c r="X280" s="402"/>
      <c r="Y280" s="402"/>
      <c r="Z280" s="402"/>
      <c r="AA280" s="402"/>
      <c r="AB280" s="402"/>
      <c r="AC280" s="402"/>
      <c r="AD280" s="402"/>
      <c r="AE280" s="402"/>
      <c r="AF280" s="402"/>
      <c r="AG280" s="402"/>
      <c r="AH280" s="402"/>
      <c r="AI280" s="402"/>
      <c r="AJ280" s="402"/>
      <c r="AK280" s="402"/>
      <c r="AL280" s="402"/>
      <c r="AM280" s="402"/>
      <c r="AN280" s="402"/>
      <c r="AO280" s="402"/>
      <c r="AP280" s="41"/>
      <c r="AQ280" s="86"/>
      <c r="AR280" s="86"/>
      <c r="AS280" s="86"/>
    </row>
    <row r="281" spans="2:45" ht="5.0999999999999996" customHeight="1" thickBot="1" x14ac:dyDescent="0.2">
      <c r="C281" s="86"/>
      <c r="D281" s="86"/>
      <c r="E281" s="93"/>
      <c r="F281" s="248"/>
      <c r="G281" s="93"/>
      <c r="H281" s="93"/>
      <c r="I281" s="259"/>
      <c r="J281" s="248"/>
      <c r="K281" s="248"/>
      <c r="L281" s="248"/>
      <c r="M281" s="248"/>
      <c r="N281" s="248"/>
      <c r="O281" s="248"/>
      <c r="P281" s="248"/>
      <c r="Q281" s="248"/>
      <c r="R281" s="248"/>
      <c r="S281" s="248"/>
      <c r="T281" s="248"/>
      <c r="U281" s="248"/>
      <c r="V281" s="248"/>
      <c r="W281" s="86"/>
      <c r="X281" s="296" t="s">
        <v>212</v>
      </c>
      <c r="Y281" s="296"/>
      <c r="Z281" s="296"/>
      <c r="AA281" s="296"/>
      <c r="AB281" s="296"/>
      <c r="AC281" s="296"/>
      <c r="AD281" s="296"/>
      <c r="AE281" s="296"/>
      <c r="AF281" s="296"/>
      <c r="AG281" s="296"/>
      <c r="AH281" s="296"/>
      <c r="AI281" s="296"/>
      <c r="AJ281" s="296"/>
      <c r="AK281" s="296"/>
      <c r="AL281" s="296"/>
      <c r="AM281" s="296"/>
      <c r="AN281" s="296"/>
      <c r="AO281" s="296"/>
      <c r="AP281" s="41"/>
      <c r="AQ281" s="86"/>
      <c r="AR281" s="86"/>
      <c r="AS281" s="86"/>
    </row>
    <row r="282" spans="2:45" ht="18" customHeight="1" thickBot="1" x14ac:dyDescent="0.2">
      <c r="B282" s="42">
        <v>12</v>
      </c>
      <c r="C282" s="86"/>
      <c r="D282" s="86"/>
      <c r="E282" s="95" t="s">
        <v>73</v>
      </c>
      <c r="F282" s="80"/>
      <c r="G282" s="93"/>
      <c r="H282" s="80"/>
      <c r="I282" s="259"/>
      <c r="J282" s="366" t="str">
        <f>IFERROR(VLOOKUP($F282,補助対象機器一覧20220831!$A$2:$K$200,2,FALSE),"")</f>
        <v/>
      </c>
      <c r="K282" s="367"/>
      <c r="L282" s="368"/>
      <c r="M282" s="248"/>
      <c r="N282" s="366" t="str">
        <f>IFERROR(VLOOKUP($F282,補助対象機器一覧20220831!$A$2:$K$200,7,FALSE),"")</f>
        <v/>
      </c>
      <c r="O282" s="367"/>
      <c r="P282" s="368"/>
      <c r="Q282" s="248"/>
      <c r="R282" s="366" t="str">
        <f>IFERROR(VLOOKUP($F282,補助対象機器一覧20220831!$A$2:$K$200,8,FALSE),"")</f>
        <v/>
      </c>
      <c r="S282" s="367"/>
      <c r="T282" s="368"/>
      <c r="U282" s="248"/>
      <c r="V282" s="244" t="str">
        <f>IFERROR(VLOOKUP($F282,補助対象機器一覧20220831!$A$2:$K$200,9,FALSE),"")</f>
        <v/>
      </c>
      <c r="W282" s="86"/>
      <c r="X282" s="402" t="str">
        <f>IF($B282&lt;=入力シート!$F$85,""&amp;中間シート!X548,"")</f>
        <v/>
      </c>
      <c r="Y282" s="402"/>
      <c r="Z282" s="402"/>
      <c r="AA282" s="402"/>
      <c r="AB282" s="402"/>
      <c r="AC282" s="402"/>
      <c r="AD282" s="402"/>
      <c r="AE282" s="402"/>
      <c r="AF282" s="402"/>
      <c r="AG282" s="402"/>
      <c r="AH282" s="402"/>
      <c r="AI282" s="402"/>
      <c r="AJ282" s="402"/>
      <c r="AK282" s="402"/>
      <c r="AL282" s="402"/>
      <c r="AM282" s="402"/>
      <c r="AN282" s="402"/>
      <c r="AO282" s="402"/>
      <c r="AP282" s="41"/>
      <c r="AQ282" s="81">
        <f>IF(J282&lt;&gt;"",1,IF(H282="なし",2,0))</f>
        <v>0</v>
      </c>
      <c r="AR282" s="86"/>
      <c r="AS282" s="86"/>
    </row>
    <row r="283" spans="2:45" ht="5.0999999999999996" customHeight="1" thickBot="1" x14ac:dyDescent="0.2">
      <c r="C283" s="86"/>
      <c r="D283" s="86"/>
      <c r="E283" s="95"/>
      <c r="F283" s="247"/>
      <c r="G283" s="93"/>
      <c r="H283" s="93"/>
      <c r="I283" s="259"/>
      <c r="J283" s="247"/>
      <c r="K283" s="247"/>
      <c r="L283" s="247"/>
      <c r="M283" s="248"/>
      <c r="N283" s="247"/>
      <c r="O283" s="247"/>
      <c r="P283" s="247"/>
      <c r="Q283" s="248"/>
      <c r="R283" s="247"/>
      <c r="S283" s="247"/>
      <c r="T283" s="247"/>
      <c r="U283" s="248"/>
      <c r="V283" s="247"/>
      <c r="W283" s="86"/>
      <c r="X283" s="402"/>
      <c r="Y283" s="402"/>
      <c r="Z283" s="402"/>
      <c r="AA283" s="402"/>
      <c r="AB283" s="402"/>
      <c r="AC283" s="402"/>
      <c r="AD283" s="402"/>
      <c r="AE283" s="402"/>
      <c r="AF283" s="402"/>
      <c r="AG283" s="402"/>
      <c r="AH283" s="402"/>
      <c r="AI283" s="402"/>
      <c r="AJ283" s="402"/>
      <c r="AK283" s="402"/>
      <c r="AL283" s="402"/>
      <c r="AM283" s="402"/>
      <c r="AN283" s="402"/>
      <c r="AO283" s="402"/>
      <c r="AP283" s="41"/>
      <c r="AQ283" s="86"/>
      <c r="AR283" s="86"/>
      <c r="AS283" s="86"/>
    </row>
    <row r="284" spans="2:45" ht="18" customHeight="1" thickBot="1" x14ac:dyDescent="0.2">
      <c r="B284" s="42">
        <v>12</v>
      </c>
      <c r="C284" s="86"/>
      <c r="D284" s="86"/>
      <c r="E284" s="95"/>
      <c r="F284" s="247"/>
      <c r="G284" s="93"/>
      <c r="H284" s="93"/>
      <c r="I284" s="260" t="str">
        <f>IF(AQ282=2,"入力してください→",IF(AQ282=1,"入力不要です→",""))</f>
        <v/>
      </c>
      <c r="J284" s="387"/>
      <c r="K284" s="388"/>
      <c r="L284" s="389"/>
      <c r="M284" s="248"/>
      <c r="N284" s="387"/>
      <c r="O284" s="388"/>
      <c r="P284" s="389"/>
      <c r="Q284" s="248"/>
      <c r="R284" s="387"/>
      <c r="S284" s="388"/>
      <c r="T284" s="389"/>
      <c r="U284" s="248"/>
      <c r="V284" s="249"/>
      <c r="W284" s="86"/>
      <c r="X284" s="402"/>
      <c r="Y284" s="402"/>
      <c r="Z284" s="402"/>
      <c r="AA284" s="402"/>
      <c r="AB284" s="402"/>
      <c r="AC284" s="402"/>
      <c r="AD284" s="402"/>
      <c r="AE284" s="402"/>
      <c r="AF284" s="402"/>
      <c r="AG284" s="402"/>
      <c r="AH284" s="402"/>
      <c r="AI284" s="402"/>
      <c r="AJ284" s="402"/>
      <c r="AK284" s="402"/>
      <c r="AL284" s="402"/>
      <c r="AM284" s="402"/>
      <c r="AN284" s="402"/>
      <c r="AO284" s="402"/>
      <c r="AP284" s="41"/>
      <c r="AQ284" s="86"/>
      <c r="AR284" s="86"/>
      <c r="AS284" s="86"/>
    </row>
    <row r="285" spans="2:45" ht="5.0999999999999996" customHeight="1" thickBot="1" x14ac:dyDescent="0.2">
      <c r="C285" s="86"/>
      <c r="D285" s="86"/>
      <c r="E285" s="95"/>
      <c r="F285" s="247"/>
      <c r="G285" s="93"/>
      <c r="H285" s="93"/>
      <c r="I285" s="259"/>
      <c r="J285" s="247"/>
      <c r="K285" s="247"/>
      <c r="L285" s="247"/>
      <c r="M285" s="248"/>
      <c r="N285" s="247"/>
      <c r="O285" s="247"/>
      <c r="P285" s="247"/>
      <c r="Q285" s="248"/>
      <c r="R285" s="247"/>
      <c r="S285" s="247"/>
      <c r="T285" s="247"/>
      <c r="U285" s="248"/>
      <c r="V285" s="247"/>
      <c r="W285" s="86"/>
      <c r="X285" s="296" t="s">
        <v>212</v>
      </c>
      <c r="Y285" s="296"/>
      <c r="Z285" s="296"/>
      <c r="AA285" s="296"/>
      <c r="AB285" s="296"/>
      <c r="AC285" s="296"/>
      <c r="AD285" s="296"/>
      <c r="AE285" s="296"/>
      <c r="AF285" s="296"/>
      <c r="AG285" s="296"/>
      <c r="AH285" s="296"/>
      <c r="AI285" s="296"/>
      <c r="AJ285" s="296"/>
      <c r="AK285" s="296"/>
      <c r="AL285" s="296"/>
      <c r="AM285" s="296"/>
      <c r="AN285" s="296"/>
      <c r="AO285" s="296"/>
      <c r="AP285" s="41"/>
      <c r="AQ285" s="86"/>
      <c r="AR285" s="86"/>
      <c r="AS285" s="86"/>
    </row>
    <row r="286" spans="2:45" ht="18" customHeight="1" thickBot="1" x14ac:dyDescent="0.2">
      <c r="B286" s="42">
        <v>12</v>
      </c>
      <c r="C286" s="86"/>
      <c r="D286" s="86"/>
      <c r="E286" s="95" t="s">
        <v>74</v>
      </c>
      <c r="F286" s="80"/>
      <c r="G286" s="93"/>
      <c r="H286" s="80"/>
      <c r="I286" s="259"/>
      <c r="J286" s="366" t="str">
        <f>IFERROR(VLOOKUP($F286,補助対象機器一覧20220831!$A$2:$K$200,2,FALSE),"")</f>
        <v/>
      </c>
      <c r="K286" s="367"/>
      <c r="L286" s="368"/>
      <c r="M286" s="248"/>
      <c r="N286" s="366" t="str">
        <f>IFERROR(VLOOKUP($F286,補助対象機器一覧20220831!$A$2:$K$200,7,FALSE),"")</f>
        <v/>
      </c>
      <c r="O286" s="367"/>
      <c r="P286" s="368"/>
      <c r="Q286" s="248"/>
      <c r="R286" s="366" t="str">
        <f>IFERROR(VLOOKUP($F286,補助対象機器一覧20220831!$A$2:$K$200,8,FALSE),"")</f>
        <v/>
      </c>
      <c r="S286" s="367"/>
      <c r="T286" s="368"/>
      <c r="U286" s="248"/>
      <c r="V286" s="244" t="str">
        <f>IFERROR(VLOOKUP($F286,補助対象機器一覧20220831!$A$2:$K$200,9,FALSE),"")</f>
        <v/>
      </c>
      <c r="W286" s="86"/>
      <c r="X286" s="402" t="str">
        <f>IF($B286&lt;=入力シート!$F$85,""&amp;中間シート!X549,"")</f>
        <v/>
      </c>
      <c r="Y286" s="402"/>
      <c r="Z286" s="402"/>
      <c r="AA286" s="402"/>
      <c r="AB286" s="402"/>
      <c r="AC286" s="402"/>
      <c r="AD286" s="402"/>
      <c r="AE286" s="402"/>
      <c r="AF286" s="402"/>
      <c r="AG286" s="402"/>
      <c r="AH286" s="402"/>
      <c r="AI286" s="402"/>
      <c r="AJ286" s="402"/>
      <c r="AK286" s="402"/>
      <c r="AL286" s="402"/>
      <c r="AM286" s="402"/>
      <c r="AN286" s="402"/>
      <c r="AO286" s="402"/>
      <c r="AP286" s="41"/>
      <c r="AQ286" s="81">
        <f>IF(J286&lt;&gt;"",1,IF(H286="なし",2,0))</f>
        <v>0</v>
      </c>
      <c r="AR286" s="86"/>
      <c r="AS286" s="86"/>
    </row>
    <row r="287" spans="2:45" ht="5.0999999999999996" customHeight="1" thickBot="1" x14ac:dyDescent="0.2">
      <c r="C287" s="86"/>
      <c r="D287" s="86"/>
      <c r="E287" s="95"/>
      <c r="F287" s="247"/>
      <c r="G287" s="93"/>
      <c r="H287" s="93"/>
      <c r="I287" s="259"/>
      <c r="J287" s="247"/>
      <c r="K287" s="247"/>
      <c r="L287" s="247"/>
      <c r="M287" s="248"/>
      <c r="N287" s="247"/>
      <c r="O287" s="247"/>
      <c r="P287" s="247"/>
      <c r="Q287" s="248"/>
      <c r="R287" s="247"/>
      <c r="S287" s="247"/>
      <c r="T287" s="247"/>
      <c r="U287" s="248"/>
      <c r="V287" s="247"/>
      <c r="W287" s="86"/>
      <c r="X287" s="402"/>
      <c r="Y287" s="402"/>
      <c r="Z287" s="402"/>
      <c r="AA287" s="402"/>
      <c r="AB287" s="402"/>
      <c r="AC287" s="402"/>
      <c r="AD287" s="402"/>
      <c r="AE287" s="402"/>
      <c r="AF287" s="402"/>
      <c r="AG287" s="402"/>
      <c r="AH287" s="402"/>
      <c r="AI287" s="402"/>
      <c r="AJ287" s="402"/>
      <c r="AK287" s="402"/>
      <c r="AL287" s="402"/>
      <c r="AM287" s="402"/>
      <c r="AN287" s="402"/>
      <c r="AO287" s="402"/>
      <c r="AP287" s="41"/>
      <c r="AQ287" s="86"/>
      <c r="AR287" s="86"/>
      <c r="AS287" s="86"/>
    </row>
    <row r="288" spans="2:45" ht="18" customHeight="1" thickBot="1" x14ac:dyDescent="0.2">
      <c r="B288" s="42">
        <v>12</v>
      </c>
      <c r="C288" s="86"/>
      <c r="D288" s="86"/>
      <c r="E288" s="93"/>
      <c r="F288" s="247"/>
      <c r="G288" s="93"/>
      <c r="H288" s="93"/>
      <c r="I288" s="260" t="str">
        <f>IF(AQ286=2,"入力してください→",IF(AQ286=1,"入力不要です→",""))</f>
        <v/>
      </c>
      <c r="J288" s="387"/>
      <c r="K288" s="388"/>
      <c r="L288" s="389"/>
      <c r="M288" s="248"/>
      <c r="N288" s="387"/>
      <c r="O288" s="388"/>
      <c r="P288" s="389"/>
      <c r="Q288" s="248"/>
      <c r="R288" s="387"/>
      <c r="S288" s="388"/>
      <c r="T288" s="389"/>
      <c r="U288" s="248"/>
      <c r="V288" s="249"/>
      <c r="W288" s="86"/>
      <c r="X288" s="402"/>
      <c r="Y288" s="402"/>
      <c r="Z288" s="402"/>
      <c r="AA288" s="402"/>
      <c r="AB288" s="402"/>
      <c r="AC288" s="402"/>
      <c r="AD288" s="402"/>
      <c r="AE288" s="402"/>
      <c r="AF288" s="402"/>
      <c r="AG288" s="402"/>
      <c r="AH288" s="402"/>
      <c r="AI288" s="402"/>
      <c r="AJ288" s="402"/>
      <c r="AK288" s="402"/>
      <c r="AL288" s="402"/>
      <c r="AM288" s="402"/>
      <c r="AN288" s="402"/>
      <c r="AO288" s="402"/>
      <c r="AP288" s="41"/>
      <c r="AQ288" s="86"/>
      <c r="AR288" s="86"/>
      <c r="AS288" s="86"/>
    </row>
    <row r="289" spans="2:45" x14ac:dyDescent="0.15">
      <c r="C289" s="86"/>
      <c r="D289" s="86"/>
      <c r="E289" s="93"/>
      <c r="F289" s="247"/>
      <c r="G289" s="93"/>
      <c r="H289" s="93"/>
      <c r="I289" s="258"/>
      <c r="J289" s="248"/>
      <c r="K289" s="248"/>
      <c r="L289" s="248"/>
      <c r="M289" s="248"/>
      <c r="N289" s="248"/>
      <c r="O289" s="248"/>
      <c r="P289" s="248"/>
      <c r="Q289" s="248"/>
      <c r="R289" s="248"/>
      <c r="S289" s="248"/>
      <c r="T289" s="248"/>
      <c r="U289" s="248"/>
      <c r="V289" s="248"/>
      <c r="W289" s="86"/>
      <c r="X289" s="296" t="s">
        <v>212</v>
      </c>
      <c r="Y289" s="296"/>
      <c r="Z289" s="296"/>
      <c r="AA289" s="296"/>
      <c r="AB289" s="296"/>
      <c r="AC289" s="296"/>
      <c r="AD289" s="296"/>
      <c r="AE289" s="296"/>
      <c r="AF289" s="296"/>
      <c r="AG289" s="296"/>
      <c r="AH289" s="296"/>
      <c r="AI289" s="296"/>
      <c r="AJ289" s="296"/>
      <c r="AK289" s="296"/>
      <c r="AL289" s="296"/>
      <c r="AM289" s="296"/>
      <c r="AN289" s="296"/>
      <c r="AO289" s="296"/>
      <c r="AQ289" s="86"/>
      <c r="AR289" s="86"/>
      <c r="AS289" s="86"/>
    </row>
    <row r="290" spans="2:45" ht="14.25" thickBot="1" x14ac:dyDescent="0.2">
      <c r="C290" s="46"/>
      <c r="D290" s="46"/>
      <c r="E290" s="47"/>
      <c r="F290" s="246"/>
      <c r="G290" s="47"/>
      <c r="H290" s="47"/>
      <c r="I290" s="257"/>
      <c r="J290" s="245"/>
      <c r="K290" s="245"/>
      <c r="L290" s="245"/>
      <c r="M290" s="245"/>
      <c r="N290" s="245"/>
      <c r="O290" s="245"/>
      <c r="P290" s="245"/>
      <c r="Q290" s="245"/>
      <c r="R290" s="245"/>
      <c r="S290" s="245"/>
      <c r="T290" s="245"/>
      <c r="U290" s="245"/>
      <c r="V290" s="245"/>
      <c r="W290" s="46"/>
      <c r="X290" s="296" t="s">
        <v>212</v>
      </c>
      <c r="Y290" s="296"/>
      <c r="Z290" s="296"/>
      <c r="AA290" s="296"/>
      <c r="AB290" s="296"/>
      <c r="AC290" s="296"/>
      <c r="AD290" s="296"/>
      <c r="AE290" s="296"/>
      <c r="AF290" s="296"/>
      <c r="AG290" s="296"/>
      <c r="AH290" s="296"/>
      <c r="AI290" s="296"/>
      <c r="AJ290" s="296"/>
      <c r="AK290" s="296"/>
      <c r="AL290" s="296"/>
      <c r="AM290" s="296"/>
      <c r="AN290" s="296"/>
      <c r="AO290" s="296"/>
      <c r="AQ290" s="86"/>
      <c r="AR290" s="86"/>
      <c r="AS290" s="86"/>
    </row>
    <row r="291" spans="2:45" ht="18" customHeight="1" thickBot="1" x14ac:dyDescent="0.2">
      <c r="B291" s="42">
        <v>13</v>
      </c>
      <c r="C291" s="46"/>
      <c r="D291" s="82" t="s">
        <v>168</v>
      </c>
      <c r="E291" s="48" t="s">
        <v>72</v>
      </c>
      <c r="F291" s="80"/>
      <c r="G291" s="46"/>
      <c r="H291" s="109"/>
      <c r="I291" s="255"/>
      <c r="J291" s="366" t="str">
        <f>IFERROR(VLOOKUP($F291,補助対象機器一覧20220831!$A$2:$K$200,2,FALSE),"")</f>
        <v/>
      </c>
      <c r="K291" s="367"/>
      <c r="L291" s="368"/>
      <c r="M291" s="245"/>
      <c r="N291" s="366" t="str">
        <f>IFERROR(VLOOKUP($F291,補助対象機器一覧20220831!$A$2:$K$200,7,FALSE),"")</f>
        <v/>
      </c>
      <c r="O291" s="367"/>
      <c r="P291" s="368"/>
      <c r="Q291" s="245"/>
      <c r="R291" s="366" t="str">
        <f>IFERROR(VLOOKUP($F291,補助対象機器一覧20220831!$A$2:$K$200,8,FALSE),"")</f>
        <v/>
      </c>
      <c r="S291" s="367"/>
      <c r="T291" s="368"/>
      <c r="U291" s="245"/>
      <c r="V291" s="244" t="str">
        <f>IFERROR(VLOOKUP($F291,補助対象機器一覧20220831!$A$2:$K$200,9,FALSE),"")</f>
        <v/>
      </c>
      <c r="W291" s="46"/>
      <c r="X291" s="402" t="str">
        <f>IF($B291&lt;=入力シート!$F$85,""&amp;中間シート!X550,"")</f>
        <v/>
      </c>
      <c r="Y291" s="402"/>
      <c r="Z291" s="402"/>
      <c r="AA291" s="402"/>
      <c r="AB291" s="402"/>
      <c r="AC291" s="402"/>
      <c r="AD291" s="402"/>
      <c r="AE291" s="402"/>
      <c r="AF291" s="402"/>
      <c r="AG291" s="402"/>
      <c r="AH291" s="402"/>
      <c r="AI291" s="402"/>
      <c r="AJ291" s="402"/>
      <c r="AK291" s="402"/>
      <c r="AL291" s="402"/>
      <c r="AM291" s="402"/>
      <c r="AN291" s="402"/>
      <c r="AO291" s="402"/>
      <c r="AQ291" s="81">
        <f>IF(J291&lt;&gt;"",1,IF(H291="なし",2,0))</f>
        <v>0</v>
      </c>
      <c r="AR291" s="86"/>
      <c r="AS291" s="86"/>
    </row>
    <row r="292" spans="2:45" ht="5.0999999999999996" customHeight="1" thickBot="1" x14ac:dyDescent="0.2">
      <c r="C292" s="46"/>
      <c r="D292" s="46"/>
      <c r="E292" s="48"/>
      <c r="F292" s="245"/>
      <c r="G292" s="46"/>
      <c r="H292" s="46"/>
      <c r="I292" s="255"/>
      <c r="J292" s="245"/>
      <c r="K292" s="245"/>
      <c r="L292" s="245"/>
      <c r="M292" s="245"/>
      <c r="N292" s="245"/>
      <c r="O292" s="245"/>
      <c r="P292" s="245"/>
      <c r="Q292" s="245"/>
      <c r="R292" s="245"/>
      <c r="S292" s="245"/>
      <c r="T292" s="245"/>
      <c r="U292" s="245"/>
      <c r="V292" s="245"/>
      <c r="W292" s="46"/>
      <c r="X292" s="402"/>
      <c r="Y292" s="402"/>
      <c r="Z292" s="402"/>
      <c r="AA292" s="402"/>
      <c r="AB292" s="402"/>
      <c r="AC292" s="402"/>
      <c r="AD292" s="402"/>
      <c r="AE292" s="402"/>
      <c r="AF292" s="402"/>
      <c r="AG292" s="402"/>
      <c r="AH292" s="402"/>
      <c r="AI292" s="402"/>
      <c r="AJ292" s="402"/>
      <c r="AK292" s="402"/>
      <c r="AL292" s="402"/>
      <c r="AM292" s="402"/>
      <c r="AN292" s="402"/>
      <c r="AO292" s="402"/>
      <c r="AP292" s="41"/>
      <c r="AQ292" s="86"/>
      <c r="AR292" s="86"/>
      <c r="AS292" s="86"/>
    </row>
    <row r="293" spans="2:45" ht="18" customHeight="1" thickBot="1" x14ac:dyDescent="0.2">
      <c r="B293" s="42">
        <v>13</v>
      </c>
      <c r="C293" s="46"/>
      <c r="D293" s="82"/>
      <c r="E293" s="48"/>
      <c r="F293" s="246"/>
      <c r="G293" s="46"/>
      <c r="H293" s="46"/>
      <c r="I293" s="261" t="str">
        <f>IF(AQ291=2,"入力してください→",IF(AQ291=1,"入力不要です→",""))</f>
        <v/>
      </c>
      <c r="J293" s="387"/>
      <c r="K293" s="388"/>
      <c r="L293" s="389"/>
      <c r="M293" s="245"/>
      <c r="N293" s="387"/>
      <c r="O293" s="388"/>
      <c r="P293" s="389"/>
      <c r="Q293" s="245"/>
      <c r="R293" s="387"/>
      <c r="S293" s="388"/>
      <c r="T293" s="389"/>
      <c r="U293" s="245"/>
      <c r="V293" s="249"/>
      <c r="W293" s="46"/>
      <c r="X293" s="402"/>
      <c r="Y293" s="402"/>
      <c r="Z293" s="402"/>
      <c r="AA293" s="402"/>
      <c r="AB293" s="402"/>
      <c r="AC293" s="402"/>
      <c r="AD293" s="402"/>
      <c r="AE293" s="402"/>
      <c r="AF293" s="402"/>
      <c r="AG293" s="402"/>
      <c r="AH293" s="402"/>
      <c r="AI293" s="402"/>
      <c r="AJ293" s="402"/>
      <c r="AK293" s="402"/>
      <c r="AL293" s="402"/>
      <c r="AM293" s="402"/>
      <c r="AN293" s="402"/>
      <c r="AO293" s="402"/>
      <c r="AP293" s="41"/>
      <c r="AQ293" s="86"/>
      <c r="AR293" s="86"/>
      <c r="AS293" s="86"/>
    </row>
    <row r="294" spans="2:45" ht="5.0999999999999996" customHeight="1" thickBot="1" x14ac:dyDescent="0.2">
      <c r="C294" s="46"/>
      <c r="D294" s="46"/>
      <c r="E294" s="48"/>
      <c r="F294" s="245"/>
      <c r="G294" s="47"/>
      <c r="H294" s="47"/>
      <c r="I294" s="255"/>
      <c r="J294" s="245"/>
      <c r="K294" s="245"/>
      <c r="L294" s="245"/>
      <c r="M294" s="245"/>
      <c r="N294" s="245"/>
      <c r="O294" s="245"/>
      <c r="P294" s="245"/>
      <c r="Q294" s="245"/>
      <c r="R294" s="245"/>
      <c r="S294" s="245"/>
      <c r="T294" s="245"/>
      <c r="U294" s="245"/>
      <c r="V294" s="245"/>
      <c r="W294" s="46"/>
      <c r="X294" s="296" t="s">
        <v>212</v>
      </c>
      <c r="Y294" s="296"/>
      <c r="Z294" s="296"/>
      <c r="AA294" s="296"/>
      <c r="AB294" s="296"/>
      <c r="AC294" s="296"/>
      <c r="AD294" s="296"/>
      <c r="AE294" s="296"/>
      <c r="AF294" s="296"/>
      <c r="AG294" s="296"/>
      <c r="AH294" s="296"/>
      <c r="AI294" s="296"/>
      <c r="AJ294" s="296"/>
      <c r="AK294" s="296"/>
      <c r="AL294" s="296"/>
      <c r="AM294" s="296"/>
      <c r="AN294" s="296"/>
      <c r="AO294" s="296"/>
      <c r="AP294" s="41"/>
      <c r="AQ294" s="86"/>
      <c r="AR294" s="86"/>
      <c r="AS294" s="86"/>
    </row>
    <row r="295" spans="2:45" ht="18" customHeight="1" thickBot="1" x14ac:dyDescent="0.2">
      <c r="B295" s="42">
        <v>13</v>
      </c>
      <c r="C295" s="46"/>
      <c r="D295" s="46"/>
      <c r="E295" s="48" t="s">
        <v>73</v>
      </c>
      <c r="F295" s="80"/>
      <c r="G295" s="47"/>
      <c r="H295" s="109"/>
      <c r="I295" s="255"/>
      <c r="J295" s="366" t="str">
        <f>IFERROR(VLOOKUP($F295,補助対象機器一覧20220831!$A$2:$K$200,2,FALSE),"")</f>
        <v/>
      </c>
      <c r="K295" s="367"/>
      <c r="L295" s="368"/>
      <c r="M295" s="245"/>
      <c r="N295" s="366" t="str">
        <f>IFERROR(VLOOKUP($F295,補助対象機器一覧20220831!$A$2:$K$200,7,FALSE),"")</f>
        <v/>
      </c>
      <c r="O295" s="367"/>
      <c r="P295" s="368"/>
      <c r="Q295" s="245"/>
      <c r="R295" s="366" t="str">
        <f>IFERROR(VLOOKUP($F295,補助対象機器一覧20220831!$A$2:$K$200,8,FALSE),"")</f>
        <v/>
      </c>
      <c r="S295" s="367"/>
      <c r="T295" s="368"/>
      <c r="U295" s="245"/>
      <c r="V295" s="244" t="str">
        <f>IFERROR(VLOOKUP($F295,補助対象機器一覧20220831!$A$2:$K$200,9,FALSE),"")</f>
        <v/>
      </c>
      <c r="W295" s="46"/>
      <c r="X295" s="402" t="str">
        <f>IF($B295&lt;=入力シート!$F$85,""&amp;中間シート!X551,"")</f>
        <v/>
      </c>
      <c r="Y295" s="402"/>
      <c r="Z295" s="402"/>
      <c r="AA295" s="402"/>
      <c r="AB295" s="402"/>
      <c r="AC295" s="402"/>
      <c r="AD295" s="402"/>
      <c r="AE295" s="402"/>
      <c r="AF295" s="402"/>
      <c r="AG295" s="402"/>
      <c r="AH295" s="402"/>
      <c r="AI295" s="402"/>
      <c r="AJ295" s="402"/>
      <c r="AK295" s="402"/>
      <c r="AL295" s="402"/>
      <c r="AM295" s="402"/>
      <c r="AN295" s="402"/>
      <c r="AO295" s="402"/>
      <c r="AP295" s="41"/>
      <c r="AQ295" s="81">
        <f>IF(J295&lt;&gt;"",1,IF(H295="なし",2,0))</f>
        <v>0</v>
      </c>
      <c r="AR295" s="86"/>
      <c r="AS295" s="86"/>
    </row>
    <row r="296" spans="2:45" ht="5.0999999999999996" customHeight="1" thickBot="1" x14ac:dyDescent="0.2">
      <c r="C296" s="46"/>
      <c r="D296" s="46"/>
      <c r="E296" s="48"/>
      <c r="F296" s="246"/>
      <c r="G296" s="47"/>
      <c r="H296" s="47"/>
      <c r="I296" s="255"/>
      <c r="J296" s="246"/>
      <c r="K296" s="246"/>
      <c r="L296" s="246"/>
      <c r="M296" s="245"/>
      <c r="N296" s="246"/>
      <c r="O296" s="246"/>
      <c r="P296" s="246"/>
      <c r="Q296" s="245"/>
      <c r="R296" s="246"/>
      <c r="S296" s="246"/>
      <c r="T296" s="246"/>
      <c r="U296" s="245"/>
      <c r="V296" s="246"/>
      <c r="W296" s="46"/>
      <c r="X296" s="402"/>
      <c r="Y296" s="402"/>
      <c r="Z296" s="402"/>
      <c r="AA296" s="402"/>
      <c r="AB296" s="402"/>
      <c r="AC296" s="402"/>
      <c r="AD296" s="402"/>
      <c r="AE296" s="402"/>
      <c r="AF296" s="402"/>
      <c r="AG296" s="402"/>
      <c r="AH296" s="402"/>
      <c r="AI296" s="402"/>
      <c r="AJ296" s="402"/>
      <c r="AK296" s="402"/>
      <c r="AL296" s="402"/>
      <c r="AM296" s="402"/>
      <c r="AN296" s="402"/>
      <c r="AO296" s="402"/>
      <c r="AP296" s="41"/>
      <c r="AQ296" s="86"/>
      <c r="AR296" s="86"/>
      <c r="AS296" s="86"/>
    </row>
    <row r="297" spans="2:45" ht="18" customHeight="1" thickBot="1" x14ac:dyDescent="0.2">
      <c r="B297" s="42">
        <v>13</v>
      </c>
      <c r="C297" s="46"/>
      <c r="D297" s="46"/>
      <c r="E297" s="48"/>
      <c r="F297" s="246"/>
      <c r="G297" s="47"/>
      <c r="H297" s="47"/>
      <c r="I297" s="261" t="str">
        <f>IF(AQ295=2,"入力してください→",IF(AQ295=1,"入力不要です→",""))</f>
        <v/>
      </c>
      <c r="J297" s="387"/>
      <c r="K297" s="388"/>
      <c r="L297" s="389"/>
      <c r="M297" s="245"/>
      <c r="N297" s="387"/>
      <c r="O297" s="388"/>
      <c r="P297" s="389"/>
      <c r="Q297" s="245"/>
      <c r="R297" s="387"/>
      <c r="S297" s="388"/>
      <c r="T297" s="389"/>
      <c r="U297" s="245"/>
      <c r="V297" s="249"/>
      <c r="W297" s="46"/>
      <c r="X297" s="402"/>
      <c r="Y297" s="402"/>
      <c r="Z297" s="402"/>
      <c r="AA297" s="402"/>
      <c r="AB297" s="402"/>
      <c r="AC297" s="402"/>
      <c r="AD297" s="402"/>
      <c r="AE297" s="402"/>
      <c r="AF297" s="402"/>
      <c r="AG297" s="402"/>
      <c r="AH297" s="402"/>
      <c r="AI297" s="402"/>
      <c r="AJ297" s="402"/>
      <c r="AK297" s="402"/>
      <c r="AL297" s="402"/>
      <c r="AM297" s="402"/>
      <c r="AN297" s="402"/>
      <c r="AO297" s="402"/>
      <c r="AP297" s="41"/>
      <c r="AQ297" s="86"/>
      <c r="AR297" s="86"/>
      <c r="AS297" s="86"/>
    </row>
    <row r="298" spans="2:45" ht="5.0999999999999996" customHeight="1" thickBot="1" x14ac:dyDescent="0.2">
      <c r="C298" s="46"/>
      <c r="D298" s="46"/>
      <c r="E298" s="48"/>
      <c r="F298" s="246"/>
      <c r="G298" s="47"/>
      <c r="H298" s="47"/>
      <c r="I298" s="255"/>
      <c r="J298" s="246"/>
      <c r="K298" s="246"/>
      <c r="L298" s="246"/>
      <c r="M298" s="245"/>
      <c r="N298" s="246"/>
      <c r="O298" s="246"/>
      <c r="P298" s="246"/>
      <c r="Q298" s="245"/>
      <c r="R298" s="246"/>
      <c r="S298" s="246"/>
      <c r="T298" s="246"/>
      <c r="U298" s="245"/>
      <c r="V298" s="246"/>
      <c r="W298" s="46"/>
      <c r="X298" s="296" t="s">
        <v>212</v>
      </c>
      <c r="Y298" s="296"/>
      <c r="Z298" s="296"/>
      <c r="AA298" s="296"/>
      <c r="AB298" s="296"/>
      <c r="AC298" s="296"/>
      <c r="AD298" s="296"/>
      <c r="AE298" s="296"/>
      <c r="AF298" s="296"/>
      <c r="AG298" s="296"/>
      <c r="AH298" s="296"/>
      <c r="AI298" s="296"/>
      <c r="AJ298" s="296"/>
      <c r="AK298" s="296"/>
      <c r="AL298" s="296"/>
      <c r="AM298" s="296"/>
      <c r="AN298" s="296"/>
      <c r="AO298" s="296"/>
      <c r="AP298" s="41"/>
      <c r="AQ298" s="86"/>
      <c r="AR298" s="86"/>
      <c r="AS298" s="86"/>
    </row>
    <row r="299" spans="2:45" ht="18" customHeight="1" thickBot="1" x14ac:dyDescent="0.2">
      <c r="B299" s="42">
        <v>13</v>
      </c>
      <c r="C299" s="46"/>
      <c r="D299" s="46"/>
      <c r="E299" s="48" t="s">
        <v>74</v>
      </c>
      <c r="F299" s="80"/>
      <c r="G299" s="47"/>
      <c r="H299" s="109"/>
      <c r="I299" s="255"/>
      <c r="J299" s="366" t="str">
        <f>IFERROR(VLOOKUP($F299,補助対象機器一覧20220831!$A$2:$K$200,2,FALSE),"")</f>
        <v/>
      </c>
      <c r="K299" s="367"/>
      <c r="L299" s="368"/>
      <c r="M299" s="245"/>
      <c r="N299" s="366" t="str">
        <f>IFERROR(VLOOKUP($F299,補助対象機器一覧20220831!$A$2:$K$200,7,FALSE),"")</f>
        <v/>
      </c>
      <c r="O299" s="367"/>
      <c r="P299" s="368"/>
      <c r="Q299" s="245"/>
      <c r="R299" s="366" t="str">
        <f>IFERROR(VLOOKUP($F299,補助対象機器一覧20220831!$A$2:$K$200,8,FALSE),"")</f>
        <v/>
      </c>
      <c r="S299" s="367"/>
      <c r="T299" s="368"/>
      <c r="U299" s="245"/>
      <c r="V299" s="244" t="str">
        <f>IFERROR(VLOOKUP($F299,補助対象機器一覧20220831!$A$2:$K$200,9,FALSE),"")</f>
        <v/>
      </c>
      <c r="W299" s="46"/>
      <c r="X299" s="402" t="str">
        <f>IF($B299&lt;=入力シート!$F$85,""&amp;中間シート!X552,"")</f>
        <v/>
      </c>
      <c r="Y299" s="402"/>
      <c r="Z299" s="402"/>
      <c r="AA299" s="402"/>
      <c r="AB299" s="402"/>
      <c r="AC299" s="402"/>
      <c r="AD299" s="402"/>
      <c r="AE299" s="402"/>
      <c r="AF299" s="402"/>
      <c r="AG299" s="402"/>
      <c r="AH299" s="402"/>
      <c r="AI299" s="402"/>
      <c r="AJ299" s="402"/>
      <c r="AK299" s="402"/>
      <c r="AL299" s="402"/>
      <c r="AM299" s="402"/>
      <c r="AN299" s="402"/>
      <c r="AO299" s="402"/>
      <c r="AP299" s="41"/>
      <c r="AQ299" s="81">
        <f>IF(J299&lt;&gt;"",1,IF(H299="なし",2,0))</f>
        <v>0</v>
      </c>
      <c r="AR299" s="86"/>
      <c r="AS299" s="86"/>
    </row>
    <row r="300" spans="2:45" ht="5.0999999999999996" customHeight="1" thickBot="1" x14ac:dyDescent="0.2">
      <c r="C300" s="46"/>
      <c r="D300" s="46"/>
      <c r="E300" s="48"/>
      <c r="F300" s="246"/>
      <c r="G300" s="47"/>
      <c r="H300" s="47"/>
      <c r="I300" s="255"/>
      <c r="J300" s="246"/>
      <c r="K300" s="246"/>
      <c r="L300" s="246"/>
      <c r="M300" s="245"/>
      <c r="N300" s="246"/>
      <c r="O300" s="246"/>
      <c r="P300" s="246"/>
      <c r="Q300" s="245"/>
      <c r="R300" s="246"/>
      <c r="S300" s="246"/>
      <c r="T300" s="246"/>
      <c r="U300" s="245"/>
      <c r="V300" s="246"/>
      <c r="W300" s="46"/>
      <c r="X300" s="402"/>
      <c r="Y300" s="402"/>
      <c r="Z300" s="402"/>
      <c r="AA300" s="402"/>
      <c r="AB300" s="402"/>
      <c r="AC300" s="402"/>
      <c r="AD300" s="402"/>
      <c r="AE300" s="402"/>
      <c r="AF300" s="402"/>
      <c r="AG300" s="402"/>
      <c r="AH300" s="402"/>
      <c r="AI300" s="402"/>
      <c r="AJ300" s="402"/>
      <c r="AK300" s="402"/>
      <c r="AL300" s="402"/>
      <c r="AM300" s="402"/>
      <c r="AN300" s="402"/>
      <c r="AO300" s="402"/>
      <c r="AP300" s="41"/>
      <c r="AQ300" s="86"/>
      <c r="AR300" s="86"/>
      <c r="AS300" s="86"/>
    </row>
    <row r="301" spans="2:45" ht="18" customHeight="1" thickBot="1" x14ac:dyDescent="0.2">
      <c r="B301" s="42">
        <v>13</v>
      </c>
      <c r="C301" s="46"/>
      <c r="D301" s="46"/>
      <c r="E301" s="47"/>
      <c r="F301" s="246"/>
      <c r="G301" s="47"/>
      <c r="H301" s="47"/>
      <c r="I301" s="261" t="str">
        <f>IF(AQ299=2,"入力してください→",IF(AQ299=1,"入力不要です→",""))</f>
        <v/>
      </c>
      <c r="J301" s="387"/>
      <c r="K301" s="388"/>
      <c r="L301" s="389"/>
      <c r="M301" s="245"/>
      <c r="N301" s="387"/>
      <c r="O301" s="388"/>
      <c r="P301" s="389"/>
      <c r="Q301" s="245"/>
      <c r="R301" s="387"/>
      <c r="S301" s="388"/>
      <c r="T301" s="389"/>
      <c r="U301" s="245"/>
      <c r="V301" s="249"/>
      <c r="W301" s="46"/>
      <c r="X301" s="402"/>
      <c r="Y301" s="402"/>
      <c r="Z301" s="402"/>
      <c r="AA301" s="402"/>
      <c r="AB301" s="402"/>
      <c r="AC301" s="402"/>
      <c r="AD301" s="402"/>
      <c r="AE301" s="402"/>
      <c r="AF301" s="402"/>
      <c r="AG301" s="402"/>
      <c r="AH301" s="402"/>
      <c r="AI301" s="402"/>
      <c r="AJ301" s="402"/>
      <c r="AK301" s="402"/>
      <c r="AL301" s="402"/>
      <c r="AM301" s="402"/>
      <c r="AN301" s="402"/>
      <c r="AO301" s="402"/>
      <c r="AP301" s="41"/>
      <c r="AQ301" s="86"/>
      <c r="AR301" s="86"/>
      <c r="AS301" s="86"/>
    </row>
    <row r="302" spans="2:45" x14ac:dyDescent="0.15">
      <c r="C302" s="46"/>
      <c r="D302" s="46"/>
      <c r="E302" s="47"/>
      <c r="F302" s="246"/>
      <c r="G302" s="47"/>
      <c r="H302" s="47"/>
      <c r="I302" s="257"/>
      <c r="J302" s="245"/>
      <c r="K302" s="245"/>
      <c r="L302" s="245"/>
      <c r="M302" s="245"/>
      <c r="N302" s="245"/>
      <c r="O302" s="245"/>
      <c r="P302" s="245"/>
      <c r="Q302" s="245"/>
      <c r="R302" s="245"/>
      <c r="S302" s="245"/>
      <c r="T302" s="245"/>
      <c r="U302" s="245"/>
      <c r="V302" s="245"/>
      <c r="W302" s="46"/>
      <c r="X302" s="296" t="s">
        <v>212</v>
      </c>
      <c r="Y302" s="296"/>
      <c r="Z302" s="296"/>
      <c r="AA302" s="296"/>
      <c r="AB302" s="296"/>
      <c r="AC302" s="296"/>
      <c r="AD302" s="296"/>
      <c r="AE302" s="296"/>
      <c r="AF302" s="296"/>
      <c r="AG302" s="296"/>
      <c r="AH302" s="296"/>
      <c r="AI302" s="296"/>
      <c r="AJ302" s="296"/>
      <c r="AK302" s="296"/>
      <c r="AL302" s="296"/>
      <c r="AM302" s="296"/>
      <c r="AN302" s="296"/>
      <c r="AO302" s="296"/>
      <c r="AQ302" s="86"/>
      <c r="AR302" s="86"/>
      <c r="AS302" s="86"/>
    </row>
    <row r="303" spans="2:45" ht="14.25" thickBot="1" x14ac:dyDescent="0.2">
      <c r="C303" s="86"/>
      <c r="D303" s="86"/>
      <c r="E303" s="93"/>
      <c r="F303" s="247"/>
      <c r="G303" s="93"/>
      <c r="H303" s="93"/>
      <c r="I303" s="258"/>
      <c r="J303" s="248"/>
      <c r="K303" s="248"/>
      <c r="L303" s="248"/>
      <c r="M303" s="248"/>
      <c r="N303" s="248"/>
      <c r="O303" s="248"/>
      <c r="P303" s="248"/>
      <c r="Q303" s="248"/>
      <c r="R303" s="248"/>
      <c r="S303" s="248"/>
      <c r="T303" s="248"/>
      <c r="U303" s="248"/>
      <c r="V303" s="248"/>
      <c r="W303" s="86"/>
      <c r="X303" s="296" t="s">
        <v>212</v>
      </c>
      <c r="Y303" s="296"/>
      <c r="Z303" s="296"/>
      <c r="AA303" s="296"/>
      <c r="AB303" s="296"/>
      <c r="AC303" s="296"/>
      <c r="AD303" s="296"/>
      <c r="AE303" s="296"/>
      <c r="AF303" s="296"/>
      <c r="AG303" s="296"/>
      <c r="AH303" s="296"/>
      <c r="AI303" s="296"/>
      <c r="AJ303" s="296"/>
      <c r="AK303" s="296"/>
      <c r="AL303" s="296"/>
      <c r="AM303" s="296"/>
      <c r="AN303" s="296"/>
      <c r="AO303" s="296"/>
      <c r="AQ303" s="86"/>
      <c r="AR303" s="86"/>
      <c r="AS303" s="86"/>
    </row>
    <row r="304" spans="2:45" ht="18" customHeight="1" thickBot="1" x14ac:dyDescent="0.2">
      <c r="B304" s="42">
        <v>14</v>
      </c>
      <c r="C304" s="86"/>
      <c r="D304" s="94" t="s">
        <v>169</v>
      </c>
      <c r="E304" s="95" t="s">
        <v>72</v>
      </c>
      <c r="F304" s="80"/>
      <c r="G304" s="86"/>
      <c r="H304" s="80"/>
      <c r="I304" s="259"/>
      <c r="J304" s="366" t="str">
        <f>IFERROR(VLOOKUP($F304,補助対象機器一覧20220831!$A$2:$K$200,2,FALSE),"")</f>
        <v/>
      </c>
      <c r="K304" s="367"/>
      <c r="L304" s="368"/>
      <c r="M304" s="248"/>
      <c r="N304" s="366" t="str">
        <f>IFERROR(VLOOKUP($F304,補助対象機器一覧20220831!$A$2:$K$200,7,FALSE),"")</f>
        <v/>
      </c>
      <c r="O304" s="367"/>
      <c r="P304" s="368"/>
      <c r="Q304" s="248"/>
      <c r="R304" s="366" t="str">
        <f>IFERROR(VLOOKUP($F304,補助対象機器一覧20220831!$A$2:$K$200,8,FALSE),"")</f>
        <v/>
      </c>
      <c r="S304" s="367"/>
      <c r="T304" s="368"/>
      <c r="U304" s="248"/>
      <c r="V304" s="244" t="str">
        <f>IFERROR(VLOOKUP($F304,補助対象機器一覧20220831!$A$2:$K$200,9,FALSE),"")</f>
        <v/>
      </c>
      <c r="W304" s="86"/>
      <c r="X304" s="402" t="str">
        <f>IF($B304&lt;=入力シート!$F$85,""&amp;中間シート!X553,"")</f>
        <v/>
      </c>
      <c r="Y304" s="402"/>
      <c r="Z304" s="402"/>
      <c r="AA304" s="402"/>
      <c r="AB304" s="402"/>
      <c r="AC304" s="402"/>
      <c r="AD304" s="402"/>
      <c r="AE304" s="402"/>
      <c r="AF304" s="402"/>
      <c r="AG304" s="402"/>
      <c r="AH304" s="402"/>
      <c r="AI304" s="402"/>
      <c r="AJ304" s="402"/>
      <c r="AK304" s="402"/>
      <c r="AL304" s="402"/>
      <c r="AM304" s="402"/>
      <c r="AN304" s="402"/>
      <c r="AO304" s="402"/>
      <c r="AQ304" s="81">
        <f>IF(J304&lt;&gt;"",1,IF(H304="なし",2,0))</f>
        <v>0</v>
      </c>
      <c r="AR304" s="86"/>
      <c r="AS304" s="86"/>
    </row>
    <row r="305" spans="2:45" ht="5.0999999999999996" customHeight="1" thickBot="1" x14ac:dyDescent="0.2">
      <c r="C305" s="86"/>
      <c r="D305" s="94"/>
      <c r="E305" s="95"/>
      <c r="F305" s="248"/>
      <c r="G305" s="86"/>
      <c r="H305" s="86"/>
      <c r="I305" s="259"/>
      <c r="J305" s="248"/>
      <c r="K305" s="248"/>
      <c r="L305" s="248"/>
      <c r="M305" s="248"/>
      <c r="N305" s="248"/>
      <c r="O305" s="248"/>
      <c r="P305" s="248"/>
      <c r="Q305" s="248"/>
      <c r="R305" s="248"/>
      <c r="S305" s="248"/>
      <c r="T305" s="248"/>
      <c r="U305" s="248"/>
      <c r="V305" s="248"/>
      <c r="W305" s="86"/>
      <c r="X305" s="402"/>
      <c r="Y305" s="402"/>
      <c r="Z305" s="402"/>
      <c r="AA305" s="402"/>
      <c r="AB305" s="402"/>
      <c r="AC305" s="402"/>
      <c r="AD305" s="402"/>
      <c r="AE305" s="402"/>
      <c r="AF305" s="402"/>
      <c r="AG305" s="402"/>
      <c r="AH305" s="402"/>
      <c r="AI305" s="402"/>
      <c r="AJ305" s="402"/>
      <c r="AK305" s="402"/>
      <c r="AL305" s="402"/>
      <c r="AM305" s="402"/>
      <c r="AN305" s="402"/>
      <c r="AO305" s="402"/>
      <c r="AP305" s="41"/>
      <c r="AQ305" s="86"/>
      <c r="AR305" s="86"/>
      <c r="AS305" s="86"/>
    </row>
    <row r="306" spans="2:45" ht="18" customHeight="1" thickBot="1" x14ac:dyDescent="0.2">
      <c r="B306" s="42">
        <v>14</v>
      </c>
      <c r="C306" s="86"/>
      <c r="D306" s="94"/>
      <c r="E306" s="95"/>
      <c r="F306" s="247"/>
      <c r="G306" s="86"/>
      <c r="H306" s="86"/>
      <c r="I306" s="260" t="str">
        <f>IF(AQ304=2,"入力してください→",IF(AQ304=1,"入力不要です→",""))</f>
        <v/>
      </c>
      <c r="J306" s="387"/>
      <c r="K306" s="388"/>
      <c r="L306" s="389"/>
      <c r="M306" s="248"/>
      <c r="N306" s="387"/>
      <c r="O306" s="388"/>
      <c r="P306" s="389"/>
      <c r="Q306" s="248"/>
      <c r="R306" s="387"/>
      <c r="S306" s="388"/>
      <c r="T306" s="389"/>
      <c r="U306" s="248"/>
      <c r="V306" s="249"/>
      <c r="W306" s="86"/>
      <c r="X306" s="402"/>
      <c r="Y306" s="402"/>
      <c r="Z306" s="402"/>
      <c r="AA306" s="402"/>
      <c r="AB306" s="402"/>
      <c r="AC306" s="402"/>
      <c r="AD306" s="402"/>
      <c r="AE306" s="402"/>
      <c r="AF306" s="402"/>
      <c r="AG306" s="402"/>
      <c r="AH306" s="402"/>
      <c r="AI306" s="402"/>
      <c r="AJ306" s="402"/>
      <c r="AK306" s="402"/>
      <c r="AL306" s="402"/>
      <c r="AM306" s="402"/>
      <c r="AN306" s="402"/>
      <c r="AO306" s="402"/>
      <c r="AP306" s="41"/>
      <c r="AQ306" s="86"/>
      <c r="AR306" s="86"/>
      <c r="AS306" s="86"/>
    </row>
    <row r="307" spans="2:45" ht="5.0999999999999996" customHeight="1" thickBot="1" x14ac:dyDescent="0.2">
      <c r="C307" s="86"/>
      <c r="D307" s="86"/>
      <c r="E307" s="93"/>
      <c r="F307" s="248"/>
      <c r="G307" s="93"/>
      <c r="H307" s="93"/>
      <c r="I307" s="259"/>
      <c r="J307" s="248"/>
      <c r="K307" s="248"/>
      <c r="L307" s="248"/>
      <c r="M307" s="248"/>
      <c r="N307" s="248"/>
      <c r="O307" s="248"/>
      <c r="P307" s="248"/>
      <c r="Q307" s="248"/>
      <c r="R307" s="248"/>
      <c r="S307" s="248"/>
      <c r="T307" s="248"/>
      <c r="U307" s="248"/>
      <c r="V307" s="248"/>
      <c r="W307" s="86"/>
      <c r="X307" s="296" t="s">
        <v>212</v>
      </c>
      <c r="Y307" s="296"/>
      <c r="Z307" s="296"/>
      <c r="AA307" s="296"/>
      <c r="AB307" s="296"/>
      <c r="AC307" s="296"/>
      <c r="AD307" s="296"/>
      <c r="AE307" s="296"/>
      <c r="AF307" s="296"/>
      <c r="AG307" s="296"/>
      <c r="AH307" s="296"/>
      <c r="AI307" s="296"/>
      <c r="AJ307" s="296"/>
      <c r="AK307" s="296"/>
      <c r="AL307" s="296"/>
      <c r="AM307" s="296"/>
      <c r="AN307" s="296"/>
      <c r="AO307" s="296"/>
      <c r="AP307" s="41"/>
      <c r="AQ307" s="86"/>
      <c r="AR307" s="86"/>
      <c r="AS307" s="86"/>
    </row>
    <row r="308" spans="2:45" ht="18" customHeight="1" thickBot="1" x14ac:dyDescent="0.2">
      <c r="B308" s="42">
        <v>14</v>
      </c>
      <c r="C308" s="86"/>
      <c r="D308" s="86"/>
      <c r="E308" s="95" t="s">
        <v>73</v>
      </c>
      <c r="F308" s="80"/>
      <c r="G308" s="93"/>
      <c r="H308" s="80"/>
      <c r="I308" s="259"/>
      <c r="J308" s="366" t="str">
        <f>IFERROR(VLOOKUP($F308,補助対象機器一覧20220831!$A$2:$K$200,2,FALSE),"")</f>
        <v/>
      </c>
      <c r="K308" s="367"/>
      <c r="L308" s="368"/>
      <c r="M308" s="248"/>
      <c r="N308" s="366" t="str">
        <f>IFERROR(VLOOKUP($F308,補助対象機器一覧20220831!$A$2:$K$200,7,FALSE),"")</f>
        <v/>
      </c>
      <c r="O308" s="367"/>
      <c r="P308" s="368"/>
      <c r="Q308" s="248"/>
      <c r="R308" s="366" t="str">
        <f>IFERROR(VLOOKUP($F308,補助対象機器一覧20220831!$A$2:$K$200,8,FALSE),"")</f>
        <v/>
      </c>
      <c r="S308" s="367"/>
      <c r="T308" s="368"/>
      <c r="U308" s="248"/>
      <c r="V308" s="244" t="str">
        <f>IFERROR(VLOOKUP($F308,補助対象機器一覧20220831!$A$2:$K$200,9,FALSE),"")</f>
        <v/>
      </c>
      <c r="W308" s="86"/>
      <c r="X308" s="402" t="str">
        <f>IF($B308&lt;=入力シート!$F$85,""&amp;中間シート!X554,"")</f>
        <v/>
      </c>
      <c r="Y308" s="402"/>
      <c r="Z308" s="402"/>
      <c r="AA308" s="402"/>
      <c r="AB308" s="402"/>
      <c r="AC308" s="402"/>
      <c r="AD308" s="402"/>
      <c r="AE308" s="402"/>
      <c r="AF308" s="402"/>
      <c r="AG308" s="402"/>
      <c r="AH308" s="402"/>
      <c r="AI308" s="402"/>
      <c r="AJ308" s="402"/>
      <c r="AK308" s="402"/>
      <c r="AL308" s="402"/>
      <c r="AM308" s="402"/>
      <c r="AN308" s="402"/>
      <c r="AO308" s="402"/>
      <c r="AP308" s="41"/>
      <c r="AQ308" s="81">
        <f>IF(J308&lt;&gt;"",1,IF(H308="なし",2,0))</f>
        <v>0</v>
      </c>
      <c r="AR308" s="86"/>
      <c r="AS308" s="86"/>
    </row>
    <row r="309" spans="2:45" ht="5.0999999999999996" customHeight="1" thickBot="1" x14ac:dyDescent="0.2">
      <c r="C309" s="86"/>
      <c r="D309" s="86"/>
      <c r="E309" s="95"/>
      <c r="F309" s="247"/>
      <c r="G309" s="93"/>
      <c r="H309" s="93"/>
      <c r="I309" s="259"/>
      <c r="J309" s="247"/>
      <c r="K309" s="247"/>
      <c r="L309" s="247"/>
      <c r="M309" s="248"/>
      <c r="N309" s="247"/>
      <c r="O309" s="247"/>
      <c r="P309" s="247"/>
      <c r="Q309" s="248"/>
      <c r="R309" s="247"/>
      <c r="S309" s="247"/>
      <c r="T309" s="247"/>
      <c r="U309" s="248"/>
      <c r="V309" s="247"/>
      <c r="W309" s="86"/>
      <c r="X309" s="402"/>
      <c r="Y309" s="402"/>
      <c r="Z309" s="402"/>
      <c r="AA309" s="402"/>
      <c r="AB309" s="402"/>
      <c r="AC309" s="402"/>
      <c r="AD309" s="402"/>
      <c r="AE309" s="402"/>
      <c r="AF309" s="402"/>
      <c r="AG309" s="402"/>
      <c r="AH309" s="402"/>
      <c r="AI309" s="402"/>
      <c r="AJ309" s="402"/>
      <c r="AK309" s="402"/>
      <c r="AL309" s="402"/>
      <c r="AM309" s="402"/>
      <c r="AN309" s="402"/>
      <c r="AO309" s="402"/>
      <c r="AP309" s="41"/>
      <c r="AQ309" s="86"/>
      <c r="AR309" s="86"/>
      <c r="AS309" s="86"/>
    </row>
    <row r="310" spans="2:45" ht="18" customHeight="1" thickBot="1" x14ac:dyDescent="0.2">
      <c r="B310" s="42">
        <v>14</v>
      </c>
      <c r="C310" s="86"/>
      <c r="D310" s="86"/>
      <c r="E310" s="95"/>
      <c r="F310" s="247"/>
      <c r="G310" s="93"/>
      <c r="H310" s="93"/>
      <c r="I310" s="260" t="str">
        <f>IF(AQ308=2,"入力してください→",IF(AQ308=1,"入力不要です→",""))</f>
        <v/>
      </c>
      <c r="J310" s="387"/>
      <c r="K310" s="388"/>
      <c r="L310" s="389"/>
      <c r="M310" s="248"/>
      <c r="N310" s="387"/>
      <c r="O310" s="388"/>
      <c r="P310" s="389"/>
      <c r="Q310" s="248"/>
      <c r="R310" s="387"/>
      <c r="S310" s="388"/>
      <c r="T310" s="389"/>
      <c r="U310" s="248"/>
      <c r="V310" s="249"/>
      <c r="W310" s="86"/>
      <c r="X310" s="402"/>
      <c r="Y310" s="402"/>
      <c r="Z310" s="402"/>
      <c r="AA310" s="402"/>
      <c r="AB310" s="402"/>
      <c r="AC310" s="402"/>
      <c r="AD310" s="402"/>
      <c r="AE310" s="402"/>
      <c r="AF310" s="402"/>
      <c r="AG310" s="402"/>
      <c r="AH310" s="402"/>
      <c r="AI310" s="402"/>
      <c r="AJ310" s="402"/>
      <c r="AK310" s="402"/>
      <c r="AL310" s="402"/>
      <c r="AM310" s="402"/>
      <c r="AN310" s="402"/>
      <c r="AO310" s="402"/>
      <c r="AP310" s="41"/>
      <c r="AQ310" s="86"/>
      <c r="AR310" s="86"/>
      <c r="AS310" s="86"/>
    </row>
    <row r="311" spans="2:45" ht="5.0999999999999996" customHeight="1" thickBot="1" x14ac:dyDescent="0.2">
      <c r="C311" s="86"/>
      <c r="D311" s="86"/>
      <c r="E311" s="95"/>
      <c r="F311" s="247"/>
      <c r="G311" s="93"/>
      <c r="H311" s="93"/>
      <c r="I311" s="259"/>
      <c r="J311" s="247"/>
      <c r="K311" s="247"/>
      <c r="L311" s="247"/>
      <c r="M311" s="248"/>
      <c r="N311" s="247"/>
      <c r="O311" s="247"/>
      <c r="P311" s="247"/>
      <c r="Q311" s="248"/>
      <c r="R311" s="247"/>
      <c r="S311" s="247"/>
      <c r="T311" s="247"/>
      <c r="U311" s="248"/>
      <c r="V311" s="247"/>
      <c r="W311" s="86"/>
      <c r="X311" s="296" t="s">
        <v>212</v>
      </c>
      <c r="Y311" s="296"/>
      <c r="Z311" s="296"/>
      <c r="AA311" s="296"/>
      <c r="AB311" s="296"/>
      <c r="AC311" s="296"/>
      <c r="AD311" s="296"/>
      <c r="AE311" s="296"/>
      <c r="AF311" s="296"/>
      <c r="AG311" s="296"/>
      <c r="AH311" s="296"/>
      <c r="AI311" s="296"/>
      <c r="AJ311" s="296"/>
      <c r="AK311" s="296"/>
      <c r="AL311" s="296"/>
      <c r="AM311" s="296"/>
      <c r="AN311" s="296"/>
      <c r="AO311" s="296"/>
      <c r="AP311" s="41"/>
      <c r="AQ311" s="86"/>
      <c r="AR311" s="86"/>
      <c r="AS311" s="86"/>
    </row>
    <row r="312" spans="2:45" ht="18" customHeight="1" thickBot="1" x14ac:dyDescent="0.2">
      <c r="B312" s="42">
        <v>14</v>
      </c>
      <c r="C312" s="86"/>
      <c r="D312" s="86"/>
      <c r="E312" s="95" t="s">
        <v>74</v>
      </c>
      <c r="F312" s="80"/>
      <c r="G312" s="93"/>
      <c r="H312" s="80"/>
      <c r="I312" s="259"/>
      <c r="J312" s="366" t="str">
        <f>IFERROR(VLOOKUP($F312,補助対象機器一覧20220831!$A$2:$K$200,2,FALSE),"")</f>
        <v/>
      </c>
      <c r="K312" s="367"/>
      <c r="L312" s="368"/>
      <c r="M312" s="248"/>
      <c r="N312" s="366" t="str">
        <f>IFERROR(VLOOKUP($F312,補助対象機器一覧20220831!$A$2:$K$200,7,FALSE),"")</f>
        <v/>
      </c>
      <c r="O312" s="367"/>
      <c r="P312" s="368"/>
      <c r="Q312" s="248"/>
      <c r="R312" s="366" t="str">
        <f>IFERROR(VLOOKUP($F312,補助対象機器一覧20220831!$A$2:$K$200,8,FALSE),"")</f>
        <v/>
      </c>
      <c r="S312" s="367"/>
      <c r="T312" s="368"/>
      <c r="U312" s="248"/>
      <c r="V312" s="244" t="str">
        <f>IFERROR(VLOOKUP($F312,補助対象機器一覧20220831!$A$2:$K$200,9,FALSE),"")</f>
        <v/>
      </c>
      <c r="W312" s="86"/>
      <c r="X312" s="402" t="str">
        <f>IF($B312&lt;=入力シート!$F$85,""&amp;中間シート!X555,"")</f>
        <v/>
      </c>
      <c r="Y312" s="402"/>
      <c r="Z312" s="402"/>
      <c r="AA312" s="402"/>
      <c r="AB312" s="402"/>
      <c r="AC312" s="402"/>
      <c r="AD312" s="402"/>
      <c r="AE312" s="402"/>
      <c r="AF312" s="402"/>
      <c r="AG312" s="402"/>
      <c r="AH312" s="402"/>
      <c r="AI312" s="402"/>
      <c r="AJ312" s="402"/>
      <c r="AK312" s="402"/>
      <c r="AL312" s="402"/>
      <c r="AM312" s="402"/>
      <c r="AN312" s="402"/>
      <c r="AO312" s="402"/>
      <c r="AP312" s="41"/>
      <c r="AQ312" s="81">
        <f>IF(J312&lt;&gt;"",1,IF(H312="なし",2,0))</f>
        <v>0</v>
      </c>
      <c r="AR312" s="86"/>
      <c r="AS312" s="86"/>
    </row>
    <row r="313" spans="2:45" ht="5.0999999999999996" customHeight="1" thickBot="1" x14ac:dyDescent="0.2">
      <c r="C313" s="86"/>
      <c r="D313" s="86"/>
      <c r="E313" s="95"/>
      <c r="F313" s="247"/>
      <c r="G313" s="93"/>
      <c r="H313" s="93"/>
      <c r="I313" s="259"/>
      <c r="J313" s="247"/>
      <c r="K313" s="247"/>
      <c r="L313" s="247"/>
      <c r="M313" s="248"/>
      <c r="N313" s="247"/>
      <c r="O313" s="247"/>
      <c r="P313" s="247"/>
      <c r="Q313" s="248"/>
      <c r="R313" s="247"/>
      <c r="S313" s="247"/>
      <c r="T313" s="247"/>
      <c r="U313" s="248"/>
      <c r="V313" s="247"/>
      <c r="W313" s="86"/>
      <c r="X313" s="402"/>
      <c r="Y313" s="402"/>
      <c r="Z313" s="402"/>
      <c r="AA313" s="402"/>
      <c r="AB313" s="402"/>
      <c r="AC313" s="402"/>
      <c r="AD313" s="402"/>
      <c r="AE313" s="402"/>
      <c r="AF313" s="402"/>
      <c r="AG313" s="402"/>
      <c r="AH313" s="402"/>
      <c r="AI313" s="402"/>
      <c r="AJ313" s="402"/>
      <c r="AK313" s="402"/>
      <c r="AL313" s="402"/>
      <c r="AM313" s="402"/>
      <c r="AN313" s="402"/>
      <c r="AO313" s="402"/>
      <c r="AP313" s="41"/>
      <c r="AQ313" s="86"/>
      <c r="AR313" s="86"/>
      <c r="AS313" s="86"/>
    </row>
    <row r="314" spans="2:45" ht="18" customHeight="1" thickBot="1" x14ac:dyDescent="0.2">
      <c r="B314" s="42">
        <v>14</v>
      </c>
      <c r="C314" s="86"/>
      <c r="D314" s="86"/>
      <c r="E314" s="93"/>
      <c r="F314" s="247"/>
      <c r="G314" s="93"/>
      <c r="H314" s="93"/>
      <c r="I314" s="260" t="str">
        <f>IF(AQ312=2,"入力してください→",IF(AQ312=1,"入力不要です→",""))</f>
        <v/>
      </c>
      <c r="J314" s="387"/>
      <c r="K314" s="388"/>
      <c r="L314" s="389"/>
      <c r="M314" s="248"/>
      <c r="N314" s="387"/>
      <c r="O314" s="388"/>
      <c r="P314" s="389"/>
      <c r="Q314" s="248"/>
      <c r="R314" s="387"/>
      <c r="S314" s="388"/>
      <c r="T314" s="389"/>
      <c r="U314" s="248"/>
      <c r="V314" s="249"/>
      <c r="W314" s="86"/>
      <c r="X314" s="402"/>
      <c r="Y314" s="402"/>
      <c r="Z314" s="402"/>
      <c r="AA314" s="402"/>
      <c r="AB314" s="402"/>
      <c r="AC314" s="402"/>
      <c r="AD314" s="402"/>
      <c r="AE314" s="402"/>
      <c r="AF314" s="402"/>
      <c r="AG314" s="402"/>
      <c r="AH314" s="402"/>
      <c r="AI314" s="402"/>
      <c r="AJ314" s="402"/>
      <c r="AK314" s="402"/>
      <c r="AL314" s="402"/>
      <c r="AM314" s="402"/>
      <c r="AN314" s="402"/>
      <c r="AO314" s="402"/>
      <c r="AP314" s="41"/>
      <c r="AQ314" s="86"/>
      <c r="AR314" s="86"/>
      <c r="AS314" s="86"/>
    </row>
    <row r="315" spans="2:45" x14ac:dyDescent="0.15">
      <c r="C315" s="86"/>
      <c r="D315" s="86"/>
      <c r="E315" s="93"/>
      <c r="F315" s="247"/>
      <c r="G315" s="93"/>
      <c r="H315" s="93"/>
      <c r="I315" s="258"/>
      <c r="J315" s="248"/>
      <c r="K315" s="248"/>
      <c r="L315" s="248"/>
      <c r="M315" s="248"/>
      <c r="N315" s="248"/>
      <c r="O315" s="248"/>
      <c r="P315" s="248"/>
      <c r="Q315" s="248"/>
      <c r="R315" s="248"/>
      <c r="S315" s="248"/>
      <c r="T315" s="248"/>
      <c r="U315" s="248"/>
      <c r="V315" s="248"/>
      <c r="W315" s="86"/>
      <c r="X315" s="296" t="s">
        <v>212</v>
      </c>
      <c r="Y315" s="296"/>
      <c r="Z315" s="296"/>
      <c r="AA315" s="296"/>
      <c r="AB315" s="296"/>
      <c r="AC315" s="296"/>
      <c r="AD315" s="296"/>
      <c r="AE315" s="296"/>
      <c r="AF315" s="296"/>
      <c r="AG315" s="296"/>
      <c r="AH315" s="296"/>
      <c r="AI315" s="296"/>
      <c r="AJ315" s="296"/>
      <c r="AK315" s="296"/>
      <c r="AL315" s="296"/>
      <c r="AM315" s="296"/>
      <c r="AN315" s="296"/>
      <c r="AO315" s="296"/>
      <c r="AQ315" s="86"/>
      <c r="AR315" s="86"/>
      <c r="AS315" s="86"/>
    </row>
    <row r="316" spans="2:45" ht="14.25" thickBot="1" x14ac:dyDescent="0.2">
      <c r="C316" s="46"/>
      <c r="D316" s="46"/>
      <c r="E316" s="47"/>
      <c r="F316" s="246"/>
      <c r="G316" s="47"/>
      <c r="H316" s="47"/>
      <c r="I316" s="257"/>
      <c r="J316" s="245"/>
      <c r="K316" s="245"/>
      <c r="L316" s="245"/>
      <c r="M316" s="245"/>
      <c r="N316" s="245"/>
      <c r="O316" s="245"/>
      <c r="P316" s="245"/>
      <c r="Q316" s="245"/>
      <c r="R316" s="245"/>
      <c r="S316" s="245"/>
      <c r="T316" s="245"/>
      <c r="U316" s="245"/>
      <c r="V316" s="245"/>
      <c r="W316" s="46"/>
      <c r="X316" s="296" t="s">
        <v>212</v>
      </c>
      <c r="Y316" s="296"/>
      <c r="Z316" s="296"/>
      <c r="AA316" s="296"/>
      <c r="AB316" s="296"/>
      <c r="AC316" s="296"/>
      <c r="AD316" s="296"/>
      <c r="AE316" s="296"/>
      <c r="AF316" s="296"/>
      <c r="AG316" s="296"/>
      <c r="AH316" s="296"/>
      <c r="AI316" s="296"/>
      <c r="AJ316" s="296"/>
      <c r="AK316" s="296"/>
      <c r="AL316" s="296"/>
      <c r="AM316" s="296"/>
      <c r="AN316" s="296"/>
      <c r="AO316" s="296"/>
      <c r="AQ316" s="86"/>
      <c r="AR316" s="86"/>
      <c r="AS316" s="86"/>
    </row>
    <row r="317" spans="2:45" ht="18" customHeight="1" thickBot="1" x14ac:dyDescent="0.2">
      <c r="B317" s="42">
        <v>15</v>
      </c>
      <c r="C317" s="46"/>
      <c r="D317" s="82" t="s">
        <v>170</v>
      </c>
      <c r="E317" s="48" t="s">
        <v>72</v>
      </c>
      <c r="F317" s="80"/>
      <c r="G317" s="46"/>
      <c r="H317" s="109"/>
      <c r="I317" s="255"/>
      <c r="J317" s="366" t="str">
        <f>IFERROR(VLOOKUP($F317,補助対象機器一覧20220831!$A$2:$K$200,2,FALSE),"")</f>
        <v/>
      </c>
      <c r="K317" s="367"/>
      <c r="L317" s="368"/>
      <c r="M317" s="245"/>
      <c r="N317" s="366" t="str">
        <f>IFERROR(VLOOKUP($F317,補助対象機器一覧20220831!$A$2:$K$200,7,FALSE),"")</f>
        <v/>
      </c>
      <c r="O317" s="367"/>
      <c r="P317" s="368"/>
      <c r="Q317" s="245"/>
      <c r="R317" s="366" t="str">
        <f>IFERROR(VLOOKUP($F317,補助対象機器一覧20220831!$A$2:$K$200,8,FALSE),"")</f>
        <v/>
      </c>
      <c r="S317" s="367"/>
      <c r="T317" s="368"/>
      <c r="U317" s="245"/>
      <c r="V317" s="244" t="str">
        <f>IFERROR(VLOOKUP($F317,補助対象機器一覧20220831!$A$2:$K$200,9,FALSE),"")</f>
        <v/>
      </c>
      <c r="W317" s="46"/>
      <c r="X317" s="402" t="str">
        <f>IF($B317&lt;=入力シート!$F$85,""&amp;中間シート!X556,"")</f>
        <v/>
      </c>
      <c r="Y317" s="402"/>
      <c r="Z317" s="402"/>
      <c r="AA317" s="402"/>
      <c r="AB317" s="402"/>
      <c r="AC317" s="402"/>
      <c r="AD317" s="402"/>
      <c r="AE317" s="402"/>
      <c r="AF317" s="402"/>
      <c r="AG317" s="402"/>
      <c r="AH317" s="402"/>
      <c r="AI317" s="402"/>
      <c r="AJ317" s="402"/>
      <c r="AK317" s="402"/>
      <c r="AL317" s="402"/>
      <c r="AM317" s="402"/>
      <c r="AN317" s="402"/>
      <c r="AO317" s="402"/>
      <c r="AQ317" s="81">
        <f>IF(J317&lt;&gt;"",1,IF(H317="なし",2,0))</f>
        <v>0</v>
      </c>
      <c r="AR317" s="86"/>
      <c r="AS317" s="86"/>
    </row>
    <row r="318" spans="2:45" ht="5.0999999999999996" customHeight="1" thickBot="1" x14ac:dyDescent="0.2">
      <c r="C318" s="46"/>
      <c r="D318" s="82"/>
      <c r="E318" s="48"/>
      <c r="F318" s="245"/>
      <c r="G318" s="46"/>
      <c r="H318" s="46"/>
      <c r="I318" s="255"/>
      <c r="J318" s="245"/>
      <c r="K318" s="245"/>
      <c r="L318" s="245"/>
      <c r="M318" s="245"/>
      <c r="N318" s="245"/>
      <c r="O318" s="245"/>
      <c r="P318" s="245"/>
      <c r="Q318" s="245"/>
      <c r="R318" s="245"/>
      <c r="S318" s="245"/>
      <c r="T318" s="245"/>
      <c r="U318" s="245"/>
      <c r="V318" s="245"/>
      <c r="W318" s="46"/>
      <c r="X318" s="402"/>
      <c r="Y318" s="402"/>
      <c r="Z318" s="402"/>
      <c r="AA318" s="402"/>
      <c r="AB318" s="402"/>
      <c r="AC318" s="402"/>
      <c r="AD318" s="402"/>
      <c r="AE318" s="402"/>
      <c r="AF318" s="402"/>
      <c r="AG318" s="402"/>
      <c r="AH318" s="402"/>
      <c r="AI318" s="402"/>
      <c r="AJ318" s="402"/>
      <c r="AK318" s="402"/>
      <c r="AL318" s="402"/>
      <c r="AM318" s="402"/>
      <c r="AN318" s="402"/>
      <c r="AO318" s="402"/>
      <c r="AP318" s="41"/>
      <c r="AQ318" s="86"/>
      <c r="AR318" s="86"/>
      <c r="AS318" s="86"/>
    </row>
    <row r="319" spans="2:45" ht="18" customHeight="1" thickBot="1" x14ac:dyDescent="0.2">
      <c r="B319" s="42">
        <v>15</v>
      </c>
      <c r="C319" s="46"/>
      <c r="D319" s="82"/>
      <c r="E319" s="48"/>
      <c r="F319" s="246"/>
      <c r="G319" s="46"/>
      <c r="H319" s="46"/>
      <c r="I319" s="261" t="str">
        <f>IF(AQ317=2,"入力してください→",IF(AQ317=1,"入力不要です→",""))</f>
        <v/>
      </c>
      <c r="J319" s="387"/>
      <c r="K319" s="388"/>
      <c r="L319" s="389"/>
      <c r="M319" s="245"/>
      <c r="N319" s="387"/>
      <c r="O319" s="388"/>
      <c r="P319" s="389"/>
      <c r="Q319" s="245"/>
      <c r="R319" s="387"/>
      <c r="S319" s="388"/>
      <c r="T319" s="389"/>
      <c r="U319" s="245"/>
      <c r="V319" s="249"/>
      <c r="W319" s="46"/>
      <c r="X319" s="402"/>
      <c r="Y319" s="402"/>
      <c r="Z319" s="402"/>
      <c r="AA319" s="402"/>
      <c r="AB319" s="402"/>
      <c r="AC319" s="402"/>
      <c r="AD319" s="402"/>
      <c r="AE319" s="402"/>
      <c r="AF319" s="402"/>
      <c r="AG319" s="402"/>
      <c r="AH319" s="402"/>
      <c r="AI319" s="402"/>
      <c r="AJ319" s="402"/>
      <c r="AK319" s="402"/>
      <c r="AL319" s="402"/>
      <c r="AM319" s="402"/>
      <c r="AN319" s="402"/>
      <c r="AO319" s="402"/>
      <c r="AP319" s="41"/>
      <c r="AQ319" s="86"/>
      <c r="AR319" s="86"/>
      <c r="AS319" s="86"/>
    </row>
    <row r="320" spans="2:45" ht="5.0999999999999996" customHeight="1" thickBot="1" x14ac:dyDescent="0.2">
      <c r="C320" s="46"/>
      <c r="D320" s="46"/>
      <c r="E320" s="47"/>
      <c r="F320" s="245"/>
      <c r="G320" s="47"/>
      <c r="H320" s="47"/>
      <c r="I320" s="255"/>
      <c r="J320" s="245"/>
      <c r="K320" s="245"/>
      <c r="L320" s="245"/>
      <c r="M320" s="245"/>
      <c r="N320" s="245"/>
      <c r="O320" s="245"/>
      <c r="P320" s="245"/>
      <c r="Q320" s="245"/>
      <c r="R320" s="245"/>
      <c r="S320" s="245"/>
      <c r="T320" s="245"/>
      <c r="U320" s="245"/>
      <c r="V320" s="245"/>
      <c r="W320" s="46"/>
      <c r="X320" s="296" t="s">
        <v>212</v>
      </c>
      <c r="Y320" s="296"/>
      <c r="Z320" s="296"/>
      <c r="AA320" s="296"/>
      <c r="AB320" s="296"/>
      <c r="AC320" s="296"/>
      <c r="AD320" s="296"/>
      <c r="AE320" s="296"/>
      <c r="AF320" s="296"/>
      <c r="AG320" s="296"/>
      <c r="AH320" s="296"/>
      <c r="AI320" s="296"/>
      <c r="AJ320" s="296"/>
      <c r="AK320" s="296"/>
      <c r="AL320" s="296"/>
      <c r="AM320" s="296"/>
      <c r="AN320" s="296"/>
      <c r="AO320" s="296"/>
      <c r="AP320" s="41"/>
      <c r="AQ320" s="86"/>
      <c r="AR320" s="86"/>
      <c r="AS320" s="86"/>
    </row>
    <row r="321" spans="2:45" ht="18" customHeight="1" thickBot="1" x14ac:dyDescent="0.2">
      <c r="B321" s="42">
        <v>15</v>
      </c>
      <c r="C321" s="46"/>
      <c r="D321" s="46"/>
      <c r="E321" s="48" t="s">
        <v>73</v>
      </c>
      <c r="F321" s="80"/>
      <c r="G321" s="47"/>
      <c r="H321" s="109"/>
      <c r="I321" s="255"/>
      <c r="J321" s="366" t="str">
        <f>IFERROR(VLOOKUP($F321,補助対象機器一覧20220831!$A$2:$K$200,2,FALSE),"")</f>
        <v/>
      </c>
      <c r="K321" s="367"/>
      <c r="L321" s="368"/>
      <c r="M321" s="245"/>
      <c r="N321" s="366" t="str">
        <f>IFERROR(VLOOKUP($F321,補助対象機器一覧20220831!$A$2:$K$200,7,FALSE),"")</f>
        <v/>
      </c>
      <c r="O321" s="367"/>
      <c r="P321" s="368"/>
      <c r="Q321" s="245"/>
      <c r="R321" s="366" t="str">
        <f>IFERROR(VLOOKUP($F321,補助対象機器一覧20220831!$A$2:$K$200,8,FALSE),"")</f>
        <v/>
      </c>
      <c r="S321" s="367"/>
      <c r="T321" s="368"/>
      <c r="U321" s="245"/>
      <c r="V321" s="244" t="str">
        <f>IFERROR(VLOOKUP($F321,補助対象機器一覧20220831!$A$2:$K$200,9,FALSE),"")</f>
        <v/>
      </c>
      <c r="W321" s="46"/>
      <c r="X321" s="402" t="str">
        <f>IF($B321&lt;=入力シート!$F$85,""&amp;中間シート!X557,"")</f>
        <v/>
      </c>
      <c r="Y321" s="402"/>
      <c r="Z321" s="402"/>
      <c r="AA321" s="402"/>
      <c r="AB321" s="402"/>
      <c r="AC321" s="402"/>
      <c r="AD321" s="402"/>
      <c r="AE321" s="402"/>
      <c r="AF321" s="402"/>
      <c r="AG321" s="402"/>
      <c r="AH321" s="402"/>
      <c r="AI321" s="402"/>
      <c r="AJ321" s="402"/>
      <c r="AK321" s="402"/>
      <c r="AL321" s="402"/>
      <c r="AM321" s="402"/>
      <c r="AN321" s="402"/>
      <c r="AO321" s="402"/>
      <c r="AP321" s="41"/>
      <c r="AQ321" s="81">
        <f>IF(J321&lt;&gt;"",1,IF(H321="なし",2,0))</f>
        <v>0</v>
      </c>
      <c r="AR321" s="86"/>
      <c r="AS321" s="86"/>
    </row>
    <row r="322" spans="2:45" ht="5.0999999999999996" customHeight="1" thickBot="1" x14ac:dyDescent="0.2">
      <c r="C322" s="46"/>
      <c r="D322" s="46"/>
      <c r="E322" s="48"/>
      <c r="F322" s="246"/>
      <c r="G322" s="47"/>
      <c r="H322" s="47"/>
      <c r="I322" s="255"/>
      <c r="J322" s="246"/>
      <c r="K322" s="246"/>
      <c r="L322" s="246"/>
      <c r="M322" s="245"/>
      <c r="N322" s="246"/>
      <c r="O322" s="246"/>
      <c r="P322" s="246"/>
      <c r="Q322" s="245"/>
      <c r="R322" s="246"/>
      <c r="S322" s="246"/>
      <c r="T322" s="246"/>
      <c r="U322" s="245"/>
      <c r="V322" s="246"/>
      <c r="W322" s="46"/>
      <c r="X322" s="402"/>
      <c r="Y322" s="402"/>
      <c r="Z322" s="402"/>
      <c r="AA322" s="402"/>
      <c r="AB322" s="402"/>
      <c r="AC322" s="402"/>
      <c r="AD322" s="402"/>
      <c r="AE322" s="402"/>
      <c r="AF322" s="402"/>
      <c r="AG322" s="402"/>
      <c r="AH322" s="402"/>
      <c r="AI322" s="402"/>
      <c r="AJ322" s="402"/>
      <c r="AK322" s="402"/>
      <c r="AL322" s="402"/>
      <c r="AM322" s="402"/>
      <c r="AN322" s="402"/>
      <c r="AO322" s="402"/>
      <c r="AP322" s="41"/>
      <c r="AQ322" s="86"/>
      <c r="AR322" s="86"/>
      <c r="AS322" s="86"/>
    </row>
    <row r="323" spans="2:45" ht="18" customHeight="1" thickBot="1" x14ac:dyDescent="0.2">
      <c r="B323" s="42">
        <v>15</v>
      </c>
      <c r="C323" s="46"/>
      <c r="D323" s="46"/>
      <c r="E323" s="48"/>
      <c r="F323" s="246"/>
      <c r="G323" s="47"/>
      <c r="H323" s="47"/>
      <c r="I323" s="261" t="str">
        <f>IF(AQ321=2,"入力してください→",IF(AQ321=1,"入力不要です→",""))</f>
        <v/>
      </c>
      <c r="J323" s="387"/>
      <c r="K323" s="388"/>
      <c r="L323" s="389"/>
      <c r="M323" s="245"/>
      <c r="N323" s="387"/>
      <c r="O323" s="388"/>
      <c r="P323" s="389"/>
      <c r="Q323" s="245"/>
      <c r="R323" s="387"/>
      <c r="S323" s="388"/>
      <c r="T323" s="389"/>
      <c r="U323" s="245"/>
      <c r="V323" s="249"/>
      <c r="W323" s="46"/>
      <c r="X323" s="402"/>
      <c r="Y323" s="402"/>
      <c r="Z323" s="402"/>
      <c r="AA323" s="402"/>
      <c r="AB323" s="402"/>
      <c r="AC323" s="402"/>
      <c r="AD323" s="402"/>
      <c r="AE323" s="402"/>
      <c r="AF323" s="402"/>
      <c r="AG323" s="402"/>
      <c r="AH323" s="402"/>
      <c r="AI323" s="402"/>
      <c r="AJ323" s="402"/>
      <c r="AK323" s="402"/>
      <c r="AL323" s="402"/>
      <c r="AM323" s="402"/>
      <c r="AN323" s="402"/>
      <c r="AO323" s="402"/>
      <c r="AP323" s="41"/>
      <c r="AQ323" s="86"/>
      <c r="AR323" s="86"/>
      <c r="AS323" s="86"/>
    </row>
    <row r="324" spans="2:45" ht="5.0999999999999996" customHeight="1" thickBot="1" x14ac:dyDescent="0.2">
      <c r="C324" s="46"/>
      <c r="D324" s="46"/>
      <c r="E324" s="48"/>
      <c r="F324" s="246"/>
      <c r="G324" s="47"/>
      <c r="H324" s="47"/>
      <c r="I324" s="255"/>
      <c r="J324" s="246"/>
      <c r="K324" s="246"/>
      <c r="L324" s="246"/>
      <c r="M324" s="245"/>
      <c r="N324" s="246"/>
      <c r="O324" s="246"/>
      <c r="P324" s="246"/>
      <c r="Q324" s="245"/>
      <c r="R324" s="246"/>
      <c r="S324" s="246"/>
      <c r="T324" s="246"/>
      <c r="U324" s="245"/>
      <c r="V324" s="246"/>
      <c r="W324" s="46"/>
      <c r="X324" s="296" t="s">
        <v>212</v>
      </c>
      <c r="Y324" s="296"/>
      <c r="Z324" s="296"/>
      <c r="AA324" s="296"/>
      <c r="AB324" s="296"/>
      <c r="AC324" s="296"/>
      <c r="AD324" s="296"/>
      <c r="AE324" s="296"/>
      <c r="AF324" s="296"/>
      <c r="AG324" s="296"/>
      <c r="AH324" s="296"/>
      <c r="AI324" s="296"/>
      <c r="AJ324" s="296"/>
      <c r="AK324" s="296"/>
      <c r="AL324" s="296"/>
      <c r="AM324" s="296"/>
      <c r="AN324" s="296"/>
      <c r="AO324" s="296"/>
      <c r="AP324" s="41"/>
      <c r="AQ324" s="86"/>
      <c r="AR324" s="86"/>
      <c r="AS324" s="86"/>
    </row>
    <row r="325" spans="2:45" ht="18" customHeight="1" thickBot="1" x14ac:dyDescent="0.2">
      <c r="B325" s="42">
        <v>15</v>
      </c>
      <c r="C325" s="46"/>
      <c r="D325" s="46"/>
      <c r="E325" s="48" t="s">
        <v>74</v>
      </c>
      <c r="F325" s="80"/>
      <c r="G325" s="47"/>
      <c r="H325" s="109"/>
      <c r="I325" s="255"/>
      <c r="J325" s="366" t="str">
        <f>IFERROR(VLOOKUP($F325,補助対象機器一覧20220831!$A$2:$K$200,2,FALSE),"")</f>
        <v/>
      </c>
      <c r="K325" s="367"/>
      <c r="L325" s="368"/>
      <c r="M325" s="245"/>
      <c r="N325" s="366" t="str">
        <f>IFERROR(VLOOKUP($F325,補助対象機器一覧20220831!$A$2:$K$200,7,FALSE),"")</f>
        <v/>
      </c>
      <c r="O325" s="367"/>
      <c r="P325" s="368"/>
      <c r="Q325" s="245"/>
      <c r="R325" s="366" t="str">
        <f>IFERROR(VLOOKUP($F325,補助対象機器一覧20220831!$A$2:$K$200,8,FALSE),"")</f>
        <v/>
      </c>
      <c r="S325" s="367"/>
      <c r="T325" s="368"/>
      <c r="U325" s="245"/>
      <c r="V325" s="244" t="str">
        <f>IFERROR(VLOOKUP($F325,補助対象機器一覧20220831!$A$2:$K$200,9,FALSE),"")</f>
        <v/>
      </c>
      <c r="W325" s="46"/>
      <c r="X325" s="402" t="str">
        <f>IF($B325&lt;=入力シート!$F$85,""&amp;中間シート!X558,"")</f>
        <v/>
      </c>
      <c r="Y325" s="402"/>
      <c r="Z325" s="402"/>
      <c r="AA325" s="402"/>
      <c r="AB325" s="402"/>
      <c r="AC325" s="402"/>
      <c r="AD325" s="402"/>
      <c r="AE325" s="402"/>
      <c r="AF325" s="402"/>
      <c r="AG325" s="402"/>
      <c r="AH325" s="402"/>
      <c r="AI325" s="402"/>
      <c r="AJ325" s="402"/>
      <c r="AK325" s="402"/>
      <c r="AL325" s="402"/>
      <c r="AM325" s="402"/>
      <c r="AN325" s="402"/>
      <c r="AO325" s="402"/>
      <c r="AP325" s="41"/>
      <c r="AQ325" s="81">
        <f>IF(J325&lt;&gt;"",1,IF(H325="なし",2,0))</f>
        <v>0</v>
      </c>
      <c r="AR325" s="86"/>
      <c r="AS325" s="86"/>
    </row>
    <row r="326" spans="2:45" ht="5.0999999999999996" customHeight="1" thickBot="1" x14ac:dyDescent="0.2">
      <c r="C326" s="46"/>
      <c r="D326" s="46"/>
      <c r="E326" s="48"/>
      <c r="F326" s="246"/>
      <c r="G326" s="47"/>
      <c r="H326" s="47"/>
      <c r="I326" s="255"/>
      <c r="J326" s="246"/>
      <c r="K326" s="246"/>
      <c r="L326" s="246"/>
      <c r="M326" s="245"/>
      <c r="N326" s="246"/>
      <c r="O326" s="246"/>
      <c r="P326" s="246"/>
      <c r="Q326" s="245"/>
      <c r="R326" s="246"/>
      <c r="S326" s="246"/>
      <c r="T326" s="246"/>
      <c r="U326" s="245"/>
      <c r="V326" s="246"/>
      <c r="W326" s="46"/>
      <c r="X326" s="402"/>
      <c r="Y326" s="402"/>
      <c r="Z326" s="402"/>
      <c r="AA326" s="402"/>
      <c r="AB326" s="402"/>
      <c r="AC326" s="402"/>
      <c r="AD326" s="402"/>
      <c r="AE326" s="402"/>
      <c r="AF326" s="402"/>
      <c r="AG326" s="402"/>
      <c r="AH326" s="402"/>
      <c r="AI326" s="402"/>
      <c r="AJ326" s="402"/>
      <c r="AK326" s="402"/>
      <c r="AL326" s="402"/>
      <c r="AM326" s="402"/>
      <c r="AN326" s="402"/>
      <c r="AO326" s="402"/>
      <c r="AP326" s="41"/>
      <c r="AQ326" s="86"/>
      <c r="AR326" s="86"/>
      <c r="AS326" s="86"/>
    </row>
    <row r="327" spans="2:45" ht="18" customHeight="1" thickBot="1" x14ac:dyDescent="0.2">
      <c r="B327" s="42">
        <v>15</v>
      </c>
      <c r="C327" s="46"/>
      <c r="D327" s="46"/>
      <c r="E327" s="47"/>
      <c r="F327" s="246"/>
      <c r="G327" s="47"/>
      <c r="H327" s="47"/>
      <c r="I327" s="261" t="str">
        <f>IF(AQ325=2,"入力してください→",IF(AQ325=1,"入力不要です→",""))</f>
        <v/>
      </c>
      <c r="J327" s="387"/>
      <c r="K327" s="388"/>
      <c r="L327" s="389"/>
      <c r="M327" s="245"/>
      <c r="N327" s="387"/>
      <c r="O327" s="388"/>
      <c r="P327" s="389"/>
      <c r="Q327" s="245"/>
      <c r="R327" s="387"/>
      <c r="S327" s="388"/>
      <c r="T327" s="389"/>
      <c r="U327" s="245"/>
      <c r="V327" s="249"/>
      <c r="W327" s="46"/>
      <c r="X327" s="402"/>
      <c r="Y327" s="402"/>
      <c r="Z327" s="402"/>
      <c r="AA327" s="402"/>
      <c r="AB327" s="402"/>
      <c r="AC327" s="402"/>
      <c r="AD327" s="402"/>
      <c r="AE327" s="402"/>
      <c r="AF327" s="402"/>
      <c r="AG327" s="402"/>
      <c r="AH327" s="402"/>
      <c r="AI327" s="402"/>
      <c r="AJ327" s="402"/>
      <c r="AK327" s="402"/>
      <c r="AL327" s="402"/>
      <c r="AM327" s="402"/>
      <c r="AN327" s="402"/>
      <c r="AO327" s="402"/>
      <c r="AP327" s="41"/>
      <c r="AQ327" s="86"/>
      <c r="AR327" s="86"/>
      <c r="AS327" s="86"/>
    </row>
    <row r="328" spans="2:45" x14ac:dyDescent="0.15">
      <c r="C328" s="46"/>
      <c r="D328" s="46"/>
      <c r="E328" s="47"/>
      <c r="F328" s="246"/>
      <c r="G328" s="47"/>
      <c r="H328" s="47"/>
      <c r="I328" s="257"/>
      <c r="J328" s="245"/>
      <c r="K328" s="245"/>
      <c r="L328" s="245"/>
      <c r="M328" s="245"/>
      <c r="N328" s="245"/>
      <c r="O328" s="245"/>
      <c r="P328" s="245"/>
      <c r="Q328" s="245"/>
      <c r="R328" s="245"/>
      <c r="S328" s="245"/>
      <c r="T328" s="245"/>
      <c r="U328" s="245"/>
      <c r="V328" s="245"/>
      <c r="W328" s="46"/>
      <c r="X328" s="296" t="s">
        <v>212</v>
      </c>
      <c r="Y328" s="296"/>
      <c r="Z328" s="296"/>
      <c r="AA328" s="296"/>
      <c r="AB328" s="296"/>
      <c r="AC328" s="296"/>
      <c r="AD328" s="296"/>
      <c r="AE328" s="296"/>
      <c r="AF328" s="296"/>
      <c r="AG328" s="296"/>
      <c r="AH328" s="296"/>
      <c r="AI328" s="296"/>
      <c r="AJ328" s="296"/>
      <c r="AK328" s="296"/>
      <c r="AL328" s="296"/>
      <c r="AM328" s="296"/>
      <c r="AN328" s="296"/>
      <c r="AO328" s="296"/>
      <c r="AQ328" s="86"/>
      <c r="AR328" s="86"/>
      <c r="AS328" s="86"/>
    </row>
    <row r="329" spans="2:45" ht="14.25" thickBot="1" x14ac:dyDescent="0.2">
      <c r="C329" s="86"/>
      <c r="D329" s="86"/>
      <c r="E329" s="93"/>
      <c r="F329" s="247"/>
      <c r="G329" s="93"/>
      <c r="H329" s="93"/>
      <c r="I329" s="258"/>
      <c r="J329" s="248"/>
      <c r="K329" s="248"/>
      <c r="L329" s="248"/>
      <c r="M329" s="248"/>
      <c r="N329" s="248"/>
      <c r="O329" s="248"/>
      <c r="P329" s="248"/>
      <c r="Q329" s="248"/>
      <c r="R329" s="248"/>
      <c r="S329" s="248"/>
      <c r="T329" s="248"/>
      <c r="U329" s="248"/>
      <c r="V329" s="248"/>
      <c r="W329" s="86"/>
      <c r="X329" s="296" t="s">
        <v>212</v>
      </c>
      <c r="Y329" s="296"/>
      <c r="Z329" s="296"/>
      <c r="AA329" s="296"/>
      <c r="AB329" s="296"/>
      <c r="AC329" s="296"/>
      <c r="AD329" s="296"/>
      <c r="AE329" s="296"/>
      <c r="AF329" s="296"/>
      <c r="AG329" s="296"/>
      <c r="AH329" s="296"/>
      <c r="AI329" s="296"/>
      <c r="AJ329" s="296"/>
      <c r="AK329" s="296"/>
      <c r="AL329" s="296"/>
      <c r="AM329" s="296"/>
      <c r="AN329" s="296"/>
      <c r="AO329" s="296"/>
      <c r="AQ329" s="86"/>
      <c r="AR329" s="86"/>
      <c r="AS329" s="86"/>
    </row>
    <row r="330" spans="2:45" ht="18" customHeight="1" thickBot="1" x14ac:dyDescent="0.2">
      <c r="B330" s="42">
        <v>16</v>
      </c>
      <c r="C330" s="86"/>
      <c r="D330" s="94" t="s">
        <v>171</v>
      </c>
      <c r="E330" s="95" t="s">
        <v>72</v>
      </c>
      <c r="F330" s="80"/>
      <c r="G330" s="86"/>
      <c r="H330" s="80"/>
      <c r="I330" s="259"/>
      <c r="J330" s="366" t="str">
        <f>IFERROR(VLOOKUP($F330,補助対象機器一覧20220831!$A$2:$K$200,2,FALSE),"")</f>
        <v/>
      </c>
      <c r="K330" s="367"/>
      <c r="L330" s="368"/>
      <c r="M330" s="248"/>
      <c r="N330" s="366" t="str">
        <f>IFERROR(VLOOKUP($F330,補助対象機器一覧20220831!$A$2:$K$200,7,FALSE),"")</f>
        <v/>
      </c>
      <c r="O330" s="367"/>
      <c r="P330" s="368"/>
      <c r="Q330" s="248"/>
      <c r="R330" s="366" t="str">
        <f>IFERROR(VLOOKUP($F330,補助対象機器一覧20220831!$A$2:$K$200,8,FALSE),"")</f>
        <v/>
      </c>
      <c r="S330" s="367"/>
      <c r="T330" s="368"/>
      <c r="U330" s="248"/>
      <c r="V330" s="244" t="str">
        <f>IFERROR(VLOOKUP($F330,補助対象機器一覧20220831!$A$2:$K$200,9,FALSE),"")</f>
        <v/>
      </c>
      <c r="W330" s="86"/>
      <c r="X330" s="402" t="str">
        <f>IF($B330&lt;=入力シート!$F$85,""&amp;中間シート!X559,"")</f>
        <v/>
      </c>
      <c r="Y330" s="402"/>
      <c r="Z330" s="402"/>
      <c r="AA330" s="402"/>
      <c r="AB330" s="402"/>
      <c r="AC330" s="402"/>
      <c r="AD330" s="402"/>
      <c r="AE330" s="402"/>
      <c r="AF330" s="402"/>
      <c r="AG330" s="402"/>
      <c r="AH330" s="402"/>
      <c r="AI330" s="402"/>
      <c r="AJ330" s="402"/>
      <c r="AK330" s="402"/>
      <c r="AL330" s="402"/>
      <c r="AM330" s="402"/>
      <c r="AN330" s="402"/>
      <c r="AO330" s="402"/>
      <c r="AQ330" s="81">
        <f>IF(J330&lt;&gt;"",1,IF(H330="なし",2,0))</f>
        <v>0</v>
      </c>
      <c r="AR330" s="86"/>
      <c r="AS330" s="86"/>
    </row>
    <row r="331" spans="2:45" ht="5.0999999999999996" customHeight="1" thickBot="1" x14ac:dyDescent="0.2">
      <c r="C331" s="86"/>
      <c r="D331" s="94"/>
      <c r="E331" s="95"/>
      <c r="F331" s="248"/>
      <c r="G331" s="86"/>
      <c r="H331" s="86"/>
      <c r="I331" s="259"/>
      <c r="J331" s="248"/>
      <c r="K331" s="248"/>
      <c r="L331" s="248"/>
      <c r="M331" s="248"/>
      <c r="N331" s="248"/>
      <c r="O331" s="248"/>
      <c r="P331" s="248"/>
      <c r="Q331" s="248"/>
      <c r="R331" s="248"/>
      <c r="S331" s="248"/>
      <c r="T331" s="248"/>
      <c r="U331" s="248"/>
      <c r="V331" s="248"/>
      <c r="W331" s="86"/>
      <c r="X331" s="402"/>
      <c r="Y331" s="402"/>
      <c r="Z331" s="402"/>
      <c r="AA331" s="402"/>
      <c r="AB331" s="402"/>
      <c r="AC331" s="402"/>
      <c r="AD331" s="402"/>
      <c r="AE331" s="402"/>
      <c r="AF331" s="402"/>
      <c r="AG331" s="402"/>
      <c r="AH331" s="402"/>
      <c r="AI331" s="402"/>
      <c r="AJ331" s="402"/>
      <c r="AK331" s="402"/>
      <c r="AL331" s="402"/>
      <c r="AM331" s="402"/>
      <c r="AN331" s="402"/>
      <c r="AO331" s="402"/>
      <c r="AP331" s="41"/>
      <c r="AQ331" s="86"/>
      <c r="AR331" s="86"/>
      <c r="AS331" s="86"/>
    </row>
    <row r="332" spans="2:45" ht="18" customHeight="1" thickBot="1" x14ac:dyDescent="0.2">
      <c r="B332" s="42">
        <v>16</v>
      </c>
      <c r="C332" s="86"/>
      <c r="D332" s="94"/>
      <c r="E332" s="95"/>
      <c r="F332" s="247"/>
      <c r="G332" s="86"/>
      <c r="H332" s="86"/>
      <c r="I332" s="260" t="str">
        <f>IF(AQ330=2,"入力してください→",IF(AQ330=1,"入力不要です→",""))</f>
        <v/>
      </c>
      <c r="J332" s="387"/>
      <c r="K332" s="388"/>
      <c r="L332" s="389"/>
      <c r="M332" s="248"/>
      <c r="N332" s="387"/>
      <c r="O332" s="388"/>
      <c r="P332" s="389"/>
      <c r="Q332" s="248"/>
      <c r="R332" s="387"/>
      <c r="S332" s="388"/>
      <c r="T332" s="389"/>
      <c r="U332" s="248"/>
      <c r="V332" s="249"/>
      <c r="W332" s="86"/>
      <c r="X332" s="402"/>
      <c r="Y332" s="402"/>
      <c r="Z332" s="402"/>
      <c r="AA332" s="402"/>
      <c r="AB332" s="402"/>
      <c r="AC332" s="402"/>
      <c r="AD332" s="402"/>
      <c r="AE332" s="402"/>
      <c r="AF332" s="402"/>
      <c r="AG332" s="402"/>
      <c r="AH332" s="402"/>
      <c r="AI332" s="402"/>
      <c r="AJ332" s="402"/>
      <c r="AK332" s="402"/>
      <c r="AL332" s="402"/>
      <c r="AM332" s="402"/>
      <c r="AN332" s="402"/>
      <c r="AO332" s="402"/>
      <c r="AP332" s="41"/>
      <c r="AQ332" s="86"/>
      <c r="AR332" s="86"/>
      <c r="AS332" s="86"/>
    </row>
    <row r="333" spans="2:45" ht="5.0999999999999996" customHeight="1" thickBot="1" x14ac:dyDescent="0.2">
      <c r="C333" s="86"/>
      <c r="D333" s="86"/>
      <c r="E333" s="93"/>
      <c r="F333" s="248"/>
      <c r="G333" s="93"/>
      <c r="H333" s="93"/>
      <c r="I333" s="259"/>
      <c r="J333" s="248"/>
      <c r="K333" s="248"/>
      <c r="L333" s="248"/>
      <c r="M333" s="248"/>
      <c r="N333" s="248"/>
      <c r="O333" s="248"/>
      <c r="P333" s="248"/>
      <c r="Q333" s="248"/>
      <c r="R333" s="248"/>
      <c r="S333" s="248"/>
      <c r="T333" s="248"/>
      <c r="U333" s="248"/>
      <c r="V333" s="248"/>
      <c r="W333" s="86"/>
      <c r="X333" s="296" t="s">
        <v>212</v>
      </c>
      <c r="Y333" s="296"/>
      <c r="Z333" s="296"/>
      <c r="AA333" s="296"/>
      <c r="AB333" s="296"/>
      <c r="AC333" s="296"/>
      <c r="AD333" s="296"/>
      <c r="AE333" s="296"/>
      <c r="AF333" s="296"/>
      <c r="AG333" s="296"/>
      <c r="AH333" s="296"/>
      <c r="AI333" s="296"/>
      <c r="AJ333" s="296"/>
      <c r="AK333" s="296"/>
      <c r="AL333" s="296"/>
      <c r="AM333" s="296"/>
      <c r="AN333" s="296"/>
      <c r="AO333" s="296"/>
      <c r="AP333" s="41"/>
      <c r="AQ333" s="86"/>
      <c r="AR333" s="86"/>
      <c r="AS333" s="86"/>
    </row>
    <row r="334" spans="2:45" ht="18" customHeight="1" thickBot="1" x14ac:dyDescent="0.2">
      <c r="B334" s="42">
        <v>16</v>
      </c>
      <c r="C334" s="86"/>
      <c r="D334" s="86"/>
      <c r="E334" s="95" t="s">
        <v>73</v>
      </c>
      <c r="F334" s="80"/>
      <c r="G334" s="93"/>
      <c r="H334" s="80"/>
      <c r="I334" s="259"/>
      <c r="J334" s="366" t="str">
        <f>IFERROR(VLOOKUP($F334,補助対象機器一覧20220831!$A$2:$K$200,2,FALSE),"")</f>
        <v/>
      </c>
      <c r="K334" s="367"/>
      <c r="L334" s="368"/>
      <c r="M334" s="248"/>
      <c r="N334" s="366" t="str">
        <f>IFERROR(VLOOKUP($F334,補助対象機器一覧20220831!$A$2:$K$200,7,FALSE),"")</f>
        <v/>
      </c>
      <c r="O334" s="367"/>
      <c r="P334" s="368"/>
      <c r="Q334" s="248"/>
      <c r="R334" s="366" t="str">
        <f>IFERROR(VLOOKUP($F334,補助対象機器一覧20220831!$A$2:$K$200,8,FALSE),"")</f>
        <v/>
      </c>
      <c r="S334" s="367"/>
      <c r="T334" s="368"/>
      <c r="U334" s="248"/>
      <c r="V334" s="244" t="str">
        <f>IFERROR(VLOOKUP($F334,補助対象機器一覧20220831!$A$2:$K$200,9,FALSE),"")</f>
        <v/>
      </c>
      <c r="W334" s="86"/>
      <c r="X334" s="402" t="str">
        <f>IF($B334&lt;=入力シート!$F$85,""&amp;中間シート!X560,"")</f>
        <v/>
      </c>
      <c r="Y334" s="402"/>
      <c r="Z334" s="402"/>
      <c r="AA334" s="402"/>
      <c r="AB334" s="402"/>
      <c r="AC334" s="402"/>
      <c r="AD334" s="402"/>
      <c r="AE334" s="402"/>
      <c r="AF334" s="402"/>
      <c r="AG334" s="402"/>
      <c r="AH334" s="402"/>
      <c r="AI334" s="402"/>
      <c r="AJ334" s="402"/>
      <c r="AK334" s="402"/>
      <c r="AL334" s="402"/>
      <c r="AM334" s="402"/>
      <c r="AN334" s="402"/>
      <c r="AO334" s="402"/>
      <c r="AP334" s="41"/>
      <c r="AQ334" s="81">
        <f>IF(J334&lt;&gt;"",1,IF(H334="なし",2,0))</f>
        <v>0</v>
      </c>
      <c r="AR334" s="86"/>
      <c r="AS334" s="86"/>
    </row>
    <row r="335" spans="2:45" ht="5.0999999999999996" customHeight="1" thickBot="1" x14ac:dyDescent="0.2">
      <c r="C335" s="86"/>
      <c r="D335" s="86"/>
      <c r="E335" s="95"/>
      <c r="F335" s="247"/>
      <c r="G335" s="93"/>
      <c r="H335" s="93"/>
      <c r="I335" s="259"/>
      <c r="J335" s="247"/>
      <c r="K335" s="247"/>
      <c r="L335" s="247"/>
      <c r="M335" s="248"/>
      <c r="N335" s="247"/>
      <c r="O335" s="247"/>
      <c r="P335" s="247"/>
      <c r="Q335" s="248"/>
      <c r="R335" s="247"/>
      <c r="S335" s="247"/>
      <c r="T335" s="247"/>
      <c r="U335" s="248"/>
      <c r="V335" s="247"/>
      <c r="W335" s="86"/>
      <c r="X335" s="402"/>
      <c r="Y335" s="402"/>
      <c r="Z335" s="402"/>
      <c r="AA335" s="402"/>
      <c r="AB335" s="402"/>
      <c r="AC335" s="402"/>
      <c r="AD335" s="402"/>
      <c r="AE335" s="402"/>
      <c r="AF335" s="402"/>
      <c r="AG335" s="402"/>
      <c r="AH335" s="402"/>
      <c r="AI335" s="402"/>
      <c r="AJ335" s="402"/>
      <c r="AK335" s="402"/>
      <c r="AL335" s="402"/>
      <c r="AM335" s="402"/>
      <c r="AN335" s="402"/>
      <c r="AO335" s="402"/>
      <c r="AP335" s="41"/>
      <c r="AQ335" s="86"/>
      <c r="AR335" s="86"/>
      <c r="AS335" s="86"/>
    </row>
    <row r="336" spans="2:45" ht="18" customHeight="1" thickBot="1" x14ac:dyDescent="0.2">
      <c r="B336" s="42">
        <v>16</v>
      </c>
      <c r="C336" s="86"/>
      <c r="D336" s="86"/>
      <c r="E336" s="95"/>
      <c r="F336" s="247"/>
      <c r="G336" s="93"/>
      <c r="H336" s="93"/>
      <c r="I336" s="260" t="str">
        <f>IF(AQ334=2,"入力してください→",IF(AQ334=1,"入力不要です→",""))</f>
        <v/>
      </c>
      <c r="J336" s="387"/>
      <c r="K336" s="388"/>
      <c r="L336" s="389"/>
      <c r="M336" s="248"/>
      <c r="N336" s="387"/>
      <c r="O336" s="388"/>
      <c r="P336" s="389"/>
      <c r="Q336" s="248"/>
      <c r="R336" s="387"/>
      <c r="S336" s="388"/>
      <c r="T336" s="389"/>
      <c r="U336" s="248"/>
      <c r="V336" s="249"/>
      <c r="W336" s="86"/>
      <c r="X336" s="402"/>
      <c r="Y336" s="402"/>
      <c r="Z336" s="402"/>
      <c r="AA336" s="402"/>
      <c r="AB336" s="402"/>
      <c r="AC336" s="402"/>
      <c r="AD336" s="402"/>
      <c r="AE336" s="402"/>
      <c r="AF336" s="402"/>
      <c r="AG336" s="402"/>
      <c r="AH336" s="402"/>
      <c r="AI336" s="402"/>
      <c r="AJ336" s="402"/>
      <c r="AK336" s="402"/>
      <c r="AL336" s="402"/>
      <c r="AM336" s="402"/>
      <c r="AN336" s="402"/>
      <c r="AO336" s="402"/>
      <c r="AP336" s="41"/>
      <c r="AQ336" s="86"/>
      <c r="AR336" s="86"/>
      <c r="AS336" s="86"/>
    </row>
    <row r="337" spans="2:45" ht="5.0999999999999996" customHeight="1" thickBot="1" x14ac:dyDescent="0.2">
      <c r="C337" s="86"/>
      <c r="D337" s="86"/>
      <c r="E337" s="95"/>
      <c r="F337" s="247"/>
      <c r="G337" s="93"/>
      <c r="H337" s="93"/>
      <c r="I337" s="259"/>
      <c r="J337" s="247"/>
      <c r="K337" s="247"/>
      <c r="L337" s="247"/>
      <c r="M337" s="248"/>
      <c r="N337" s="247"/>
      <c r="O337" s="247"/>
      <c r="P337" s="247"/>
      <c r="Q337" s="248"/>
      <c r="R337" s="247"/>
      <c r="S337" s="247"/>
      <c r="T337" s="247"/>
      <c r="U337" s="248"/>
      <c r="V337" s="247"/>
      <c r="W337" s="86"/>
      <c r="X337" s="296" t="s">
        <v>212</v>
      </c>
      <c r="Y337" s="296"/>
      <c r="Z337" s="296"/>
      <c r="AA337" s="296"/>
      <c r="AB337" s="296"/>
      <c r="AC337" s="296"/>
      <c r="AD337" s="296"/>
      <c r="AE337" s="296"/>
      <c r="AF337" s="296"/>
      <c r="AG337" s="296"/>
      <c r="AH337" s="296"/>
      <c r="AI337" s="296"/>
      <c r="AJ337" s="296"/>
      <c r="AK337" s="296"/>
      <c r="AL337" s="296"/>
      <c r="AM337" s="296"/>
      <c r="AN337" s="296"/>
      <c r="AO337" s="296"/>
      <c r="AP337" s="41"/>
      <c r="AQ337" s="86"/>
      <c r="AR337" s="86"/>
      <c r="AS337" s="86"/>
    </row>
    <row r="338" spans="2:45" ht="18" customHeight="1" thickBot="1" x14ac:dyDescent="0.2">
      <c r="B338" s="42">
        <v>16</v>
      </c>
      <c r="C338" s="86"/>
      <c r="D338" s="86"/>
      <c r="E338" s="95" t="s">
        <v>74</v>
      </c>
      <c r="F338" s="80"/>
      <c r="G338" s="93"/>
      <c r="H338" s="80"/>
      <c r="I338" s="259"/>
      <c r="J338" s="366" t="str">
        <f>IFERROR(VLOOKUP($F338,補助対象機器一覧20220831!$A$2:$K$200,2,FALSE),"")</f>
        <v/>
      </c>
      <c r="K338" s="367"/>
      <c r="L338" s="368"/>
      <c r="M338" s="248"/>
      <c r="N338" s="366" t="str">
        <f>IFERROR(VLOOKUP($F338,補助対象機器一覧20220831!$A$2:$K$200,7,FALSE),"")</f>
        <v/>
      </c>
      <c r="O338" s="367"/>
      <c r="P338" s="368"/>
      <c r="Q338" s="248"/>
      <c r="R338" s="366" t="str">
        <f>IFERROR(VLOOKUP($F338,補助対象機器一覧20220831!$A$2:$K$200,8,FALSE),"")</f>
        <v/>
      </c>
      <c r="S338" s="367"/>
      <c r="T338" s="368"/>
      <c r="U338" s="248"/>
      <c r="V338" s="244" t="str">
        <f>IFERROR(VLOOKUP($F338,補助対象機器一覧20220831!$A$2:$K$200,9,FALSE),"")</f>
        <v/>
      </c>
      <c r="W338" s="86"/>
      <c r="X338" s="402" t="str">
        <f>IF($B338&lt;=入力シート!$F$85,""&amp;中間シート!X561,"")</f>
        <v/>
      </c>
      <c r="Y338" s="402"/>
      <c r="Z338" s="402"/>
      <c r="AA338" s="402"/>
      <c r="AB338" s="402"/>
      <c r="AC338" s="402"/>
      <c r="AD338" s="402"/>
      <c r="AE338" s="402"/>
      <c r="AF338" s="402"/>
      <c r="AG338" s="402"/>
      <c r="AH338" s="402"/>
      <c r="AI338" s="402"/>
      <c r="AJ338" s="402"/>
      <c r="AK338" s="402"/>
      <c r="AL338" s="402"/>
      <c r="AM338" s="402"/>
      <c r="AN338" s="402"/>
      <c r="AO338" s="402"/>
      <c r="AP338" s="41"/>
      <c r="AQ338" s="81">
        <f>IF(J338&lt;&gt;"",1,IF(H338="なし",2,0))</f>
        <v>0</v>
      </c>
      <c r="AR338" s="86"/>
      <c r="AS338" s="86"/>
    </row>
    <row r="339" spans="2:45" ht="5.0999999999999996" customHeight="1" thickBot="1" x14ac:dyDescent="0.2">
      <c r="C339" s="86"/>
      <c r="D339" s="86"/>
      <c r="E339" s="95"/>
      <c r="F339" s="247"/>
      <c r="G339" s="93"/>
      <c r="H339" s="93"/>
      <c r="I339" s="259"/>
      <c r="J339" s="247"/>
      <c r="K339" s="247"/>
      <c r="L339" s="247"/>
      <c r="M339" s="248"/>
      <c r="N339" s="247"/>
      <c r="O339" s="247"/>
      <c r="P339" s="247"/>
      <c r="Q339" s="248"/>
      <c r="R339" s="247"/>
      <c r="S339" s="247"/>
      <c r="T339" s="247"/>
      <c r="U339" s="248"/>
      <c r="V339" s="247"/>
      <c r="W339" s="86"/>
      <c r="X339" s="402"/>
      <c r="Y339" s="402"/>
      <c r="Z339" s="402"/>
      <c r="AA339" s="402"/>
      <c r="AB339" s="402"/>
      <c r="AC339" s="402"/>
      <c r="AD339" s="402"/>
      <c r="AE339" s="402"/>
      <c r="AF339" s="402"/>
      <c r="AG339" s="402"/>
      <c r="AH339" s="402"/>
      <c r="AI339" s="402"/>
      <c r="AJ339" s="402"/>
      <c r="AK339" s="402"/>
      <c r="AL339" s="402"/>
      <c r="AM339" s="402"/>
      <c r="AN339" s="402"/>
      <c r="AO339" s="402"/>
      <c r="AP339" s="41"/>
      <c r="AQ339" s="86"/>
      <c r="AR339" s="86"/>
      <c r="AS339" s="86"/>
    </row>
    <row r="340" spans="2:45" ht="18" customHeight="1" thickBot="1" x14ac:dyDescent="0.2">
      <c r="B340" s="42">
        <v>16</v>
      </c>
      <c r="C340" s="86"/>
      <c r="D340" s="86"/>
      <c r="E340" s="93"/>
      <c r="F340" s="247"/>
      <c r="G340" s="93"/>
      <c r="H340" s="93"/>
      <c r="I340" s="260" t="str">
        <f>IF(AQ338=2,"入力してください→",IF(AQ338=1,"入力不要です→",""))</f>
        <v/>
      </c>
      <c r="J340" s="387"/>
      <c r="K340" s="388"/>
      <c r="L340" s="389"/>
      <c r="M340" s="248"/>
      <c r="N340" s="387"/>
      <c r="O340" s="388"/>
      <c r="P340" s="389"/>
      <c r="Q340" s="248"/>
      <c r="R340" s="387"/>
      <c r="S340" s="388"/>
      <c r="T340" s="389"/>
      <c r="U340" s="248"/>
      <c r="V340" s="249"/>
      <c r="W340" s="86"/>
      <c r="X340" s="402"/>
      <c r="Y340" s="402"/>
      <c r="Z340" s="402"/>
      <c r="AA340" s="402"/>
      <c r="AB340" s="402"/>
      <c r="AC340" s="402"/>
      <c r="AD340" s="402"/>
      <c r="AE340" s="402"/>
      <c r="AF340" s="402"/>
      <c r="AG340" s="402"/>
      <c r="AH340" s="402"/>
      <c r="AI340" s="402"/>
      <c r="AJ340" s="402"/>
      <c r="AK340" s="402"/>
      <c r="AL340" s="402"/>
      <c r="AM340" s="402"/>
      <c r="AN340" s="402"/>
      <c r="AO340" s="402"/>
      <c r="AP340" s="41"/>
      <c r="AQ340" s="86"/>
      <c r="AR340" s="86"/>
      <c r="AS340" s="86"/>
    </row>
    <row r="341" spans="2:45" x14ac:dyDescent="0.15">
      <c r="C341" s="86"/>
      <c r="D341" s="86"/>
      <c r="E341" s="93"/>
      <c r="F341" s="247"/>
      <c r="G341" s="93"/>
      <c r="H341" s="93"/>
      <c r="I341" s="258"/>
      <c r="J341" s="248"/>
      <c r="K341" s="248"/>
      <c r="L341" s="248"/>
      <c r="M341" s="248"/>
      <c r="N341" s="248"/>
      <c r="O341" s="248"/>
      <c r="P341" s="248"/>
      <c r="Q341" s="248"/>
      <c r="R341" s="248"/>
      <c r="S341" s="248"/>
      <c r="T341" s="248"/>
      <c r="U341" s="248"/>
      <c r="V341" s="248"/>
      <c r="W341" s="86"/>
      <c r="X341" s="296" t="s">
        <v>212</v>
      </c>
      <c r="Y341" s="296"/>
      <c r="Z341" s="296"/>
      <c r="AA341" s="296"/>
      <c r="AB341" s="296"/>
      <c r="AC341" s="296"/>
      <c r="AD341" s="296"/>
      <c r="AE341" s="296"/>
      <c r="AF341" s="296"/>
      <c r="AG341" s="296"/>
      <c r="AH341" s="296"/>
      <c r="AI341" s="296"/>
      <c r="AJ341" s="296"/>
      <c r="AK341" s="296"/>
      <c r="AL341" s="296"/>
      <c r="AM341" s="296"/>
      <c r="AN341" s="296"/>
      <c r="AO341" s="296"/>
      <c r="AQ341" s="86"/>
      <c r="AR341" s="86"/>
      <c r="AS341" s="86"/>
    </row>
    <row r="342" spans="2:45" ht="14.25" thickBot="1" x14ac:dyDescent="0.2">
      <c r="C342" s="46"/>
      <c r="D342" s="46"/>
      <c r="E342" s="47"/>
      <c r="F342" s="246"/>
      <c r="G342" s="47"/>
      <c r="H342" s="47"/>
      <c r="I342" s="257"/>
      <c r="J342" s="245"/>
      <c r="K342" s="245"/>
      <c r="L342" s="245"/>
      <c r="M342" s="245"/>
      <c r="N342" s="245"/>
      <c r="O342" s="245"/>
      <c r="P342" s="245"/>
      <c r="Q342" s="245"/>
      <c r="R342" s="245"/>
      <c r="S342" s="245"/>
      <c r="T342" s="245"/>
      <c r="U342" s="245"/>
      <c r="V342" s="245"/>
      <c r="W342" s="46"/>
      <c r="X342" s="296" t="s">
        <v>212</v>
      </c>
      <c r="Y342" s="296"/>
      <c r="Z342" s="296"/>
      <c r="AA342" s="296"/>
      <c r="AB342" s="296"/>
      <c r="AC342" s="296"/>
      <c r="AD342" s="296"/>
      <c r="AE342" s="296"/>
      <c r="AF342" s="296"/>
      <c r="AG342" s="296"/>
      <c r="AH342" s="296"/>
      <c r="AI342" s="296"/>
      <c r="AJ342" s="296"/>
      <c r="AK342" s="296"/>
      <c r="AL342" s="296"/>
      <c r="AM342" s="296"/>
      <c r="AN342" s="296"/>
      <c r="AO342" s="296"/>
      <c r="AQ342" s="86"/>
      <c r="AR342" s="86"/>
      <c r="AS342" s="86"/>
    </row>
    <row r="343" spans="2:45" ht="18" customHeight="1" thickBot="1" x14ac:dyDescent="0.2">
      <c r="B343" s="42">
        <v>17</v>
      </c>
      <c r="C343" s="46"/>
      <c r="D343" s="82" t="s">
        <v>172</v>
      </c>
      <c r="E343" s="48" t="s">
        <v>72</v>
      </c>
      <c r="F343" s="80"/>
      <c r="G343" s="46"/>
      <c r="H343" s="109"/>
      <c r="I343" s="255"/>
      <c r="J343" s="366" t="str">
        <f>IFERROR(VLOOKUP($F343,補助対象機器一覧20220831!$A$2:$K$200,2,FALSE),"")</f>
        <v/>
      </c>
      <c r="K343" s="367"/>
      <c r="L343" s="368"/>
      <c r="M343" s="245"/>
      <c r="N343" s="366" t="str">
        <f>IFERROR(VLOOKUP($F343,補助対象機器一覧20220831!$A$2:$K$200,7,FALSE),"")</f>
        <v/>
      </c>
      <c r="O343" s="367"/>
      <c r="P343" s="368"/>
      <c r="Q343" s="245"/>
      <c r="R343" s="366" t="str">
        <f>IFERROR(VLOOKUP($F343,補助対象機器一覧20220831!$A$2:$K$200,8,FALSE),"")</f>
        <v/>
      </c>
      <c r="S343" s="367"/>
      <c r="T343" s="368"/>
      <c r="U343" s="245"/>
      <c r="V343" s="244" t="str">
        <f>IFERROR(VLOOKUP($F343,補助対象機器一覧20220831!$A$2:$K$200,9,FALSE),"")</f>
        <v/>
      </c>
      <c r="W343" s="46"/>
      <c r="X343" s="402" t="str">
        <f>IF($B343&lt;=入力シート!$F$85,""&amp;中間シート!X562,"")</f>
        <v/>
      </c>
      <c r="Y343" s="402"/>
      <c r="Z343" s="402"/>
      <c r="AA343" s="402"/>
      <c r="AB343" s="402"/>
      <c r="AC343" s="402"/>
      <c r="AD343" s="402"/>
      <c r="AE343" s="402"/>
      <c r="AF343" s="402"/>
      <c r="AG343" s="402"/>
      <c r="AH343" s="402"/>
      <c r="AI343" s="402"/>
      <c r="AJ343" s="402"/>
      <c r="AK343" s="402"/>
      <c r="AL343" s="402"/>
      <c r="AM343" s="402"/>
      <c r="AN343" s="402"/>
      <c r="AO343" s="402"/>
      <c r="AQ343" s="81">
        <f>IF(J343&lt;&gt;"",1,IF(H343="なし",2,0))</f>
        <v>0</v>
      </c>
      <c r="AR343" s="86"/>
      <c r="AS343" s="86"/>
    </row>
    <row r="344" spans="2:45" ht="5.0999999999999996" customHeight="1" thickBot="1" x14ac:dyDescent="0.2">
      <c r="C344" s="46"/>
      <c r="D344" s="46"/>
      <c r="E344" s="48"/>
      <c r="F344" s="245"/>
      <c r="G344" s="46"/>
      <c r="H344" s="46"/>
      <c r="I344" s="255"/>
      <c r="J344" s="245"/>
      <c r="K344" s="245"/>
      <c r="L344" s="245"/>
      <c r="M344" s="245"/>
      <c r="N344" s="245"/>
      <c r="O344" s="245"/>
      <c r="P344" s="245"/>
      <c r="Q344" s="245"/>
      <c r="R344" s="245"/>
      <c r="S344" s="245"/>
      <c r="T344" s="245"/>
      <c r="U344" s="245"/>
      <c r="V344" s="245"/>
      <c r="W344" s="46"/>
      <c r="X344" s="402"/>
      <c r="Y344" s="402"/>
      <c r="Z344" s="402"/>
      <c r="AA344" s="402"/>
      <c r="AB344" s="402"/>
      <c r="AC344" s="402"/>
      <c r="AD344" s="402"/>
      <c r="AE344" s="402"/>
      <c r="AF344" s="402"/>
      <c r="AG344" s="402"/>
      <c r="AH344" s="402"/>
      <c r="AI344" s="402"/>
      <c r="AJ344" s="402"/>
      <c r="AK344" s="402"/>
      <c r="AL344" s="402"/>
      <c r="AM344" s="402"/>
      <c r="AN344" s="402"/>
      <c r="AO344" s="402"/>
      <c r="AP344" s="41"/>
      <c r="AQ344" s="86"/>
      <c r="AR344" s="86"/>
      <c r="AS344" s="86"/>
    </row>
    <row r="345" spans="2:45" ht="18" customHeight="1" thickBot="1" x14ac:dyDescent="0.2">
      <c r="B345" s="42">
        <v>17</v>
      </c>
      <c r="C345" s="46"/>
      <c r="D345" s="82"/>
      <c r="E345" s="48"/>
      <c r="F345" s="246"/>
      <c r="G345" s="46"/>
      <c r="H345" s="46"/>
      <c r="I345" s="261" t="str">
        <f>IF(AQ343=2,"入力してください→",IF(AQ343=1,"入力不要です→",""))</f>
        <v/>
      </c>
      <c r="J345" s="387"/>
      <c r="K345" s="388"/>
      <c r="L345" s="389"/>
      <c r="M345" s="245"/>
      <c r="N345" s="387"/>
      <c r="O345" s="388"/>
      <c r="P345" s="389"/>
      <c r="Q345" s="245"/>
      <c r="R345" s="387"/>
      <c r="S345" s="388"/>
      <c r="T345" s="389"/>
      <c r="U345" s="245"/>
      <c r="V345" s="249"/>
      <c r="W345" s="46"/>
      <c r="X345" s="402"/>
      <c r="Y345" s="402"/>
      <c r="Z345" s="402"/>
      <c r="AA345" s="402"/>
      <c r="AB345" s="402"/>
      <c r="AC345" s="402"/>
      <c r="AD345" s="402"/>
      <c r="AE345" s="402"/>
      <c r="AF345" s="402"/>
      <c r="AG345" s="402"/>
      <c r="AH345" s="402"/>
      <c r="AI345" s="402"/>
      <c r="AJ345" s="402"/>
      <c r="AK345" s="402"/>
      <c r="AL345" s="402"/>
      <c r="AM345" s="402"/>
      <c r="AN345" s="402"/>
      <c r="AO345" s="402"/>
      <c r="AP345" s="41"/>
      <c r="AQ345" s="86"/>
      <c r="AR345" s="86"/>
      <c r="AS345" s="86"/>
    </row>
    <row r="346" spans="2:45" ht="5.0999999999999996" customHeight="1" thickBot="1" x14ac:dyDescent="0.2">
      <c r="C346" s="46"/>
      <c r="D346" s="46"/>
      <c r="E346" s="48"/>
      <c r="F346" s="245"/>
      <c r="G346" s="47"/>
      <c r="H346" s="47"/>
      <c r="I346" s="255"/>
      <c r="J346" s="245"/>
      <c r="K346" s="245"/>
      <c r="L346" s="245"/>
      <c r="M346" s="245"/>
      <c r="N346" s="245"/>
      <c r="O346" s="245"/>
      <c r="P346" s="245"/>
      <c r="Q346" s="245"/>
      <c r="R346" s="245"/>
      <c r="S346" s="245"/>
      <c r="T346" s="245"/>
      <c r="U346" s="245"/>
      <c r="V346" s="245"/>
      <c r="W346" s="46"/>
      <c r="X346" s="296" t="s">
        <v>212</v>
      </c>
      <c r="Y346" s="296"/>
      <c r="Z346" s="296"/>
      <c r="AA346" s="296"/>
      <c r="AB346" s="296"/>
      <c r="AC346" s="296"/>
      <c r="AD346" s="296"/>
      <c r="AE346" s="296"/>
      <c r="AF346" s="296"/>
      <c r="AG346" s="296"/>
      <c r="AH346" s="296"/>
      <c r="AI346" s="296"/>
      <c r="AJ346" s="296"/>
      <c r="AK346" s="296"/>
      <c r="AL346" s="296"/>
      <c r="AM346" s="296"/>
      <c r="AN346" s="296"/>
      <c r="AO346" s="296"/>
      <c r="AP346" s="41"/>
      <c r="AQ346" s="86"/>
      <c r="AR346" s="86"/>
      <c r="AS346" s="86"/>
    </row>
    <row r="347" spans="2:45" ht="18" customHeight="1" thickBot="1" x14ac:dyDescent="0.2">
      <c r="B347" s="42">
        <v>17</v>
      </c>
      <c r="C347" s="46"/>
      <c r="D347" s="46"/>
      <c r="E347" s="48" t="s">
        <v>73</v>
      </c>
      <c r="F347" s="80"/>
      <c r="G347" s="47"/>
      <c r="H347" s="109"/>
      <c r="I347" s="255"/>
      <c r="J347" s="366" t="str">
        <f>IFERROR(VLOOKUP($F347,補助対象機器一覧20220831!$A$2:$K$200,2,FALSE),"")</f>
        <v/>
      </c>
      <c r="K347" s="367"/>
      <c r="L347" s="368"/>
      <c r="M347" s="245"/>
      <c r="N347" s="366" t="str">
        <f>IFERROR(VLOOKUP($F347,補助対象機器一覧20220831!$A$2:$K$200,7,FALSE),"")</f>
        <v/>
      </c>
      <c r="O347" s="367"/>
      <c r="P347" s="368"/>
      <c r="Q347" s="245"/>
      <c r="R347" s="366" t="str">
        <f>IFERROR(VLOOKUP($F347,補助対象機器一覧20220831!$A$2:$K$200,8,FALSE),"")</f>
        <v/>
      </c>
      <c r="S347" s="367"/>
      <c r="T347" s="368"/>
      <c r="U347" s="245"/>
      <c r="V347" s="244" t="str">
        <f>IFERROR(VLOOKUP($F347,補助対象機器一覧20220831!$A$2:$K$200,9,FALSE),"")</f>
        <v/>
      </c>
      <c r="W347" s="46"/>
      <c r="X347" s="402" t="str">
        <f>IF($B347&lt;=入力シート!$F$85,""&amp;中間シート!X563,"")</f>
        <v/>
      </c>
      <c r="Y347" s="402"/>
      <c r="Z347" s="402"/>
      <c r="AA347" s="402"/>
      <c r="AB347" s="402"/>
      <c r="AC347" s="402"/>
      <c r="AD347" s="402"/>
      <c r="AE347" s="402"/>
      <c r="AF347" s="402"/>
      <c r="AG347" s="402"/>
      <c r="AH347" s="402"/>
      <c r="AI347" s="402"/>
      <c r="AJ347" s="402"/>
      <c r="AK347" s="402"/>
      <c r="AL347" s="402"/>
      <c r="AM347" s="402"/>
      <c r="AN347" s="402"/>
      <c r="AO347" s="402"/>
      <c r="AP347" s="41"/>
      <c r="AQ347" s="81">
        <f>IF(J347&lt;&gt;"",1,IF(H347="なし",2,0))</f>
        <v>0</v>
      </c>
      <c r="AR347" s="86"/>
      <c r="AS347" s="86"/>
    </row>
    <row r="348" spans="2:45" ht="5.0999999999999996" customHeight="1" thickBot="1" x14ac:dyDescent="0.2">
      <c r="C348" s="46"/>
      <c r="D348" s="46"/>
      <c r="E348" s="48"/>
      <c r="F348" s="246"/>
      <c r="G348" s="47"/>
      <c r="H348" s="47"/>
      <c r="I348" s="255"/>
      <c r="J348" s="246"/>
      <c r="K348" s="246"/>
      <c r="L348" s="246"/>
      <c r="M348" s="245"/>
      <c r="N348" s="246"/>
      <c r="O348" s="246"/>
      <c r="P348" s="246"/>
      <c r="Q348" s="245"/>
      <c r="R348" s="246"/>
      <c r="S348" s="246"/>
      <c r="T348" s="246"/>
      <c r="U348" s="245"/>
      <c r="V348" s="246"/>
      <c r="W348" s="46"/>
      <c r="X348" s="402"/>
      <c r="Y348" s="402"/>
      <c r="Z348" s="402"/>
      <c r="AA348" s="402"/>
      <c r="AB348" s="402"/>
      <c r="AC348" s="402"/>
      <c r="AD348" s="402"/>
      <c r="AE348" s="402"/>
      <c r="AF348" s="402"/>
      <c r="AG348" s="402"/>
      <c r="AH348" s="402"/>
      <c r="AI348" s="402"/>
      <c r="AJ348" s="402"/>
      <c r="AK348" s="402"/>
      <c r="AL348" s="402"/>
      <c r="AM348" s="402"/>
      <c r="AN348" s="402"/>
      <c r="AO348" s="402"/>
      <c r="AP348" s="41"/>
      <c r="AQ348" s="86"/>
      <c r="AR348" s="86"/>
      <c r="AS348" s="86"/>
    </row>
    <row r="349" spans="2:45" ht="18" customHeight="1" thickBot="1" x14ac:dyDescent="0.2">
      <c r="B349" s="42">
        <v>17</v>
      </c>
      <c r="C349" s="46"/>
      <c r="D349" s="46"/>
      <c r="E349" s="48"/>
      <c r="F349" s="246"/>
      <c r="G349" s="47"/>
      <c r="H349" s="47"/>
      <c r="I349" s="261" t="str">
        <f>IF(AQ347=2,"入力してください→",IF(AQ347=1,"入力不要です→",""))</f>
        <v/>
      </c>
      <c r="J349" s="387"/>
      <c r="K349" s="388"/>
      <c r="L349" s="389"/>
      <c r="M349" s="245"/>
      <c r="N349" s="387"/>
      <c r="O349" s="388"/>
      <c r="P349" s="389"/>
      <c r="Q349" s="245"/>
      <c r="R349" s="387"/>
      <c r="S349" s="388"/>
      <c r="T349" s="389"/>
      <c r="U349" s="245"/>
      <c r="V349" s="249"/>
      <c r="W349" s="46"/>
      <c r="X349" s="402"/>
      <c r="Y349" s="402"/>
      <c r="Z349" s="402"/>
      <c r="AA349" s="402"/>
      <c r="AB349" s="402"/>
      <c r="AC349" s="402"/>
      <c r="AD349" s="402"/>
      <c r="AE349" s="402"/>
      <c r="AF349" s="402"/>
      <c r="AG349" s="402"/>
      <c r="AH349" s="402"/>
      <c r="AI349" s="402"/>
      <c r="AJ349" s="402"/>
      <c r="AK349" s="402"/>
      <c r="AL349" s="402"/>
      <c r="AM349" s="402"/>
      <c r="AN349" s="402"/>
      <c r="AO349" s="402"/>
      <c r="AP349" s="41"/>
      <c r="AQ349" s="86"/>
      <c r="AR349" s="86"/>
      <c r="AS349" s="86"/>
    </row>
    <row r="350" spans="2:45" ht="5.0999999999999996" customHeight="1" thickBot="1" x14ac:dyDescent="0.2">
      <c r="C350" s="46"/>
      <c r="D350" s="46"/>
      <c r="E350" s="48"/>
      <c r="F350" s="246"/>
      <c r="G350" s="47"/>
      <c r="H350" s="47"/>
      <c r="I350" s="255"/>
      <c r="J350" s="246"/>
      <c r="K350" s="246"/>
      <c r="L350" s="246"/>
      <c r="M350" s="245"/>
      <c r="N350" s="246"/>
      <c r="O350" s="246"/>
      <c r="P350" s="246"/>
      <c r="Q350" s="245"/>
      <c r="R350" s="246"/>
      <c r="S350" s="246"/>
      <c r="T350" s="246"/>
      <c r="U350" s="245"/>
      <c r="V350" s="246"/>
      <c r="W350" s="46"/>
      <c r="X350" s="296" t="s">
        <v>212</v>
      </c>
      <c r="Y350" s="296"/>
      <c r="Z350" s="296"/>
      <c r="AA350" s="296"/>
      <c r="AB350" s="296"/>
      <c r="AC350" s="296"/>
      <c r="AD350" s="296"/>
      <c r="AE350" s="296"/>
      <c r="AF350" s="296"/>
      <c r="AG350" s="296"/>
      <c r="AH350" s="296"/>
      <c r="AI350" s="296"/>
      <c r="AJ350" s="296"/>
      <c r="AK350" s="296"/>
      <c r="AL350" s="296"/>
      <c r="AM350" s="296"/>
      <c r="AN350" s="296"/>
      <c r="AO350" s="296"/>
      <c r="AP350" s="41"/>
      <c r="AQ350" s="86"/>
      <c r="AR350" s="86"/>
      <c r="AS350" s="86"/>
    </row>
    <row r="351" spans="2:45" ht="18" customHeight="1" thickBot="1" x14ac:dyDescent="0.2">
      <c r="B351" s="42">
        <v>17</v>
      </c>
      <c r="C351" s="46"/>
      <c r="D351" s="46"/>
      <c r="E351" s="48" t="s">
        <v>74</v>
      </c>
      <c r="F351" s="80"/>
      <c r="G351" s="47"/>
      <c r="H351" s="109"/>
      <c r="I351" s="255"/>
      <c r="J351" s="366" t="str">
        <f>IFERROR(VLOOKUP($F351,補助対象機器一覧20220831!$A$2:$K$200,2,FALSE),"")</f>
        <v/>
      </c>
      <c r="K351" s="367"/>
      <c r="L351" s="368"/>
      <c r="M351" s="245"/>
      <c r="N351" s="366" t="str">
        <f>IFERROR(VLOOKUP($F351,補助対象機器一覧20220831!$A$2:$K$200,7,FALSE),"")</f>
        <v/>
      </c>
      <c r="O351" s="367"/>
      <c r="P351" s="368"/>
      <c r="Q351" s="245"/>
      <c r="R351" s="366" t="str">
        <f>IFERROR(VLOOKUP($F351,補助対象機器一覧20220831!$A$2:$K$200,8,FALSE),"")</f>
        <v/>
      </c>
      <c r="S351" s="367"/>
      <c r="T351" s="368"/>
      <c r="U351" s="245"/>
      <c r="V351" s="244" t="str">
        <f>IFERROR(VLOOKUP($F351,補助対象機器一覧20220831!$A$2:$K$200,9,FALSE),"")</f>
        <v/>
      </c>
      <c r="W351" s="46"/>
      <c r="X351" s="402" t="str">
        <f>IF($B351&lt;=入力シート!$F$85,""&amp;中間シート!X564,"")</f>
        <v/>
      </c>
      <c r="Y351" s="402"/>
      <c r="Z351" s="402"/>
      <c r="AA351" s="402"/>
      <c r="AB351" s="402"/>
      <c r="AC351" s="402"/>
      <c r="AD351" s="402"/>
      <c r="AE351" s="402"/>
      <c r="AF351" s="402"/>
      <c r="AG351" s="402"/>
      <c r="AH351" s="402"/>
      <c r="AI351" s="402"/>
      <c r="AJ351" s="402"/>
      <c r="AK351" s="402"/>
      <c r="AL351" s="402"/>
      <c r="AM351" s="402"/>
      <c r="AN351" s="402"/>
      <c r="AO351" s="402"/>
      <c r="AP351" s="41"/>
      <c r="AQ351" s="81">
        <f>IF(J351&lt;&gt;"",1,IF(H351="なし",2,0))</f>
        <v>0</v>
      </c>
      <c r="AR351" s="86"/>
      <c r="AS351" s="86"/>
    </row>
    <row r="352" spans="2:45" ht="5.0999999999999996" customHeight="1" thickBot="1" x14ac:dyDescent="0.2">
      <c r="C352" s="46"/>
      <c r="D352" s="46"/>
      <c r="E352" s="48"/>
      <c r="F352" s="246"/>
      <c r="G352" s="47"/>
      <c r="H352" s="47"/>
      <c r="I352" s="255"/>
      <c r="J352" s="246"/>
      <c r="K352" s="246"/>
      <c r="L352" s="246"/>
      <c r="M352" s="245"/>
      <c r="N352" s="246"/>
      <c r="O352" s="246"/>
      <c r="P352" s="246"/>
      <c r="Q352" s="245"/>
      <c r="R352" s="246"/>
      <c r="S352" s="246"/>
      <c r="T352" s="246"/>
      <c r="U352" s="245"/>
      <c r="V352" s="246"/>
      <c r="W352" s="46"/>
      <c r="X352" s="402"/>
      <c r="Y352" s="402"/>
      <c r="Z352" s="402"/>
      <c r="AA352" s="402"/>
      <c r="AB352" s="402"/>
      <c r="AC352" s="402"/>
      <c r="AD352" s="402"/>
      <c r="AE352" s="402"/>
      <c r="AF352" s="402"/>
      <c r="AG352" s="402"/>
      <c r="AH352" s="402"/>
      <c r="AI352" s="402"/>
      <c r="AJ352" s="402"/>
      <c r="AK352" s="402"/>
      <c r="AL352" s="402"/>
      <c r="AM352" s="402"/>
      <c r="AN352" s="402"/>
      <c r="AO352" s="402"/>
      <c r="AP352" s="41"/>
      <c r="AQ352" s="86"/>
      <c r="AR352" s="86"/>
      <c r="AS352" s="86"/>
    </row>
    <row r="353" spans="2:45" ht="18" customHeight="1" thickBot="1" x14ac:dyDescent="0.2">
      <c r="B353" s="42">
        <v>17</v>
      </c>
      <c r="C353" s="46"/>
      <c r="D353" s="46"/>
      <c r="E353" s="47"/>
      <c r="F353" s="246"/>
      <c r="G353" s="47"/>
      <c r="H353" s="47"/>
      <c r="I353" s="261" t="str">
        <f>IF(AQ351=2,"入力してください→",IF(AQ351=1,"入力不要です→",""))</f>
        <v/>
      </c>
      <c r="J353" s="387"/>
      <c r="K353" s="388"/>
      <c r="L353" s="389"/>
      <c r="M353" s="245"/>
      <c r="N353" s="387"/>
      <c r="O353" s="388"/>
      <c r="P353" s="389"/>
      <c r="Q353" s="245"/>
      <c r="R353" s="387"/>
      <c r="S353" s="388"/>
      <c r="T353" s="389"/>
      <c r="U353" s="245"/>
      <c r="V353" s="249"/>
      <c r="W353" s="46"/>
      <c r="X353" s="402"/>
      <c r="Y353" s="402"/>
      <c r="Z353" s="402"/>
      <c r="AA353" s="402"/>
      <c r="AB353" s="402"/>
      <c r="AC353" s="402"/>
      <c r="AD353" s="402"/>
      <c r="AE353" s="402"/>
      <c r="AF353" s="402"/>
      <c r="AG353" s="402"/>
      <c r="AH353" s="402"/>
      <c r="AI353" s="402"/>
      <c r="AJ353" s="402"/>
      <c r="AK353" s="402"/>
      <c r="AL353" s="402"/>
      <c r="AM353" s="402"/>
      <c r="AN353" s="402"/>
      <c r="AO353" s="402"/>
      <c r="AP353" s="41"/>
      <c r="AQ353" s="86"/>
      <c r="AR353" s="86"/>
      <c r="AS353" s="86"/>
    </row>
    <row r="354" spans="2:45" x14ac:dyDescent="0.15">
      <c r="C354" s="46"/>
      <c r="D354" s="46"/>
      <c r="E354" s="47"/>
      <c r="F354" s="246"/>
      <c r="G354" s="47"/>
      <c r="H354" s="47"/>
      <c r="I354" s="257"/>
      <c r="J354" s="245"/>
      <c r="K354" s="245"/>
      <c r="L354" s="245"/>
      <c r="M354" s="245"/>
      <c r="N354" s="245"/>
      <c r="O354" s="245"/>
      <c r="P354" s="245"/>
      <c r="Q354" s="245"/>
      <c r="R354" s="245"/>
      <c r="S354" s="245"/>
      <c r="T354" s="245"/>
      <c r="U354" s="245"/>
      <c r="V354" s="245"/>
      <c r="W354" s="46"/>
      <c r="X354" s="296" t="s">
        <v>212</v>
      </c>
      <c r="Y354" s="296"/>
      <c r="Z354" s="296"/>
      <c r="AA354" s="296"/>
      <c r="AB354" s="296"/>
      <c r="AC354" s="296"/>
      <c r="AD354" s="296"/>
      <c r="AE354" s="296"/>
      <c r="AF354" s="296"/>
      <c r="AG354" s="296"/>
      <c r="AH354" s="296"/>
      <c r="AI354" s="296"/>
      <c r="AJ354" s="296"/>
      <c r="AK354" s="296"/>
      <c r="AL354" s="296"/>
      <c r="AM354" s="296"/>
      <c r="AN354" s="296"/>
      <c r="AO354" s="296"/>
      <c r="AQ354" s="86"/>
      <c r="AR354" s="86"/>
      <c r="AS354" s="86"/>
    </row>
    <row r="355" spans="2:45" ht="14.25" thickBot="1" x14ac:dyDescent="0.2">
      <c r="C355" s="86"/>
      <c r="D355" s="86"/>
      <c r="E355" s="93"/>
      <c r="F355" s="247"/>
      <c r="G355" s="93"/>
      <c r="H355" s="93"/>
      <c r="I355" s="258"/>
      <c r="J355" s="248"/>
      <c r="K355" s="248"/>
      <c r="L355" s="248"/>
      <c r="M355" s="248"/>
      <c r="N355" s="248"/>
      <c r="O355" s="248"/>
      <c r="P355" s="248"/>
      <c r="Q355" s="248"/>
      <c r="R355" s="248"/>
      <c r="S355" s="248"/>
      <c r="T355" s="248"/>
      <c r="U355" s="248"/>
      <c r="V355" s="248"/>
      <c r="W355" s="86"/>
      <c r="X355" s="296" t="s">
        <v>212</v>
      </c>
      <c r="Y355" s="296"/>
      <c r="Z355" s="296"/>
      <c r="AA355" s="296"/>
      <c r="AB355" s="296"/>
      <c r="AC355" s="296"/>
      <c r="AD355" s="296"/>
      <c r="AE355" s="296"/>
      <c r="AF355" s="296"/>
      <c r="AG355" s="296"/>
      <c r="AH355" s="296"/>
      <c r="AI355" s="296"/>
      <c r="AJ355" s="296"/>
      <c r="AK355" s="296"/>
      <c r="AL355" s="296"/>
      <c r="AM355" s="296"/>
      <c r="AN355" s="296"/>
      <c r="AO355" s="296"/>
      <c r="AQ355" s="86"/>
      <c r="AR355" s="86"/>
      <c r="AS355" s="86"/>
    </row>
    <row r="356" spans="2:45" ht="18" customHeight="1" thickBot="1" x14ac:dyDescent="0.2">
      <c r="B356" s="42">
        <v>18</v>
      </c>
      <c r="C356" s="86"/>
      <c r="D356" s="94" t="s">
        <v>173</v>
      </c>
      <c r="E356" s="95" t="s">
        <v>72</v>
      </c>
      <c r="F356" s="80"/>
      <c r="G356" s="86"/>
      <c r="H356" s="80"/>
      <c r="I356" s="259"/>
      <c r="J356" s="366" t="str">
        <f>IFERROR(VLOOKUP($F356,補助対象機器一覧20220831!$A$2:$K$200,2,FALSE),"")</f>
        <v/>
      </c>
      <c r="K356" s="367"/>
      <c r="L356" s="368"/>
      <c r="M356" s="248"/>
      <c r="N356" s="366" t="str">
        <f>IFERROR(VLOOKUP($F356,補助対象機器一覧20220831!$A$2:$K$200,7,FALSE),"")</f>
        <v/>
      </c>
      <c r="O356" s="367"/>
      <c r="P356" s="368"/>
      <c r="Q356" s="248"/>
      <c r="R356" s="366" t="str">
        <f>IFERROR(VLOOKUP($F356,補助対象機器一覧20220831!$A$2:$K$200,8,FALSE),"")</f>
        <v/>
      </c>
      <c r="S356" s="367"/>
      <c r="T356" s="368"/>
      <c r="U356" s="248"/>
      <c r="V356" s="244" t="str">
        <f>IFERROR(VLOOKUP($F356,補助対象機器一覧20220831!$A$2:$K$200,9,FALSE),"")</f>
        <v/>
      </c>
      <c r="W356" s="86"/>
      <c r="X356" s="402" t="str">
        <f>IF($B356&lt;=入力シート!$F$85,""&amp;中間シート!X565,"")</f>
        <v/>
      </c>
      <c r="Y356" s="402"/>
      <c r="Z356" s="402"/>
      <c r="AA356" s="402"/>
      <c r="AB356" s="402"/>
      <c r="AC356" s="402"/>
      <c r="AD356" s="402"/>
      <c r="AE356" s="402"/>
      <c r="AF356" s="402"/>
      <c r="AG356" s="402"/>
      <c r="AH356" s="402"/>
      <c r="AI356" s="402"/>
      <c r="AJ356" s="402"/>
      <c r="AK356" s="402"/>
      <c r="AL356" s="402"/>
      <c r="AM356" s="402"/>
      <c r="AN356" s="402"/>
      <c r="AO356" s="402"/>
      <c r="AQ356" s="81">
        <f>IF(J356&lt;&gt;"",1,IF(H356="なし",2,0))</f>
        <v>0</v>
      </c>
      <c r="AR356" s="86"/>
      <c r="AS356" s="86"/>
    </row>
    <row r="357" spans="2:45" ht="5.0999999999999996" customHeight="1" thickBot="1" x14ac:dyDescent="0.2">
      <c r="C357" s="86"/>
      <c r="D357" s="94"/>
      <c r="E357" s="95"/>
      <c r="F357" s="248"/>
      <c r="G357" s="86"/>
      <c r="H357" s="86"/>
      <c r="I357" s="259"/>
      <c r="J357" s="248"/>
      <c r="K357" s="248"/>
      <c r="L357" s="248"/>
      <c r="M357" s="248"/>
      <c r="N357" s="248"/>
      <c r="O357" s="248"/>
      <c r="P357" s="248"/>
      <c r="Q357" s="248"/>
      <c r="R357" s="248"/>
      <c r="S357" s="248"/>
      <c r="T357" s="248"/>
      <c r="U357" s="248"/>
      <c r="V357" s="248"/>
      <c r="W357" s="86"/>
      <c r="X357" s="402"/>
      <c r="Y357" s="402"/>
      <c r="Z357" s="402"/>
      <c r="AA357" s="402"/>
      <c r="AB357" s="402"/>
      <c r="AC357" s="402"/>
      <c r="AD357" s="402"/>
      <c r="AE357" s="402"/>
      <c r="AF357" s="402"/>
      <c r="AG357" s="402"/>
      <c r="AH357" s="402"/>
      <c r="AI357" s="402"/>
      <c r="AJ357" s="402"/>
      <c r="AK357" s="402"/>
      <c r="AL357" s="402"/>
      <c r="AM357" s="402"/>
      <c r="AN357" s="402"/>
      <c r="AO357" s="402"/>
      <c r="AP357" s="41"/>
      <c r="AQ357" s="86"/>
      <c r="AR357" s="86"/>
      <c r="AS357" s="86"/>
    </row>
    <row r="358" spans="2:45" ht="18" customHeight="1" thickBot="1" x14ac:dyDescent="0.2">
      <c r="B358" s="42">
        <v>18</v>
      </c>
      <c r="C358" s="86"/>
      <c r="D358" s="94"/>
      <c r="E358" s="95"/>
      <c r="F358" s="247"/>
      <c r="G358" s="86"/>
      <c r="H358" s="86"/>
      <c r="I358" s="260" t="str">
        <f>IF(AQ356=2,"入力してください→",IF(AQ356=1,"入力不要です→",""))</f>
        <v/>
      </c>
      <c r="J358" s="387"/>
      <c r="K358" s="388"/>
      <c r="L358" s="389"/>
      <c r="M358" s="248"/>
      <c r="N358" s="387"/>
      <c r="O358" s="388"/>
      <c r="P358" s="389"/>
      <c r="Q358" s="248"/>
      <c r="R358" s="387"/>
      <c r="S358" s="388"/>
      <c r="T358" s="389"/>
      <c r="U358" s="248"/>
      <c r="V358" s="249"/>
      <c r="W358" s="86"/>
      <c r="X358" s="402"/>
      <c r="Y358" s="402"/>
      <c r="Z358" s="402"/>
      <c r="AA358" s="402"/>
      <c r="AB358" s="402"/>
      <c r="AC358" s="402"/>
      <c r="AD358" s="402"/>
      <c r="AE358" s="402"/>
      <c r="AF358" s="402"/>
      <c r="AG358" s="402"/>
      <c r="AH358" s="402"/>
      <c r="AI358" s="402"/>
      <c r="AJ358" s="402"/>
      <c r="AK358" s="402"/>
      <c r="AL358" s="402"/>
      <c r="AM358" s="402"/>
      <c r="AN358" s="402"/>
      <c r="AO358" s="402"/>
      <c r="AP358" s="41"/>
      <c r="AQ358" s="86"/>
      <c r="AR358" s="86"/>
      <c r="AS358" s="86"/>
    </row>
    <row r="359" spans="2:45" ht="5.0999999999999996" customHeight="1" thickBot="1" x14ac:dyDescent="0.2">
      <c r="C359" s="86"/>
      <c r="D359" s="86"/>
      <c r="E359" s="93"/>
      <c r="F359" s="248"/>
      <c r="G359" s="93"/>
      <c r="H359" s="93"/>
      <c r="I359" s="259"/>
      <c r="J359" s="248"/>
      <c r="K359" s="248"/>
      <c r="L359" s="248"/>
      <c r="M359" s="248"/>
      <c r="N359" s="248"/>
      <c r="O359" s="248"/>
      <c r="P359" s="248"/>
      <c r="Q359" s="248"/>
      <c r="R359" s="248"/>
      <c r="S359" s="248"/>
      <c r="T359" s="248"/>
      <c r="U359" s="248"/>
      <c r="V359" s="248"/>
      <c r="W359" s="86"/>
      <c r="X359" s="296" t="s">
        <v>212</v>
      </c>
      <c r="Y359" s="296"/>
      <c r="Z359" s="296"/>
      <c r="AA359" s="296"/>
      <c r="AB359" s="296"/>
      <c r="AC359" s="296"/>
      <c r="AD359" s="296"/>
      <c r="AE359" s="296"/>
      <c r="AF359" s="296"/>
      <c r="AG359" s="296"/>
      <c r="AH359" s="296"/>
      <c r="AI359" s="296"/>
      <c r="AJ359" s="296"/>
      <c r="AK359" s="296"/>
      <c r="AL359" s="296"/>
      <c r="AM359" s="296"/>
      <c r="AN359" s="296"/>
      <c r="AO359" s="296"/>
      <c r="AP359" s="41"/>
      <c r="AQ359" s="86"/>
      <c r="AR359" s="86"/>
      <c r="AS359" s="86"/>
    </row>
    <row r="360" spans="2:45" ht="18" customHeight="1" thickBot="1" x14ac:dyDescent="0.2">
      <c r="B360" s="42">
        <v>18</v>
      </c>
      <c r="C360" s="86"/>
      <c r="D360" s="86"/>
      <c r="E360" s="95" t="s">
        <v>73</v>
      </c>
      <c r="F360" s="80"/>
      <c r="G360" s="93"/>
      <c r="H360" s="80"/>
      <c r="I360" s="259"/>
      <c r="J360" s="366" t="str">
        <f>IFERROR(VLOOKUP($F360,補助対象機器一覧20220831!$A$2:$K$200,2,FALSE),"")</f>
        <v/>
      </c>
      <c r="K360" s="367"/>
      <c r="L360" s="368"/>
      <c r="M360" s="248"/>
      <c r="N360" s="366" t="str">
        <f>IFERROR(VLOOKUP($F360,補助対象機器一覧20220831!$A$2:$K$200,7,FALSE),"")</f>
        <v/>
      </c>
      <c r="O360" s="367"/>
      <c r="P360" s="368"/>
      <c r="Q360" s="248"/>
      <c r="R360" s="366" t="str">
        <f>IFERROR(VLOOKUP($F360,補助対象機器一覧20220831!$A$2:$K$200,8,FALSE),"")</f>
        <v/>
      </c>
      <c r="S360" s="367"/>
      <c r="T360" s="368"/>
      <c r="U360" s="248"/>
      <c r="V360" s="244" t="str">
        <f>IFERROR(VLOOKUP($F360,補助対象機器一覧20220831!$A$2:$K$200,9,FALSE),"")</f>
        <v/>
      </c>
      <c r="W360" s="86"/>
      <c r="X360" s="402" t="str">
        <f>IF($B360&lt;=入力シート!$F$85,""&amp;中間シート!X566,"")</f>
        <v/>
      </c>
      <c r="Y360" s="402"/>
      <c r="Z360" s="402"/>
      <c r="AA360" s="402"/>
      <c r="AB360" s="402"/>
      <c r="AC360" s="402"/>
      <c r="AD360" s="402"/>
      <c r="AE360" s="402"/>
      <c r="AF360" s="402"/>
      <c r="AG360" s="402"/>
      <c r="AH360" s="402"/>
      <c r="AI360" s="402"/>
      <c r="AJ360" s="402"/>
      <c r="AK360" s="402"/>
      <c r="AL360" s="402"/>
      <c r="AM360" s="402"/>
      <c r="AN360" s="402"/>
      <c r="AO360" s="402"/>
      <c r="AP360" s="41"/>
      <c r="AQ360" s="81">
        <f>IF(J360&lt;&gt;"",1,IF(H360="なし",2,0))</f>
        <v>0</v>
      </c>
      <c r="AR360" s="86"/>
      <c r="AS360" s="86"/>
    </row>
    <row r="361" spans="2:45" ht="5.0999999999999996" customHeight="1" thickBot="1" x14ac:dyDescent="0.2">
      <c r="C361" s="86"/>
      <c r="D361" s="86"/>
      <c r="E361" s="95"/>
      <c r="F361" s="247"/>
      <c r="G361" s="93"/>
      <c r="H361" s="93"/>
      <c r="I361" s="259"/>
      <c r="J361" s="247"/>
      <c r="K361" s="247"/>
      <c r="L361" s="247"/>
      <c r="M361" s="248"/>
      <c r="N361" s="247"/>
      <c r="O361" s="247"/>
      <c r="P361" s="247"/>
      <c r="Q361" s="248"/>
      <c r="R361" s="247"/>
      <c r="S361" s="247"/>
      <c r="T361" s="247"/>
      <c r="U361" s="248"/>
      <c r="V361" s="247"/>
      <c r="W361" s="86"/>
      <c r="X361" s="402"/>
      <c r="Y361" s="402"/>
      <c r="Z361" s="402"/>
      <c r="AA361" s="402"/>
      <c r="AB361" s="402"/>
      <c r="AC361" s="402"/>
      <c r="AD361" s="402"/>
      <c r="AE361" s="402"/>
      <c r="AF361" s="402"/>
      <c r="AG361" s="402"/>
      <c r="AH361" s="402"/>
      <c r="AI361" s="402"/>
      <c r="AJ361" s="402"/>
      <c r="AK361" s="402"/>
      <c r="AL361" s="402"/>
      <c r="AM361" s="402"/>
      <c r="AN361" s="402"/>
      <c r="AO361" s="402"/>
      <c r="AP361" s="41"/>
      <c r="AQ361" s="86"/>
      <c r="AR361" s="86"/>
      <c r="AS361" s="86"/>
    </row>
    <row r="362" spans="2:45" ht="18" customHeight="1" thickBot="1" x14ac:dyDescent="0.2">
      <c r="B362" s="42">
        <v>18</v>
      </c>
      <c r="C362" s="86"/>
      <c r="D362" s="86"/>
      <c r="E362" s="95"/>
      <c r="F362" s="247"/>
      <c r="G362" s="93"/>
      <c r="H362" s="93"/>
      <c r="I362" s="260" t="str">
        <f>IF(AQ360=2,"入力してください→",IF(AQ360=1,"入力不要です→",""))</f>
        <v/>
      </c>
      <c r="J362" s="387"/>
      <c r="K362" s="388"/>
      <c r="L362" s="389"/>
      <c r="M362" s="248"/>
      <c r="N362" s="387"/>
      <c r="O362" s="388"/>
      <c r="P362" s="389"/>
      <c r="Q362" s="248"/>
      <c r="R362" s="387"/>
      <c r="S362" s="388"/>
      <c r="T362" s="389"/>
      <c r="U362" s="248"/>
      <c r="V362" s="249"/>
      <c r="W362" s="86"/>
      <c r="X362" s="402"/>
      <c r="Y362" s="402"/>
      <c r="Z362" s="402"/>
      <c r="AA362" s="402"/>
      <c r="AB362" s="402"/>
      <c r="AC362" s="402"/>
      <c r="AD362" s="402"/>
      <c r="AE362" s="402"/>
      <c r="AF362" s="402"/>
      <c r="AG362" s="402"/>
      <c r="AH362" s="402"/>
      <c r="AI362" s="402"/>
      <c r="AJ362" s="402"/>
      <c r="AK362" s="402"/>
      <c r="AL362" s="402"/>
      <c r="AM362" s="402"/>
      <c r="AN362" s="402"/>
      <c r="AO362" s="402"/>
      <c r="AP362" s="41"/>
      <c r="AQ362" s="86"/>
      <c r="AR362" s="86"/>
      <c r="AS362" s="86"/>
    </row>
    <row r="363" spans="2:45" ht="5.0999999999999996" customHeight="1" thickBot="1" x14ac:dyDescent="0.2">
      <c r="C363" s="86"/>
      <c r="D363" s="86"/>
      <c r="E363" s="95"/>
      <c r="F363" s="247"/>
      <c r="G363" s="93"/>
      <c r="H363" s="93"/>
      <c r="I363" s="259"/>
      <c r="J363" s="247"/>
      <c r="K363" s="247"/>
      <c r="L363" s="247"/>
      <c r="M363" s="248"/>
      <c r="N363" s="247"/>
      <c r="O363" s="247"/>
      <c r="P363" s="247"/>
      <c r="Q363" s="248"/>
      <c r="R363" s="247"/>
      <c r="S363" s="247"/>
      <c r="T363" s="247"/>
      <c r="U363" s="248"/>
      <c r="V363" s="247"/>
      <c r="W363" s="86"/>
      <c r="X363" s="296" t="s">
        <v>212</v>
      </c>
      <c r="Y363" s="296"/>
      <c r="Z363" s="296"/>
      <c r="AA363" s="296"/>
      <c r="AB363" s="296"/>
      <c r="AC363" s="296"/>
      <c r="AD363" s="296"/>
      <c r="AE363" s="296"/>
      <c r="AF363" s="296"/>
      <c r="AG363" s="296"/>
      <c r="AH363" s="296"/>
      <c r="AI363" s="296"/>
      <c r="AJ363" s="296"/>
      <c r="AK363" s="296"/>
      <c r="AL363" s="296"/>
      <c r="AM363" s="296"/>
      <c r="AN363" s="296"/>
      <c r="AO363" s="296"/>
      <c r="AP363" s="41"/>
      <c r="AQ363" s="86"/>
      <c r="AR363" s="86"/>
      <c r="AS363" s="86"/>
    </row>
    <row r="364" spans="2:45" ht="18" customHeight="1" thickBot="1" x14ac:dyDescent="0.2">
      <c r="B364" s="42">
        <v>18</v>
      </c>
      <c r="C364" s="86"/>
      <c r="D364" s="86"/>
      <c r="E364" s="95" t="s">
        <v>74</v>
      </c>
      <c r="F364" s="80"/>
      <c r="G364" s="93"/>
      <c r="H364" s="80"/>
      <c r="I364" s="259"/>
      <c r="J364" s="366" t="str">
        <f>IFERROR(VLOOKUP($F364,補助対象機器一覧20220831!$A$2:$K$200,2,FALSE),"")</f>
        <v/>
      </c>
      <c r="K364" s="367"/>
      <c r="L364" s="368"/>
      <c r="M364" s="248"/>
      <c r="N364" s="366" t="str">
        <f>IFERROR(VLOOKUP($F364,補助対象機器一覧20220831!$A$2:$K$200,7,FALSE),"")</f>
        <v/>
      </c>
      <c r="O364" s="367"/>
      <c r="P364" s="368"/>
      <c r="Q364" s="248"/>
      <c r="R364" s="366" t="str">
        <f>IFERROR(VLOOKUP($F364,補助対象機器一覧20220831!$A$2:$K$200,8,FALSE),"")</f>
        <v/>
      </c>
      <c r="S364" s="367"/>
      <c r="T364" s="368"/>
      <c r="U364" s="248"/>
      <c r="V364" s="244" t="str">
        <f>IFERROR(VLOOKUP($F364,補助対象機器一覧20220831!$A$2:$K$200,9,FALSE),"")</f>
        <v/>
      </c>
      <c r="W364" s="86"/>
      <c r="X364" s="402" t="str">
        <f>IF($B364&lt;=入力シート!$F$85,""&amp;中間シート!X567,"")</f>
        <v/>
      </c>
      <c r="Y364" s="402"/>
      <c r="Z364" s="402"/>
      <c r="AA364" s="402"/>
      <c r="AB364" s="402"/>
      <c r="AC364" s="402"/>
      <c r="AD364" s="402"/>
      <c r="AE364" s="402"/>
      <c r="AF364" s="402"/>
      <c r="AG364" s="402"/>
      <c r="AH364" s="402"/>
      <c r="AI364" s="402"/>
      <c r="AJ364" s="402"/>
      <c r="AK364" s="402"/>
      <c r="AL364" s="402"/>
      <c r="AM364" s="402"/>
      <c r="AN364" s="402"/>
      <c r="AO364" s="402"/>
      <c r="AP364" s="41"/>
      <c r="AQ364" s="81">
        <f>IF(J364&lt;&gt;"",1,IF(H364="なし",2,0))</f>
        <v>0</v>
      </c>
      <c r="AR364" s="86"/>
      <c r="AS364" s="86"/>
    </row>
    <row r="365" spans="2:45" ht="5.0999999999999996" customHeight="1" thickBot="1" x14ac:dyDescent="0.2">
      <c r="C365" s="86"/>
      <c r="D365" s="86"/>
      <c r="E365" s="95"/>
      <c r="F365" s="247"/>
      <c r="G365" s="93"/>
      <c r="H365" s="93"/>
      <c r="I365" s="259"/>
      <c r="J365" s="247"/>
      <c r="K365" s="247"/>
      <c r="L365" s="247"/>
      <c r="M365" s="248"/>
      <c r="N365" s="247"/>
      <c r="O365" s="247"/>
      <c r="P365" s="247"/>
      <c r="Q365" s="248"/>
      <c r="R365" s="247"/>
      <c r="S365" s="247"/>
      <c r="T365" s="247"/>
      <c r="U365" s="248"/>
      <c r="V365" s="247"/>
      <c r="W365" s="86"/>
      <c r="X365" s="402"/>
      <c r="Y365" s="402"/>
      <c r="Z365" s="402"/>
      <c r="AA365" s="402"/>
      <c r="AB365" s="402"/>
      <c r="AC365" s="402"/>
      <c r="AD365" s="402"/>
      <c r="AE365" s="402"/>
      <c r="AF365" s="402"/>
      <c r="AG365" s="402"/>
      <c r="AH365" s="402"/>
      <c r="AI365" s="402"/>
      <c r="AJ365" s="402"/>
      <c r="AK365" s="402"/>
      <c r="AL365" s="402"/>
      <c r="AM365" s="402"/>
      <c r="AN365" s="402"/>
      <c r="AO365" s="402"/>
      <c r="AP365" s="41"/>
      <c r="AQ365" s="86"/>
      <c r="AR365" s="86"/>
      <c r="AS365" s="86"/>
    </row>
    <row r="366" spans="2:45" ht="18" customHeight="1" thickBot="1" x14ac:dyDescent="0.2">
      <c r="B366" s="42">
        <v>18</v>
      </c>
      <c r="C366" s="86"/>
      <c r="D366" s="86"/>
      <c r="E366" s="93"/>
      <c r="F366" s="247"/>
      <c r="G366" s="93"/>
      <c r="H366" s="93"/>
      <c r="I366" s="260" t="str">
        <f>IF(AQ364=2,"入力してください→",IF(AQ364=1,"入力不要です→",""))</f>
        <v/>
      </c>
      <c r="J366" s="387"/>
      <c r="K366" s="388"/>
      <c r="L366" s="389"/>
      <c r="M366" s="248"/>
      <c r="N366" s="387"/>
      <c r="O366" s="388"/>
      <c r="P366" s="389"/>
      <c r="Q366" s="248"/>
      <c r="R366" s="387"/>
      <c r="S366" s="388"/>
      <c r="T366" s="389"/>
      <c r="U366" s="248"/>
      <c r="V366" s="249"/>
      <c r="W366" s="86"/>
      <c r="X366" s="402"/>
      <c r="Y366" s="402"/>
      <c r="Z366" s="402"/>
      <c r="AA366" s="402"/>
      <c r="AB366" s="402"/>
      <c r="AC366" s="402"/>
      <c r="AD366" s="402"/>
      <c r="AE366" s="402"/>
      <c r="AF366" s="402"/>
      <c r="AG366" s="402"/>
      <c r="AH366" s="402"/>
      <c r="AI366" s="402"/>
      <c r="AJ366" s="402"/>
      <c r="AK366" s="402"/>
      <c r="AL366" s="402"/>
      <c r="AM366" s="402"/>
      <c r="AN366" s="402"/>
      <c r="AO366" s="402"/>
      <c r="AP366" s="41"/>
      <c r="AQ366" s="86"/>
      <c r="AR366" s="86"/>
      <c r="AS366" s="86"/>
    </row>
    <row r="367" spans="2:45" x14ac:dyDescent="0.15">
      <c r="C367" s="86"/>
      <c r="D367" s="86"/>
      <c r="E367" s="93"/>
      <c r="F367" s="247"/>
      <c r="G367" s="93"/>
      <c r="H367" s="93"/>
      <c r="I367" s="258"/>
      <c r="J367" s="248"/>
      <c r="K367" s="248"/>
      <c r="L367" s="248"/>
      <c r="M367" s="248"/>
      <c r="N367" s="248"/>
      <c r="O367" s="248"/>
      <c r="P367" s="248"/>
      <c r="Q367" s="248"/>
      <c r="R367" s="248"/>
      <c r="S367" s="248"/>
      <c r="T367" s="248"/>
      <c r="U367" s="248"/>
      <c r="V367" s="248"/>
      <c r="W367" s="86"/>
      <c r="X367" s="296" t="s">
        <v>212</v>
      </c>
      <c r="Y367" s="296"/>
      <c r="Z367" s="296"/>
      <c r="AA367" s="296"/>
      <c r="AB367" s="296"/>
      <c r="AC367" s="296"/>
      <c r="AD367" s="296"/>
      <c r="AE367" s="296"/>
      <c r="AF367" s="296"/>
      <c r="AG367" s="296"/>
      <c r="AH367" s="296"/>
      <c r="AI367" s="296"/>
      <c r="AJ367" s="296"/>
      <c r="AK367" s="296"/>
      <c r="AL367" s="296"/>
      <c r="AM367" s="296"/>
      <c r="AN367" s="296"/>
      <c r="AO367" s="296"/>
      <c r="AQ367" s="86"/>
      <c r="AR367" s="86"/>
      <c r="AS367" s="86"/>
    </row>
    <row r="368" spans="2:45" ht="14.25" thickBot="1" x14ac:dyDescent="0.2">
      <c r="C368" s="46"/>
      <c r="D368" s="46"/>
      <c r="E368" s="47"/>
      <c r="F368" s="246"/>
      <c r="G368" s="47"/>
      <c r="H368" s="47"/>
      <c r="I368" s="257"/>
      <c r="J368" s="245"/>
      <c r="K368" s="245"/>
      <c r="L368" s="245"/>
      <c r="M368" s="245"/>
      <c r="N368" s="245"/>
      <c r="O368" s="245"/>
      <c r="P368" s="245"/>
      <c r="Q368" s="245"/>
      <c r="R368" s="245"/>
      <c r="S368" s="245"/>
      <c r="T368" s="245"/>
      <c r="U368" s="245"/>
      <c r="V368" s="245"/>
      <c r="W368" s="46"/>
      <c r="X368" s="296" t="s">
        <v>212</v>
      </c>
      <c r="Y368" s="296"/>
      <c r="Z368" s="296"/>
      <c r="AA368" s="296"/>
      <c r="AB368" s="296"/>
      <c r="AC368" s="296"/>
      <c r="AD368" s="296"/>
      <c r="AE368" s="296"/>
      <c r="AF368" s="296"/>
      <c r="AG368" s="296"/>
      <c r="AH368" s="296"/>
      <c r="AI368" s="296"/>
      <c r="AJ368" s="296"/>
      <c r="AK368" s="296"/>
      <c r="AL368" s="296"/>
      <c r="AM368" s="296"/>
      <c r="AN368" s="296"/>
      <c r="AO368" s="296"/>
      <c r="AQ368" s="86"/>
      <c r="AR368" s="86"/>
      <c r="AS368" s="86"/>
    </row>
    <row r="369" spans="2:45" ht="18" customHeight="1" thickBot="1" x14ac:dyDescent="0.2">
      <c r="B369" s="42">
        <v>19</v>
      </c>
      <c r="C369" s="46"/>
      <c r="D369" s="82" t="s">
        <v>174</v>
      </c>
      <c r="E369" s="48" t="s">
        <v>72</v>
      </c>
      <c r="F369" s="80"/>
      <c r="G369" s="46"/>
      <c r="H369" s="109"/>
      <c r="I369" s="255"/>
      <c r="J369" s="366" t="str">
        <f>IFERROR(VLOOKUP($F369,補助対象機器一覧20220831!$A$2:$K$200,2,FALSE),"")</f>
        <v/>
      </c>
      <c r="K369" s="367"/>
      <c r="L369" s="368"/>
      <c r="M369" s="245"/>
      <c r="N369" s="366" t="str">
        <f>IFERROR(VLOOKUP($F369,補助対象機器一覧20220831!$A$2:$K$200,7,FALSE),"")</f>
        <v/>
      </c>
      <c r="O369" s="367"/>
      <c r="P369" s="368"/>
      <c r="Q369" s="245"/>
      <c r="R369" s="366" t="str">
        <f>IFERROR(VLOOKUP($F369,補助対象機器一覧20220831!$A$2:$K$200,8,FALSE),"")</f>
        <v/>
      </c>
      <c r="S369" s="367"/>
      <c r="T369" s="368"/>
      <c r="U369" s="245"/>
      <c r="V369" s="244" t="str">
        <f>IFERROR(VLOOKUP($F369,補助対象機器一覧20220831!$A$2:$K$200,9,FALSE),"")</f>
        <v/>
      </c>
      <c r="W369" s="46"/>
      <c r="X369" s="402" t="str">
        <f>IF($B369&lt;=入力シート!$F$85,""&amp;中間シート!X568,"")</f>
        <v/>
      </c>
      <c r="Y369" s="402"/>
      <c r="Z369" s="402"/>
      <c r="AA369" s="402"/>
      <c r="AB369" s="402"/>
      <c r="AC369" s="402"/>
      <c r="AD369" s="402"/>
      <c r="AE369" s="402"/>
      <c r="AF369" s="402"/>
      <c r="AG369" s="402"/>
      <c r="AH369" s="402"/>
      <c r="AI369" s="402"/>
      <c r="AJ369" s="402"/>
      <c r="AK369" s="402"/>
      <c r="AL369" s="402"/>
      <c r="AM369" s="402"/>
      <c r="AN369" s="402"/>
      <c r="AO369" s="402"/>
      <c r="AQ369" s="81">
        <f>IF(J369&lt;&gt;"",1,IF(H369="なし",2,0))</f>
        <v>0</v>
      </c>
      <c r="AR369" s="86"/>
      <c r="AS369" s="86"/>
    </row>
    <row r="370" spans="2:45" ht="5.0999999999999996" customHeight="1" thickBot="1" x14ac:dyDescent="0.2">
      <c r="C370" s="46"/>
      <c r="D370" s="82"/>
      <c r="E370" s="48"/>
      <c r="F370" s="245"/>
      <c r="G370" s="46"/>
      <c r="H370" s="46"/>
      <c r="I370" s="255"/>
      <c r="J370" s="245"/>
      <c r="K370" s="245"/>
      <c r="L370" s="245"/>
      <c r="M370" s="245"/>
      <c r="N370" s="245"/>
      <c r="O370" s="245"/>
      <c r="P370" s="245"/>
      <c r="Q370" s="245"/>
      <c r="R370" s="245"/>
      <c r="S370" s="245"/>
      <c r="T370" s="245"/>
      <c r="U370" s="245"/>
      <c r="V370" s="245"/>
      <c r="W370" s="46"/>
      <c r="X370" s="402"/>
      <c r="Y370" s="402"/>
      <c r="Z370" s="402"/>
      <c r="AA370" s="402"/>
      <c r="AB370" s="402"/>
      <c r="AC370" s="402"/>
      <c r="AD370" s="402"/>
      <c r="AE370" s="402"/>
      <c r="AF370" s="402"/>
      <c r="AG370" s="402"/>
      <c r="AH370" s="402"/>
      <c r="AI370" s="402"/>
      <c r="AJ370" s="402"/>
      <c r="AK370" s="402"/>
      <c r="AL370" s="402"/>
      <c r="AM370" s="402"/>
      <c r="AN370" s="402"/>
      <c r="AO370" s="402"/>
      <c r="AP370" s="41"/>
      <c r="AQ370" s="86"/>
      <c r="AR370" s="86"/>
      <c r="AS370" s="86"/>
    </row>
    <row r="371" spans="2:45" ht="18" customHeight="1" thickBot="1" x14ac:dyDescent="0.2">
      <c r="B371" s="42">
        <v>19</v>
      </c>
      <c r="C371" s="46"/>
      <c r="D371" s="82"/>
      <c r="E371" s="48"/>
      <c r="F371" s="246"/>
      <c r="G371" s="46"/>
      <c r="H371" s="46"/>
      <c r="I371" s="261" t="str">
        <f>IF(AQ369=2,"入力してください→",IF(AQ369=1,"入力不要です→",""))</f>
        <v/>
      </c>
      <c r="J371" s="387"/>
      <c r="K371" s="388"/>
      <c r="L371" s="389"/>
      <c r="M371" s="245"/>
      <c r="N371" s="387"/>
      <c r="O371" s="388"/>
      <c r="P371" s="389"/>
      <c r="Q371" s="245"/>
      <c r="R371" s="387"/>
      <c r="S371" s="388"/>
      <c r="T371" s="389"/>
      <c r="U371" s="245"/>
      <c r="V371" s="249"/>
      <c r="W371" s="46"/>
      <c r="X371" s="402"/>
      <c r="Y371" s="402"/>
      <c r="Z371" s="402"/>
      <c r="AA371" s="402"/>
      <c r="AB371" s="402"/>
      <c r="AC371" s="402"/>
      <c r="AD371" s="402"/>
      <c r="AE371" s="402"/>
      <c r="AF371" s="402"/>
      <c r="AG371" s="402"/>
      <c r="AH371" s="402"/>
      <c r="AI371" s="402"/>
      <c r="AJ371" s="402"/>
      <c r="AK371" s="402"/>
      <c r="AL371" s="402"/>
      <c r="AM371" s="402"/>
      <c r="AN371" s="402"/>
      <c r="AO371" s="402"/>
      <c r="AP371" s="41"/>
      <c r="AQ371" s="86"/>
      <c r="AR371" s="86"/>
      <c r="AS371" s="86"/>
    </row>
    <row r="372" spans="2:45" ht="5.0999999999999996" customHeight="1" thickBot="1" x14ac:dyDescent="0.2">
      <c r="C372" s="46"/>
      <c r="D372" s="46"/>
      <c r="E372" s="47"/>
      <c r="F372" s="245"/>
      <c r="G372" s="47"/>
      <c r="H372" s="47"/>
      <c r="I372" s="255"/>
      <c r="J372" s="245"/>
      <c r="K372" s="245"/>
      <c r="L372" s="245"/>
      <c r="M372" s="245"/>
      <c r="N372" s="245"/>
      <c r="O372" s="245"/>
      <c r="P372" s="245"/>
      <c r="Q372" s="245"/>
      <c r="R372" s="245"/>
      <c r="S372" s="245"/>
      <c r="T372" s="245"/>
      <c r="U372" s="245"/>
      <c r="V372" s="245"/>
      <c r="W372" s="46"/>
      <c r="X372" s="296" t="s">
        <v>212</v>
      </c>
      <c r="Y372" s="296"/>
      <c r="Z372" s="296"/>
      <c r="AA372" s="296"/>
      <c r="AB372" s="296"/>
      <c r="AC372" s="296"/>
      <c r="AD372" s="296"/>
      <c r="AE372" s="296"/>
      <c r="AF372" s="296"/>
      <c r="AG372" s="296"/>
      <c r="AH372" s="296"/>
      <c r="AI372" s="296"/>
      <c r="AJ372" s="296"/>
      <c r="AK372" s="296"/>
      <c r="AL372" s="296"/>
      <c r="AM372" s="296"/>
      <c r="AN372" s="296"/>
      <c r="AO372" s="296"/>
      <c r="AP372" s="41"/>
      <c r="AQ372" s="86"/>
      <c r="AR372" s="86"/>
      <c r="AS372" s="86"/>
    </row>
    <row r="373" spans="2:45" ht="18" customHeight="1" thickBot="1" x14ac:dyDescent="0.2">
      <c r="B373" s="42">
        <v>19</v>
      </c>
      <c r="C373" s="46"/>
      <c r="D373" s="46"/>
      <c r="E373" s="48" t="s">
        <v>73</v>
      </c>
      <c r="F373" s="80"/>
      <c r="G373" s="47"/>
      <c r="H373" s="109"/>
      <c r="I373" s="255"/>
      <c r="J373" s="366" t="str">
        <f>IFERROR(VLOOKUP($F373,補助対象機器一覧20220831!$A$2:$K$200,2,FALSE),"")</f>
        <v/>
      </c>
      <c r="K373" s="367"/>
      <c r="L373" s="368"/>
      <c r="M373" s="245"/>
      <c r="N373" s="366" t="str">
        <f>IFERROR(VLOOKUP($F373,補助対象機器一覧20220831!$A$2:$K$200,7,FALSE),"")</f>
        <v/>
      </c>
      <c r="O373" s="367"/>
      <c r="P373" s="368"/>
      <c r="Q373" s="245"/>
      <c r="R373" s="366" t="str">
        <f>IFERROR(VLOOKUP($F373,補助対象機器一覧20220831!$A$2:$K$200,8,FALSE),"")</f>
        <v/>
      </c>
      <c r="S373" s="367"/>
      <c r="T373" s="368"/>
      <c r="U373" s="245"/>
      <c r="V373" s="244" t="str">
        <f>IFERROR(VLOOKUP($F373,補助対象機器一覧20220831!$A$2:$K$200,9,FALSE),"")</f>
        <v/>
      </c>
      <c r="W373" s="46"/>
      <c r="X373" s="402" t="str">
        <f>IF($B373&lt;=入力シート!$F$85,""&amp;中間シート!X569,"")</f>
        <v/>
      </c>
      <c r="Y373" s="402"/>
      <c r="Z373" s="402"/>
      <c r="AA373" s="402"/>
      <c r="AB373" s="402"/>
      <c r="AC373" s="402"/>
      <c r="AD373" s="402"/>
      <c r="AE373" s="402"/>
      <c r="AF373" s="402"/>
      <c r="AG373" s="402"/>
      <c r="AH373" s="402"/>
      <c r="AI373" s="402"/>
      <c r="AJ373" s="402"/>
      <c r="AK373" s="402"/>
      <c r="AL373" s="402"/>
      <c r="AM373" s="402"/>
      <c r="AN373" s="402"/>
      <c r="AO373" s="402"/>
      <c r="AP373" s="41"/>
      <c r="AQ373" s="81">
        <f>IF(J373&lt;&gt;"",1,IF(H373="なし",2,0))</f>
        <v>0</v>
      </c>
      <c r="AR373" s="86"/>
      <c r="AS373" s="86"/>
    </row>
    <row r="374" spans="2:45" ht="5.0999999999999996" customHeight="1" thickBot="1" x14ac:dyDescent="0.2">
      <c r="C374" s="46"/>
      <c r="D374" s="46"/>
      <c r="E374" s="48"/>
      <c r="F374" s="246"/>
      <c r="G374" s="47"/>
      <c r="H374" s="47"/>
      <c r="I374" s="255"/>
      <c r="J374" s="246"/>
      <c r="K374" s="246"/>
      <c r="L374" s="246"/>
      <c r="M374" s="245"/>
      <c r="N374" s="246"/>
      <c r="O374" s="246"/>
      <c r="P374" s="246"/>
      <c r="Q374" s="245"/>
      <c r="R374" s="246"/>
      <c r="S374" s="246"/>
      <c r="T374" s="246"/>
      <c r="U374" s="245"/>
      <c r="V374" s="246"/>
      <c r="W374" s="46"/>
      <c r="X374" s="402"/>
      <c r="Y374" s="402"/>
      <c r="Z374" s="402"/>
      <c r="AA374" s="402"/>
      <c r="AB374" s="402"/>
      <c r="AC374" s="402"/>
      <c r="AD374" s="402"/>
      <c r="AE374" s="402"/>
      <c r="AF374" s="402"/>
      <c r="AG374" s="402"/>
      <c r="AH374" s="402"/>
      <c r="AI374" s="402"/>
      <c r="AJ374" s="402"/>
      <c r="AK374" s="402"/>
      <c r="AL374" s="402"/>
      <c r="AM374" s="402"/>
      <c r="AN374" s="402"/>
      <c r="AO374" s="402"/>
      <c r="AP374" s="41"/>
      <c r="AQ374" s="86"/>
      <c r="AR374" s="86"/>
      <c r="AS374" s="86"/>
    </row>
    <row r="375" spans="2:45" ht="18" customHeight="1" thickBot="1" x14ac:dyDescent="0.2">
      <c r="B375" s="42">
        <v>19</v>
      </c>
      <c r="C375" s="46"/>
      <c r="D375" s="46"/>
      <c r="E375" s="48"/>
      <c r="F375" s="246"/>
      <c r="G375" s="47"/>
      <c r="H375" s="47"/>
      <c r="I375" s="261" t="str">
        <f>IF(AQ373=2,"入力してください→",IF(AQ373=1,"入力不要です→",""))</f>
        <v/>
      </c>
      <c r="J375" s="387"/>
      <c r="K375" s="388"/>
      <c r="L375" s="389"/>
      <c r="M375" s="245"/>
      <c r="N375" s="387"/>
      <c r="O375" s="388"/>
      <c r="P375" s="389"/>
      <c r="Q375" s="245"/>
      <c r="R375" s="387"/>
      <c r="S375" s="388"/>
      <c r="T375" s="389"/>
      <c r="U375" s="245"/>
      <c r="V375" s="249"/>
      <c r="W375" s="46"/>
      <c r="X375" s="402"/>
      <c r="Y375" s="402"/>
      <c r="Z375" s="402"/>
      <c r="AA375" s="402"/>
      <c r="AB375" s="402"/>
      <c r="AC375" s="402"/>
      <c r="AD375" s="402"/>
      <c r="AE375" s="402"/>
      <c r="AF375" s="402"/>
      <c r="AG375" s="402"/>
      <c r="AH375" s="402"/>
      <c r="AI375" s="402"/>
      <c r="AJ375" s="402"/>
      <c r="AK375" s="402"/>
      <c r="AL375" s="402"/>
      <c r="AM375" s="402"/>
      <c r="AN375" s="402"/>
      <c r="AO375" s="402"/>
      <c r="AP375" s="41"/>
      <c r="AQ375" s="86"/>
      <c r="AR375" s="86"/>
      <c r="AS375" s="86"/>
    </row>
    <row r="376" spans="2:45" ht="5.0999999999999996" customHeight="1" thickBot="1" x14ac:dyDescent="0.2">
      <c r="C376" s="46"/>
      <c r="D376" s="46"/>
      <c r="E376" s="48"/>
      <c r="F376" s="246"/>
      <c r="G376" s="47"/>
      <c r="H376" s="47"/>
      <c r="I376" s="255"/>
      <c r="J376" s="246"/>
      <c r="K376" s="246"/>
      <c r="L376" s="246"/>
      <c r="M376" s="245"/>
      <c r="N376" s="246"/>
      <c r="O376" s="246"/>
      <c r="P376" s="246"/>
      <c r="Q376" s="245"/>
      <c r="R376" s="246"/>
      <c r="S376" s="246"/>
      <c r="T376" s="246"/>
      <c r="U376" s="245"/>
      <c r="V376" s="246"/>
      <c r="W376" s="46"/>
      <c r="X376" s="296" t="s">
        <v>212</v>
      </c>
      <c r="Y376" s="296"/>
      <c r="Z376" s="296"/>
      <c r="AA376" s="296"/>
      <c r="AB376" s="296"/>
      <c r="AC376" s="296"/>
      <c r="AD376" s="296"/>
      <c r="AE376" s="296"/>
      <c r="AF376" s="296"/>
      <c r="AG376" s="296"/>
      <c r="AH376" s="296"/>
      <c r="AI376" s="296"/>
      <c r="AJ376" s="296"/>
      <c r="AK376" s="296"/>
      <c r="AL376" s="296"/>
      <c r="AM376" s="296"/>
      <c r="AN376" s="296"/>
      <c r="AO376" s="296"/>
      <c r="AP376" s="41"/>
      <c r="AQ376" s="86"/>
      <c r="AR376" s="86"/>
      <c r="AS376" s="86"/>
    </row>
    <row r="377" spans="2:45" ht="18" customHeight="1" thickBot="1" x14ac:dyDescent="0.2">
      <c r="B377" s="42">
        <v>19</v>
      </c>
      <c r="C377" s="46"/>
      <c r="D377" s="46"/>
      <c r="E377" s="48" t="s">
        <v>74</v>
      </c>
      <c r="F377" s="80"/>
      <c r="G377" s="47"/>
      <c r="H377" s="109"/>
      <c r="I377" s="255"/>
      <c r="J377" s="366" t="str">
        <f>IFERROR(VLOOKUP($F377,補助対象機器一覧20220831!$A$2:$K$200,2,FALSE),"")</f>
        <v/>
      </c>
      <c r="K377" s="367"/>
      <c r="L377" s="368"/>
      <c r="M377" s="245"/>
      <c r="N377" s="366" t="str">
        <f>IFERROR(VLOOKUP($F377,補助対象機器一覧20220831!$A$2:$K$200,7,FALSE),"")</f>
        <v/>
      </c>
      <c r="O377" s="367"/>
      <c r="P377" s="368"/>
      <c r="Q377" s="245"/>
      <c r="R377" s="366" t="str">
        <f>IFERROR(VLOOKUP($F377,補助対象機器一覧20220831!$A$2:$K$200,8,FALSE),"")</f>
        <v/>
      </c>
      <c r="S377" s="367"/>
      <c r="T377" s="368"/>
      <c r="U377" s="245"/>
      <c r="V377" s="244" t="str">
        <f>IFERROR(VLOOKUP($F377,補助対象機器一覧20220831!$A$2:$K$200,9,FALSE),"")</f>
        <v/>
      </c>
      <c r="W377" s="46"/>
      <c r="X377" s="402" t="str">
        <f>IF($B377&lt;=入力シート!$F$85,""&amp;中間シート!X570,"")</f>
        <v/>
      </c>
      <c r="Y377" s="402"/>
      <c r="Z377" s="402"/>
      <c r="AA377" s="402"/>
      <c r="AB377" s="402"/>
      <c r="AC377" s="402"/>
      <c r="AD377" s="402"/>
      <c r="AE377" s="402"/>
      <c r="AF377" s="402"/>
      <c r="AG377" s="402"/>
      <c r="AH377" s="402"/>
      <c r="AI377" s="402"/>
      <c r="AJ377" s="402"/>
      <c r="AK377" s="402"/>
      <c r="AL377" s="402"/>
      <c r="AM377" s="402"/>
      <c r="AN377" s="402"/>
      <c r="AO377" s="402"/>
      <c r="AP377" s="41"/>
      <c r="AQ377" s="81">
        <f>IF(J377&lt;&gt;"",1,IF(H377="なし",2,0))</f>
        <v>0</v>
      </c>
      <c r="AR377" s="86"/>
      <c r="AS377" s="86"/>
    </row>
    <row r="378" spans="2:45" ht="5.0999999999999996" customHeight="1" thickBot="1" x14ac:dyDescent="0.2">
      <c r="C378" s="46"/>
      <c r="D378" s="46"/>
      <c r="E378" s="48"/>
      <c r="F378" s="246"/>
      <c r="G378" s="47"/>
      <c r="H378" s="47"/>
      <c r="I378" s="255"/>
      <c r="J378" s="246"/>
      <c r="K378" s="246"/>
      <c r="L378" s="246"/>
      <c r="M378" s="245"/>
      <c r="N378" s="246"/>
      <c r="O378" s="246"/>
      <c r="P378" s="246"/>
      <c r="Q378" s="245"/>
      <c r="R378" s="246"/>
      <c r="S378" s="246"/>
      <c r="T378" s="246"/>
      <c r="U378" s="245"/>
      <c r="V378" s="246"/>
      <c r="W378" s="46"/>
      <c r="X378" s="402"/>
      <c r="Y378" s="402"/>
      <c r="Z378" s="402"/>
      <c r="AA378" s="402"/>
      <c r="AB378" s="402"/>
      <c r="AC378" s="402"/>
      <c r="AD378" s="402"/>
      <c r="AE378" s="402"/>
      <c r="AF378" s="402"/>
      <c r="AG378" s="402"/>
      <c r="AH378" s="402"/>
      <c r="AI378" s="402"/>
      <c r="AJ378" s="402"/>
      <c r="AK378" s="402"/>
      <c r="AL378" s="402"/>
      <c r="AM378" s="402"/>
      <c r="AN378" s="402"/>
      <c r="AO378" s="402"/>
      <c r="AP378" s="41"/>
      <c r="AQ378" s="86"/>
      <c r="AR378" s="86"/>
      <c r="AS378" s="86"/>
    </row>
    <row r="379" spans="2:45" ht="18" customHeight="1" thickBot="1" x14ac:dyDescent="0.2">
      <c r="B379" s="42">
        <v>19</v>
      </c>
      <c r="C379" s="46"/>
      <c r="D379" s="46"/>
      <c r="E379" s="47"/>
      <c r="F379" s="246"/>
      <c r="G379" s="47"/>
      <c r="H379" s="47"/>
      <c r="I379" s="261" t="str">
        <f>IF(AQ377=2,"入力してください→",IF(AQ377=1,"入力不要です→",""))</f>
        <v/>
      </c>
      <c r="J379" s="387"/>
      <c r="K379" s="388"/>
      <c r="L379" s="389"/>
      <c r="M379" s="245"/>
      <c r="N379" s="387"/>
      <c r="O379" s="388"/>
      <c r="P379" s="389"/>
      <c r="Q379" s="245"/>
      <c r="R379" s="387"/>
      <c r="S379" s="388"/>
      <c r="T379" s="389"/>
      <c r="U379" s="245"/>
      <c r="V379" s="249"/>
      <c r="W379" s="46"/>
      <c r="X379" s="402"/>
      <c r="Y379" s="402"/>
      <c r="Z379" s="402"/>
      <c r="AA379" s="402"/>
      <c r="AB379" s="402"/>
      <c r="AC379" s="402"/>
      <c r="AD379" s="402"/>
      <c r="AE379" s="402"/>
      <c r="AF379" s="402"/>
      <c r="AG379" s="402"/>
      <c r="AH379" s="402"/>
      <c r="AI379" s="402"/>
      <c r="AJ379" s="402"/>
      <c r="AK379" s="402"/>
      <c r="AL379" s="402"/>
      <c r="AM379" s="402"/>
      <c r="AN379" s="402"/>
      <c r="AO379" s="402"/>
      <c r="AP379" s="41"/>
      <c r="AQ379" s="86"/>
      <c r="AR379" s="86"/>
      <c r="AS379" s="86"/>
    </row>
    <row r="380" spans="2:45" x14ac:dyDescent="0.15">
      <c r="C380" s="46"/>
      <c r="D380" s="46"/>
      <c r="E380" s="47"/>
      <c r="F380" s="246"/>
      <c r="G380" s="47"/>
      <c r="H380" s="47"/>
      <c r="I380" s="257"/>
      <c r="J380" s="245"/>
      <c r="K380" s="245"/>
      <c r="L380" s="245"/>
      <c r="M380" s="245"/>
      <c r="N380" s="245"/>
      <c r="O380" s="245"/>
      <c r="P380" s="245"/>
      <c r="Q380" s="245"/>
      <c r="R380" s="245"/>
      <c r="S380" s="245"/>
      <c r="T380" s="245"/>
      <c r="U380" s="245"/>
      <c r="V380" s="245"/>
      <c r="W380" s="46"/>
      <c r="X380" s="296" t="s">
        <v>212</v>
      </c>
      <c r="Y380" s="296"/>
      <c r="Z380" s="296"/>
      <c r="AA380" s="296"/>
      <c r="AB380" s="296"/>
      <c r="AC380" s="296"/>
      <c r="AD380" s="296"/>
      <c r="AE380" s="296"/>
      <c r="AF380" s="296"/>
      <c r="AG380" s="296"/>
      <c r="AH380" s="296"/>
      <c r="AI380" s="296"/>
      <c r="AJ380" s="296"/>
      <c r="AK380" s="296"/>
      <c r="AL380" s="296"/>
      <c r="AM380" s="296"/>
      <c r="AN380" s="296"/>
      <c r="AO380" s="296"/>
      <c r="AQ380" s="86"/>
      <c r="AR380" s="86"/>
      <c r="AS380" s="86"/>
    </row>
    <row r="381" spans="2:45" ht="14.25" thickBot="1" x14ac:dyDescent="0.2">
      <c r="C381" s="86"/>
      <c r="D381" s="86"/>
      <c r="E381" s="93"/>
      <c r="F381" s="247"/>
      <c r="G381" s="93"/>
      <c r="H381" s="93"/>
      <c r="I381" s="258"/>
      <c r="J381" s="248"/>
      <c r="K381" s="248"/>
      <c r="L381" s="248"/>
      <c r="M381" s="248"/>
      <c r="N381" s="248"/>
      <c r="O381" s="248"/>
      <c r="P381" s="248"/>
      <c r="Q381" s="248"/>
      <c r="R381" s="248"/>
      <c r="S381" s="248"/>
      <c r="T381" s="248"/>
      <c r="U381" s="248"/>
      <c r="V381" s="248"/>
      <c r="W381" s="86"/>
      <c r="X381" s="296" t="s">
        <v>212</v>
      </c>
      <c r="Y381" s="296"/>
      <c r="Z381" s="296"/>
      <c r="AA381" s="296"/>
      <c r="AB381" s="296"/>
      <c r="AC381" s="296"/>
      <c r="AD381" s="296"/>
      <c r="AE381" s="296"/>
      <c r="AF381" s="296"/>
      <c r="AG381" s="296"/>
      <c r="AH381" s="296"/>
      <c r="AI381" s="296"/>
      <c r="AJ381" s="296"/>
      <c r="AK381" s="296"/>
      <c r="AL381" s="296"/>
      <c r="AM381" s="296"/>
      <c r="AN381" s="296"/>
      <c r="AO381" s="296"/>
      <c r="AQ381" s="86"/>
      <c r="AR381" s="86"/>
      <c r="AS381" s="86"/>
    </row>
    <row r="382" spans="2:45" ht="18" customHeight="1" thickBot="1" x14ac:dyDescent="0.2">
      <c r="B382" s="42">
        <v>20</v>
      </c>
      <c r="C382" s="86"/>
      <c r="D382" s="94" t="s">
        <v>175</v>
      </c>
      <c r="E382" s="95" t="s">
        <v>72</v>
      </c>
      <c r="F382" s="80"/>
      <c r="G382" s="86"/>
      <c r="H382" s="80"/>
      <c r="I382" s="259"/>
      <c r="J382" s="366" t="str">
        <f>IFERROR(VLOOKUP($F382,補助対象機器一覧20220831!$A$2:$K$200,2,FALSE),"")</f>
        <v/>
      </c>
      <c r="K382" s="367"/>
      <c r="L382" s="368"/>
      <c r="M382" s="248"/>
      <c r="N382" s="366" t="str">
        <f>IFERROR(VLOOKUP($F382,補助対象機器一覧20220831!$A$2:$K$200,7,FALSE),"")</f>
        <v/>
      </c>
      <c r="O382" s="367"/>
      <c r="P382" s="368"/>
      <c r="Q382" s="248"/>
      <c r="R382" s="366" t="str">
        <f>IFERROR(VLOOKUP($F382,補助対象機器一覧20220831!$A$2:$K$200,8,FALSE),"")</f>
        <v/>
      </c>
      <c r="S382" s="367"/>
      <c r="T382" s="368"/>
      <c r="U382" s="248"/>
      <c r="V382" s="244" t="str">
        <f>IFERROR(VLOOKUP($F382,補助対象機器一覧20220831!$A$2:$K$200,9,FALSE),"")</f>
        <v/>
      </c>
      <c r="W382" s="86"/>
      <c r="X382" s="402" t="str">
        <f>IF($B382&lt;=入力シート!$F$85,""&amp;中間シート!X571,"")</f>
        <v/>
      </c>
      <c r="Y382" s="402"/>
      <c r="Z382" s="402"/>
      <c r="AA382" s="402"/>
      <c r="AB382" s="402"/>
      <c r="AC382" s="402"/>
      <c r="AD382" s="402"/>
      <c r="AE382" s="402"/>
      <c r="AF382" s="402"/>
      <c r="AG382" s="402"/>
      <c r="AH382" s="402"/>
      <c r="AI382" s="402"/>
      <c r="AJ382" s="402"/>
      <c r="AK382" s="402"/>
      <c r="AL382" s="402"/>
      <c r="AM382" s="402"/>
      <c r="AN382" s="402"/>
      <c r="AO382" s="402"/>
      <c r="AQ382" s="81">
        <f>IF(J382&lt;&gt;"",1,IF(H382="なし",2,0))</f>
        <v>0</v>
      </c>
      <c r="AR382" s="86"/>
      <c r="AS382" s="86"/>
    </row>
    <row r="383" spans="2:45" ht="5.0999999999999996" customHeight="1" thickBot="1" x14ac:dyDescent="0.2">
      <c r="C383" s="86"/>
      <c r="D383" s="94"/>
      <c r="E383" s="95"/>
      <c r="F383" s="248"/>
      <c r="G383" s="86"/>
      <c r="H383" s="86"/>
      <c r="I383" s="259"/>
      <c r="J383" s="248"/>
      <c r="K383" s="248"/>
      <c r="L383" s="248"/>
      <c r="M383" s="248"/>
      <c r="N383" s="248"/>
      <c r="O383" s="248"/>
      <c r="P383" s="248"/>
      <c r="Q383" s="248"/>
      <c r="R383" s="248"/>
      <c r="S383" s="248"/>
      <c r="T383" s="248"/>
      <c r="U383" s="248"/>
      <c r="V383" s="248"/>
      <c r="W383" s="86"/>
      <c r="X383" s="402"/>
      <c r="Y383" s="402"/>
      <c r="Z383" s="402"/>
      <c r="AA383" s="402"/>
      <c r="AB383" s="402"/>
      <c r="AC383" s="402"/>
      <c r="AD383" s="402"/>
      <c r="AE383" s="402"/>
      <c r="AF383" s="402"/>
      <c r="AG383" s="402"/>
      <c r="AH383" s="402"/>
      <c r="AI383" s="402"/>
      <c r="AJ383" s="402"/>
      <c r="AK383" s="402"/>
      <c r="AL383" s="402"/>
      <c r="AM383" s="402"/>
      <c r="AN383" s="402"/>
      <c r="AO383" s="402"/>
      <c r="AP383" s="41"/>
      <c r="AQ383" s="86"/>
      <c r="AR383" s="86"/>
      <c r="AS383" s="86"/>
    </row>
    <row r="384" spans="2:45" ht="18" customHeight="1" thickBot="1" x14ac:dyDescent="0.2">
      <c r="B384" s="42">
        <v>20</v>
      </c>
      <c r="C384" s="86"/>
      <c r="D384" s="94"/>
      <c r="E384" s="95"/>
      <c r="F384" s="247"/>
      <c r="G384" s="86"/>
      <c r="H384" s="86"/>
      <c r="I384" s="260" t="str">
        <f>IF(AQ382=2,"入力してください→",IF(AQ382=1,"入力不要です→",""))</f>
        <v/>
      </c>
      <c r="J384" s="387"/>
      <c r="K384" s="388"/>
      <c r="L384" s="389"/>
      <c r="M384" s="248"/>
      <c r="N384" s="387"/>
      <c r="O384" s="388"/>
      <c r="P384" s="389"/>
      <c r="Q384" s="248"/>
      <c r="R384" s="387"/>
      <c r="S384" s="388"/>
      <c r="T384" s="389"/>
      <c r="U384" s="248"/>
      <c r="V384" s="249"/>
      <c r="W384" s="86"/>
      <c r="X384" s="402"/>
      <c r="Y384" s="402"/>
      <c r="Z384" s="402"/>
      <c r="AA384" s="402"/>
      <c r="AB384" s="402"/>
      <c r="AC384" s="402"/>
      <c r="AD384" s="402"/>
      <c r="AE384" s="402"/>
      <c r="AF384" s="402"/>
      <c r="AG384" s="402"/>
      <c r="AH384" s="402"/>
      <c r="AI384" s="402"/>
      <c r="AJ384" s="402"/>
      <c r="AK384" s="402"/>
      <c r="AL384" s="402"/>
      <c r="AM384" s="402"/>
      <c r="AN384" s="402"/>
      <c r="AO384" s="402"/>
      <c r="AP384" s="41"/>
      <c r="AQ384" s="86"/>
      <c r="AR384" s="86"/>
      <c r="AS384" s="86"/>
    </row>
    <row r="385" spans="2:45" ht="5.0999999999999996" customHeight="1" thickBot="1" x14ac:dyDescent="0.2">
      <c r="C385" s="86"/>
      <c r="D385" s="86"/>
      <c r="E385" s="93"/>
      <c r="F385" s="248"/>
      <c r="G385" s="93"/>
      <c r="H385" s="93"/>
      <c r="I385" s="259"/>
      <c r="J385" s="248"/>
      <c r="K385" s="248"/>
      <c r="L385" s="248"/>
      <c r="M385" s="248"/>
      <c r="N385" s="248"/>
      <c r="O385" s="248"/>
      <c r="P385" s="248"/>
      <c r="Q385" s="248"/>
      <c r="R385" s="248"/>
      <c r="S385" s="248"/>
      <c r="T385" s="248"/>
      <c r="U385" s="248"/>
      <c r="V385" s="248"/>
      <c r="W385" s="86"/>
      <c r="X385" s="296" t="s">
        <v>212</v>
      </c>
      <c r="Y385" s="296"/>
      <c r="Z385" s="296"/>
      <c r="AA385" s="296"/>
      <c r="AB385" s="296"/>
      <c r="AC385" s="296"/>
      <c r="AD385" s="296"/>
      <c r="AE385" s="296"/>
      <c r="AF385" s="296"/>
      <c r="AG385" s="296"/>
      <c r="AH385" s="296"/>
      <c r="AI385" s="296"/>
      <c r="AJ385" s="296"/>
      <c r="AK385" s="296"/>
      <c r="AL385" s="296"/>
      <c r="AM385" s="296"/>
      <c r="AN385" s="296"/>
      <c r="AO385" s="296"/>
      <c r="AP385" s="41"/>
      <c r="AQ385" s="86"/>
      <c r="AR385" s="86"/>
      <c r="AS385" s="86"/>
    </row>
    <row r="386" spans="2:45" ht="18" customHeight="1" thickBot="1" x14ac:dyDescent="0.2">
      <c r="B386" s="42">
        <v>20</v>
      </c>
      <c r="C386" s="86"/>
      <c r="D386" s="86"/>
      <c r="E386" s="95" t="s">
        <v>73</v>
      </c>
      <c r="F386" s="80"/>
      <c r="G386" s="93"/>
      <c r="H386" s="80"/>
      <c r="I386" s="259"/>
      <c r="J386" s="366" t="str">
        <f>IFERROR(VLOOKUP($F386,補助対象機器一覧20220831!$A$2:$K$200,2,FALSE),"")</f>
        <v/>
      </c>
      <c r="K386" s="367"/>
      <c r="L386" s="368"/>
      <c r="M386" s="248"/>
      <c r="N386" s="366" t="str">
        <f>IFERROR(VLOOKUP($F386,補助対象機器一覧20220831!$A$2:$K$200,7,FALSE),"")</f>
        <v/>
      </c>
      <c r="O386" s="367"/>
      <c r="P386" s="368"/>
      <c r="Q386" s="248"/>
      <c r="R386" s="366" t="str">
        <f>IFERROR(VLOOKUP($F386,補助対象機器一覧20220831!$A$2:$K$200,8,FALSE),"")</f>
        <v/>
      </c>
      <c r="S386" s="367"/>
      <c r="T386" s="368"/>
      <c r="U386" s="248"/>
      <c r="V386" s="244" t="str">
        <f>IFERROR(VLOOKUP($F386,補助対象機器一覧20220831!$A$2:$K$200,9,FALSE),"")</f>
        <v/>
      </c>
      <c r="W386" s="86"/>
      <c r="X386" s="402" t="str">
        <f>IF($B386&lt;=入力シート!$F$85,""&amp;中間シート!X572,"")</f>
        <v/>
      </c>
      <c r="Y386" s="402"/>
      <c r="Z386" s="402"/>
      <c r="AA386" s="402"/>
      <c r="AB386" s="402"/>
      <c r="AC386" s="402"/>
      <c r="AD386" s="402"/>
      <c r="AE386" s="402"/>
      <c r="AF386" s="402"/>
      <c r="AG386" s="402"/>
      <c r="AH386" s="402"/>
      <c r="AI386" s="402"/>
      <c r="AJ386" s="402"/>
      <c r="AK386" s="402"/>
      <c r="AL386" s="402"/>
      <c r="AM386" s="402"/>
      <c r="AN386" s="402"/>
      <c r="AO386" s="402"/>
      <c r="AP386" s="41"/>
      <c r="AQ386" s="81">
        <f>IF(J386&lt;&gt;"",1,IF(H386="なし",2,0))</f>
        <v>0</v>
      </c>
      <c r="AR386" s="86"/>
      <c r="AS386" s="86"/>
    </row>
    <row r="387" spans="2:45" ht="5.0999999999999996" customHeight="1" thickBot="1" x14ac:dyDescent="0.2">
      <c r="C387" s="86"/>
      <c r="D387" s="86"/>
      <c r="E387" s="95"/>
      <c r="F387" s="247"/>
      <c r="G387" s="93"/>
      <c r="H387" s="93"/>
      <c r="I387" s="259"/>
      <c r="J387" s="247"/>
      <c r="K387" s="247"/>
      <c r="L387" s="247"/>
      <c r="M387" s="248"/>
      <c r="N387" s="247"/>
      <c r="O387" s="247"/>
      <c r="P387" s="247"/>
      <c r="Q387" s="248"/>
      <c r="R387" s="247"/>
      <c r="S387" s="247"/>
      <c r="T387" s="247"/>
      <c r="U387" s="248"/>
      <c r="V387" s="247"/>
      <c r="W387" s="86"/>
      <c r="X387" s="402"/>
      <c r="Y387" s="402"/>
      <c r="Z387" s="402"/>
      <c r="AA387" s="402"/>
      <c r="AB387" s="402"/>
      <c r="AC387" s="402"/>
      <c r="AD387" s="402"/>
      <c r="AE387" s="402"/>
      <c r="AF387" s="402"/>
      <c r="AG387" s="402"/>
      <c r="AH387" s="402"/>
      <c r="AI387" s="402"/>
      <c r="AJ387" s="402"/>
      <c r="AK387" s="402"/>
      <c r="AL387" s="402"/>
      <c r="AM387" s="402"/>
      <c r="AN387" s="402"/>
      <c r="AO387" s="402"/>
      <c r="AP387" s="41"/>
      <c r="AQ387" s="86"/>
      <c r="AR387" s="86"/>
      <c r="AS387" s="86"/>
    </row>
    <row r="388" spans="2:45" ht="18" customHeight="1" thickBot="1" x14ac:dyDescent="0.2">
      <c r="B388" s="42">
        <v>20</v>
      </c>
      <c r="C388" s="86"/>
      <c r="D388" s="86"/>
      <c r="E388" s="95"/>
      <c r="F388" s="247"/>
      <c r="G388" s="93"/>
      <c r="H388" s="93"/>
      <c r="I388" s="260" t="str">
        <f>IF(AQ386=2,"入力してください→",IF(AQ386=1,"入力不要です→",""))</f>
        <v/>
      </c>
      <c r="J388" s="387"/>
      <c r="K388" s="388"/>
      <c r="L388" s="389"/>
      <c r="M388" s="248"/>
      <c r="N388" s="387"/>
      <c r="O388" s="388"/>
      <c r="P388" s="389"/>
      <c r="Q388" s="248"/>
      <c r="R388" s="387"/>
      <c r="S388" s="388"/>
      <c r="T388" s="389"/>
      <c r="U388" s="248"/>
      <c r="V388" s="249"/>
      <c r="W388" s="86"/>
      <c r="X388" s="402"/>
      <c r="Y388" s="402"/>
      <c r="Z388" s="402"/>
      <c r="AA388" s="402"/>
      <c r="AB388" s="402"/>
      <c r="AC388" s="402"/>
      <c r="AD388" s="402"/>
      <c r="AE388" s="402"/>
      <c r="AF388" s="402"/>
      <c r="AG388" s="402"/>
      <c r="AH388" s="402"/>
      <c r="AI388" s="402"/>
      <c r="AJ388" s="402"/>
      <c r="AK388" s="402"/>
      <c r="AL388" s="402"/>
      <c r="AM388" s="402"/>
      <c r="AN388" s="402"/>
      <c r="AO388" s="402"/>
      <c r="AP388" s="41"/>
      <c r="AQ388" s="86"/>
      <c r="AR388" s="86"/>
      <c r="AS388" s="86"/>
    </row>
    <row r="389" spans="2:45" ht="5.0999999999999996" customHeight="1" thickBot="1" x14ac:dyDescent="0.2">
      <c r="C389" s="86"/>
      <c r="D389" s="86"/>
      <c r="E389" s="95"/>
      <c r="F389" s="247"/>
      <c r="G389" s="93"/>
      <c r="H389" s="93"/>
      <c r="I389" s="259"/>
      <c r="J389" s="247"/>
      <c r="K389" s="247"/>
      <c r="L389" s="247"/>
      <c r="M389" s="248"/>
      <c r="N389" s="247"/>
      <c r="O389" s="247"/>
      <c r="P389" s="247"/>
      <c r="Q389" s="248"/>
      <c r="R389" s="247"/>
      <c r="S389" s="247"/>
      <c r="T389" s="247"/>
      <c r="U389" s="248"/>
      <c r="V389" s="247"/>
      <c r="W389" s="86"/>
      <c r="X389" s="296" t="s">
        <v>212</v>
      </c>
      <c r="Y389" s="296"/>
      <c r="Z389" s="296"/>
      <c r="AA389" s="296"/>
      <c r="AB389" s="296"/>
      <c r="AC389" s="296"/>
      <c r="AD389" s="296"/>
      <c r="AE389" s="296"/>
      <c r="AF389" s="296"/>
      <c r="AG389" s="296"/>
      <c r="AH389" s="296"/>
      <c r="AI389" s="296"/>
      <c r="AJ389" s="296"/>
      <c r="AK389" s="296"/>
      <c r="AL389" s="296"/>
      <c r="AM389" s="296"/>
      <c r="AN389" s="296"/>
      <c r="AO389" s="296"/>
      <c r="AP389" s="41"/>
      <c r="AQ389" s="86"/>
      <c r="AR389" s="86"/>
      <c r="AS389" s="86"/>
    </row>
    <row r="390" spans="2:45" ht="18" customHeight="1" thickBot="1" x14ac:dyDescent="0.2">
      <c r="B390" s="42">
        <v>20</v>
      </c>
      <c r="C390" s="86"/>
      <c r="D390" s="86"/>
      <c r="E390" s="95" t="s">
        <v>74</v>
      </c>
      <c r="F390" s="80"/>
      <c r="G390" s="93"/>
      <c r="H390" s="80"/>
      <c r="I390" s="259"/>
      <c r="J390" s="366" t="str">
        <f>IFERROR(VLOOKUP($F390,補助対象機器一覧20220831!$A$2:$K$200,2,FALSE),"")</f>
        <v/>
      </c>
      <c r="K390" s="367"/>
      <c r="L390" s="368"/>
      <c r="M390" s="248"/>
      <c r="N390" s="366" t="str">
        <f>IFERROR(VLOOKUP($F390,補助対象機器一覧20220831!$A$2:$K$200,7,FALSE),"")</f>
        <v/>
      </c>
      <c r="O390" s="367"/>
      <c r="P390" s="368"/>
      <c r="Q390" s="248"/>
      <c r="R390" s="366" t="str">
        <f>IFERROR(VLOOKUP($F390,補助対象機器一覧20220831!$A$2:$K$200,8,FALSE),"")</f>
        <v/>
      </c>
      <c r="S390" s="367"/>
      <c r="T390" s="368"/>
      <c r="U390" s="248"/>
      <c r="V390" s="244" t="str">
        <f>IFERROR(VLOOKUP($F390,補助対象機器一覧20220831!$A$2:$K$200,9,FALSE),"")</f>
        <v/>
      </c>
      <c r="W390" s="86"/>
      <c r="X390" s="402" t="str">
        <f>IF($B390&lt;=入力シート!$F$85,""&amp;中間シート!X573,"")</f>
        <v/>
      </c>
      <c r="Y390" s="402"/>
      <c r="Z390" s="402"/>
      <c r="AA390" s="402"/>
      <c r="AB390" s="402"/>
      <c r="AC390" s="402"/>
      <c r="AD390" s="402"/>
      <c r="AE390" s="402"/>
      <c r="AF390" s="402"/>
      <c r="AG390" s="402"/>
      <c r="AH390" s="402"/>
      <c r="AI390" s="402"/>
      <c r="AJ390" s="402"/>
      <c r="AK390" s="402"/>
      <c r="AL390" s="402"/>
      <c r="AM390" s="402"/>
      <c r="AN390" s="402"/>
      <c r="AO390" s="402"/>
      <c r="AP390" s="41"/>
      <c r="AQ390" s="81">
        <f>IF(J390&lt;&gt;"",1,IF(H390="なし",2,0))</f>
        <v>0</v>
      </c>
      <c r="AR390" s="86"/>
      <c r="AS390" s="86"/>
    </row>
    <row r="391" spans="2:45" ht="5.0999999999999996" customHeight="1" thickBot="1" x14ac:dyDescent="0.2">
      <c r="C391" s="86"/>
      <c r="D391" s="86"/>
      <c r="E391" s="95"/>
      <c r="F391" s="247"/>
      <c r="G391" s="93"/>
      <c r="H391" s="93"/>
      <c r="I391" s="259"/>
      <c r="J391" s="247"/>
      <c r="K391" s="247"/>
      <c r="L391" s="247"/>
      <c r="M391" s="248"/>
      <c r="N391" s="247"/>
      <c r="O391" s="247"/>
      <c r="P391" s="247"/>
      <c r="Q391" s="248"/>
      <c r="R391" s="247"/>
      <c r="S391" s="247"/>
      <c r="T391" s="247"/>
      <c r="U391" s="248"/>
      <c r="V391" s="247"/>
      <c r="W391" s="86"/>
      <c r="X391" s="402"/>
      <c r="Y391" s="402"/>
      <c r="Z391" s="402"/>
      <c r="AA391" s="402"/>
      <c r="AB391" s="402"/>
      <c r="AC391" s="402"/>
      <c r="AD391" s="402"/>
      <c r="AE391" s="402"/>
      <c r="AF391" s="402"/>
      <c r="AG391" s="402"/>
      <c r="AH391" s="402"/>
      <c r="AI391" s="402"/>
      <c r="AJ391" s="402"/>
      <c r="AK391" s="402"/>
      <c r="AL391" s="402"/>
      <c r="AM391" s="402"/>
      <c r="AN391" s="402"/>
      <c r="AO391" s="402"/>
      <c r="AP391" s="41"/>
      <c r="AQ391" s="86"/>
      <c r="AR391" s="86"/>
      <c r="AS391" s="86"/>
    </row>
    <row r="392" spans="2:45" ht="18" customHeight="1" thickBot="1" x14ac:dyDescent="0.2">
      <c r="B392" s="42">
        <v>20</v>
      </c>
      <c r="C392" s="86"/>
      <c r="D392" s="86"/>
      <c r="E392" s="93"/>
      <c r="F392" s="247"/>
      <c r="G392" s="93"/>
      <c r="H392" s="93"/>
      <c r="I392" s="260" t="str">
        <f>IF(AQ390=2,"入力してください→",IF(AQ390=1,"入力不要です→",""))</f>
        <v/>
      </c>
      <c r="J392" s="387"/>
      <c r="K392" s="388"/>
      <c r="L392" s="389"/>
      <c r="M392" s="248"/>
      <c r="N392" s="387"/>
      <c r="O392" s="388"/>
      <c r="P392" s="389"/>
      <c r="Q392" s="248"/>
      <c r="R392" s="387"/>
      <c r="S392" s="388"/>
      <c r="T392" s="389"/>
      <c r="U392" s="248"/>
      <c r="V392" s="249"/>
      <c r="W392" s="86"/>
      <c r="X392" s="402"/>
      <c r="Y392" s="402"/>
      <c r="Z392" s="402"/>
      <c r="AA392" s="402"/>
      <c r="AB392" s="402"/>
      <c r="AC392" s="402"/>
      <c r="AD392" s="402"/>
      <c r="AE392" s="402"/>
      <c r="AF392" s="402"/>
      <c r="AG392" s="402"/>
      <c r="AH392" s="402"/>
      <c r="AI392" s="402"/>
      <c r="AJ392" s="402"/>
      <c r="AK392" s="402"/>
      <c r="AL392" s="402"/>
      <c r="AM392" s="402"/>
      <c r="AN392" s="402"/>
      <c r="AO392" s="402"/>
      <c r="AP392" s="41"/>
      <c r="AQ392" s="86"/>
      <c r="AR392" s="86"/>
      <c r="AS392" s="86"/>
    </row>
    <row r="393" spans="2:45" x14ac:dyDescent="0.15">
      <c r="C393" s="86"/>
      <c r="D393" s="86"/>
      <c r="E393" s="93"/>
      <c r="F393" s="247"/>
      <c r="G393" s="93"/>
      <c r="H393" s="93"/>
      <c r="I393" s="258"/>
      <c r="J393" s="248"/>
      <c r="K393" s="248"/>
      <c r="L393" s="248"/>
      <c r="M393" s="248"/>
      <c r="N393" s="248"/>
      <c r="O393" s="248"/>
      <c r="P393" s="248"/>
      <c r="Q393" s="248"/>
      <c r="R393" s="248"/>
      <c r="S393" s="248"/>
      <c r="T393" s="248"/>
      <c r="U393" s="248"/>
      <c r="V393" s="248"/>
      <c r="W393" s="86"/>
      <c r="X393" s="296" t="s">
        <v>212</v>
      </c>
      <c r="Y393" s="296"/>
      <c r="Z393" s="296"/>
      <c r="AA393" s="296"/>
      <c r="AB393" s="296"/>
      <c r="AC393" s="296"/>
      <c r="AD393" s="296"/>
      <c r="AE393" s="296"/>
      <c r="AF393" s="296"/>
      <c r="AG393" s="296"/>
      <c r="AH393" s="296"/>
      <c r="AI393" s="296"/>
      <c r="AJ393" s="296"/>
      <c r="AK393" s="296"/>
      <c r="AL393" s="296"/>
      <c r="AM393" s="296"/>
      <c r="AN393" s="296"/>
      <c r="AO393" s="296"/>
      <c r="AQ393" s="86"/>
      <c r="AR393" s="86"/>
      <c r="AS393" s="86"/>
    </row>
    <row r="394" spans="2:45" ht="14.25" thickBot="1" x14ac:dyDescent="0.2">
      <c r="C394" s="46"/>
      <c r="D394" s="46"/>
      <c r="E394" s="47"/>
      <c r="F394" s="246"/>
      <c r="G394" s="47"/>
      <c r="H394" s="47"/>
      <c r="I394" s="257"/>
      <c r="J394" s="245"/>
      <c r="K394" s="245"/>
      <c r="L394" s="245"/>
      <c r="M394" s="245"/>
      <c r="N394" s="245"/>
      <c r="O394" s="245"/>
      <c r="P394" s="245"/>
      <c r="Q394" s="245"/>
      <c r="R394" s="245"/>
      <c r="S394" s="245"/>
      <c r="T394" s="245"/>
      <c r="U394" s="245"/>
      <c r="V394" s="245"/>
      <c r="W394" s="46"/>
      <c r="X394" s="296" t="s">
        <v>212</v>
      </c>
      <c r="Y394" s="296"/>
      <c r="Z394" s="296"/>
      <c r="AA394" s="296"/>
      <c r="AB394" s="296"/>
      <c r="AC394" s="296"/>
      <c r="AD394" s="296"/>
      <c r="AE394" s="296"/>
      <c r="AF394" s="296"/>
      <c r="AG394" s="296"/>
      <c r="AH394" s="296"/>
      <c r="AI394" s="296"/>
      <c r="AJ394" s="296"/>
      <c r="AK394" s="296"/>
      <c r="AL394" s="296"/>
      <c r="AM394" s="296"/>
      <c r="AN394" s="296"/>
      <c r="AO394" s="296"/>
      <c r="AQ394" s="86"/>
      <c r="AR394" s="86"/>
      <c r="AS394" s="86"/>
    </row>
    <row r="395" spans="2:45" ht="18" customHeight="1" thickBot="1" x14ac:dyDescent="0.2">
      <c r="B395" s="42">
        <v>21</v>
      </c>
      <c r="C395" s="46"/>
      <c r="D395" s="82" t="s">
        <v>176</v>
      </c>
      <c r="E395" s="48" t="s">
        <v>72</v>
      </c>
      <c r="F395" s="80"/>
      <c r="G395" s="46"/>
      <c r="H395" s="109"/>
      <c r="I395" s="255"/>
      <c r="J395" s="366" t="str">
        <f>IFERROR(VLOOKUP($F395,補助対象機器一覧20220831!$A$2:$K$200,2,FALSE),"")</f>
        <v/>
      </c>
      <c r="K395" s="367"/>
      <c r="L395" s="368"/>
      <c r="M395" s="245"/>
      <c r="N395" s="366" t="str">
        <f>IFERROR(VLOOKUP($F395,補助対象機器一覧20220831!$A$2:$K$200,7,FALSE),"")</f>
        <v/>
      </c>
      <c r="O395" s="367"/>
      <c r="P395" s="368"/>
      <c r="Q395" s="245"/>
      <c r="R395" s="366" t="str">
        <f>IFERROR(VLOOKUP($F395,補助対象機器一覧20220831!$A$2:$K$200,8,FALSE),"")</f>
        <v/>
      </c>
      <c r="S395" s="367"/>
      <c r="T395" s="368"/>
      <c r="U395" s="245"/>
      <c r="V395" s="244" t="str">
        <f>IFERROR(VLOOKUP($F395,補助対象機器一覧20220831!$A$2:$K$200,9,FALSE),"")</f>
        <v/>
      </c>
      <c r="W395" s="46"/>
      <c r="X395" s="402" t="str">
        <f>IF($B395&lt;=入力シート!$F$85,""&amp;中間シート!X574,"")</f>
        <v/>
      </c>
      <c r="Y395" s="402"/>
      <c r="Z395" s="402"/>
      <c r="AA395" s="402"/>
      <c r="AB395" s="402"/>
      <c r="AC395" s="402"/>
      <c r="AD395" s="402"/>
      <c r="AE395" s="402"/>
      <c r="AF395" s="402"/>
      <c r="AG395" s="402"/>
      <c r="AH395" s="402"/>
      <c r="AI395" s="402"/>
      <c r="AJ395" s="402"/>
      <c r="AK395" s="402"/>
      <c r="AL395" s="402"/>
      <c r="AM395" s="402"/>
      <c r="AN395" s="402"/>
      <c r="AO395" s="402"/>
      <c r="AQ395" s="81">
        <f>IF(J395&lt;&gt;"",1,IF(H395="なし",2,0))</f>
        <v>0</v>
      </c>
      <c r="AR395" s="86"/>
      <c r="AS395" s="86"/>
    </row>
    <row r="396" spans="2:45" ht="5.0999999999999996" customHeight="1" thickBot="1" x14ac:dyDescent="0.2">
      <c r="C396" s="46"/>
      <c r="D396" s="46"/>
      <c r="E396" s="48"/>
      <c r="F396" s="245"/>
      <c r="G396" s="46"/>
      <c r="H396" s="46"/>
      <c r="I396" s="255"/>
      <c r="J396" s="245"/>
      <c r="K396" s="245"/>
      <c r="L396" s="245"/>
      <c r="M396" s="245"/>
      <c r="N396" s="245"/>
      <c r="O396" s="245"/>
      <c r="P396" s="245"/>
      <c r="Q396" s="245"/>
      <c r="R396" s="245"/>
      <c r="S396" s="245"/>
      <c r="T396" s="245"/>
      <c r="U396" s="245"/>
      <c r="V396" s="245"/>
      <c r="W396" s="46"/>
      <c r="X396" s="402"/>
      <c r="Y396" s="402"/>
      <c r="Z396" s="402"/>
      <c r="AA396" s="402"/>
      <c r="AB396" s="402"/>
      <c r="AC396" s="402"/>
      <c r="AD396" s="402"/>
      <c r="AE396" s="402"/>
      <c r="AF396" s="402"/>
      <c r="AG396" s="402"/>
      <c r="AH396" s="402"/>
      <c r="AI396" s="402"/>
      <c r="AJ396" s="402"/>
      <c r="AK396" s="402"/>
      <c r="AL396" s="402"/>
      <c r="AM396" s="402"/>
      <c r="AN396" s="402"/>
      <c r="AO396" s="402"/>
      <c r="AP396" s="41"/>
      <c r="AQ396" s="86"/>
      <c r="AR396" s="86"/>
      <c r="AS396" s="86"/>
    </row>
    <row r="397" spans="2:45" ht="18" customHeight="1" thickBot="1" x14ac:dyDescent="0.2">
      <c r="B397" s="42">
        <v>21</v>
      </c>
      <c r="C397" s="46"/>
      <c r="D397" s="82"/>
      <c r="E397" s="48"/>
      <c r="F397" s="246"/>
      <c r="G397" s="46"/>
      <c r="H397" s="46"/>
      <c r="I397" s="261" t="str">
        <f>IF(AQ395=2,"入力してください→",IF(AQ395=1,"入力不要です→",""))</f>
        <v/>
      </c>
      <c r="J397" s="387"/>
      <c r="K397" s="388"/>
      <c r="L397" s="389"/>
      <c r="M397" s="245"/>
      <c r="N397" s="387"/>
      <c r="O397" s="388"/>
      <c r="P397" s="389"/>
      <c r="Q397" s="245"/>
      <c r="R397" s="387"/>
      <c r="S397" s="388"/>
      <c r="T397" s="389"/>
      <c r="U397" s="245"/>
      <c r="V397" s="249"/>
      <c r="W397" s="46"/>
      <c r="X397" s="402"/>
      <c r="Y397" s="402"/>
      <c r="Z397" s="402"/>
      <c r="AA397" s="402"/>
      <c r="AB397" s="402"/>
      <c r="AC397" s="402"/>
      <c r="AD397" s="402"/>
      <c r="AE397" s="402"/>
      <c r="AF397" s="402"/>
      <c r="AG397" s="402"/>
      <c r="AH397" s="402"/>
      <c r="AI397" s="402"/>
      <c r="AJ397" s="402"/>
      <c r="AK397" s="402"/>
      <c r="AL397" s="402"/>
      <c r="AM397" s="402"/>
      <c r="AN397" s="402"/>
      <c r="AO397" s="402"/>
      <c r="AP397" s="41"/>
      <c r="AQ397" s="86"/>
      <c r="AR397" s="86"/>
      <c r="AS397" s="86"/>
    </row>
    <row r="398" spans="2:45" ht="5.0999999999999996" customHeight="1" thickBot="1" x14ac:dyDescent="0.2">
      <c r="C398" s="46"/>
      <c r="D398" s="46"/>
      <c r="E398" s="48"/>
      <c r="F398" s="245"/>
      <c r="G398" s="47"/>
      <c r="H398" s="47"/>
      <c r="I398" s="255"/>
      <c r="J398" s="245"/>
      <c r="K398" s="245"/>
      <c r="L398" s="245"/>
      <c r="M398" s="245"/>
      <c r="N398" s="245"/>
      <c r="O398" s="245"/>
      <c r="P398" s="245"/>
      <c r="Q398" s="245"/>
      <c r="R398" s="245"/>
      <c r="S398" s="245"/>
      <c r="T398" s="245"/>
      <c r="U398" s="245"/>
      <c r="V398" s="245"/>
      <c r="W398" s="46"/>
      <c r="X398" s="296" t="s">
        <v>212</v>
      </c>
      <c r="Y398" s="296"/>
      <c r="Z398" s="296"/>
      <c r="AA398" s="296"/>
      <c r="AB398" s="296"/>
      <c r="AC398" s="296"/>
      <c r="AD398" s="296"/>
      <c r="AE398" s="296"/>
      <c r="AF398" s="296"/>
      <c r="AG398" s="296"/>
      <c r="AH398" s="296"/>
      <c r="AI398" s="296"/>
      <c r="AJ398" s="296"/>
      <c r="AK398" s="296"/>
      <c r="AL398" s="296"/>
      <c r="AM398" s="296"/>
      <c r="AN398" s="296"/>
      <c r="AO398" s="296"/>
      <c r="AP398" s="41"/>
      <c r="AQ398" s="86"/>
      <c r="AR398" s="86"/>
      <c r="AS398" s="86"/>
    </row>
    <row r="399" spans="2:45" ht="18" customHeight="1" thickBot="1" x14ac:dyDescent="0.2">
      <c r="B399" s="42">
        <v>21</v>
      </c>
      <c r="C399" s="46"/>
      <c r="D399" s="46"/>
      <c r="E399" s="48" t="s">
        <v>73</v>
      </c>
      <c r="F399" s="80"/>
      <c r="G399" s="47"/>
      <c r="H399" s="109"/>
      <c r="I399" s="255"/>
      <c r="J399" s="366" t="str">
        <f>IFERROR(VLOOKUP($F399,補助対象機器一覧20220831!$A$2:$K$200,2,FALSE),"")</f>
        <v/>
      </c>
      <c r="K399" s="367"/>
      <c r="L399" s="368"/>
      <c r="M399" s="245"/>
      <c r="N399" s="366" t="str">
        <f>IFERROR(VLOOKUP($F399,補助対象機器一覧20220831!$A$2:$K$200,7,FALSE),"")</f>
        <v/>
      </c>
      <c r="O399" s="367"/>
      <c r="P399" s="368"/>
      <c r="Q399" s="245"/>
      <c r="R399" s="366" t="str">
        <f>IFERROR(VLOOKUP($F399,補助対象機器一覧20220831!$A$2:$K$200,8,FALSE),"")</f>
        <v/>
      </c>
      <c r="S399" s="367"/>
      <c r="T399" s="368"/>
      <c r="U399" s="245"/>
      <c r="V399" s="244" t="str">
        <f>IFERROR(VLOOKUP($F399,補助対象機器一覧20220831!$A$2:$K$200,9,FALSE),"")</f>
        <v/>
      </c>
      <c r="W399" s="46"/>
      <c r="X399" s="402" t="str">
        <f>IF($B399&lt;=入力シート!$F$85,""&amp;中間シート!X575,"")</f>
        <v/>
      </c>
      <c r="Y399" s="402"/>
      <c r="Z399" s="402"/>
      <c r="AA399" s="402"/>
      <c r="AB399" s="402"/>
      <c r="AC399" s="402"/>
      <c r="AD399" s="402"/>
      <c r="AE399" s="402"/>
      <c r="AF399" s="402"/>
      <c r="AG399" s="402"/>
      <c r="AH399" s="402"/>
      <c r="AI399" s="402"/>
      <c r="AJ399" s="402"/>
      <c r="AK399" s="402"/>
      <c r="AL399" s="402"/>
      <c r="AM399" s="402"/>
      <c r="AN399" s="402"/>
      <c r="AO399" s="402"/>
      <c r="AP399" s="41"/>
      <c r="AQ399" s="81">
        <f>IF(J399&lt;&gt;"",1,IF(H399="なし",2,0))</f>
        <v>0</v>
      </c>
      <c r="AR399" s="86"/>
      <c r="AS399" s="86"/>
    </row>
    <row r="400" spans="2:45" ht="5.0999999999999996" customHeight="1" thickBot="1" x14ac:dyDescent="0.2">
      <c r="C400" s="46"/>
      <c r="D400" s="46"/>
      <c r="E400" s="48"/>
      <c r="F400" s="246"/>
      <c r="G400" s="47"/>
      <c r="H400" s="47"/>
      <c r="I400" s="255"/>
      <c r="J400" s="246"/>
      <c r="K400" s="246"/>
      <c r="L400" s="246"/>
      <c r="M400" s="245"/>
      <c r="N400" s="246"/>
      <c r="O400" s="246"/>
      <c r="P400" s="246"/>
      <c r="Q400" s="245"/>
      <c r="R400" s="246"/>
      <c r="S400" s="246"/>
      <c r="T400" s="246"/>
      <c r="U400" s="245"/>
      <c r="V400" s="246"/>
      <c r="W400" s="46"/>
      <c r="X400" s="402"/>
      <c r="Y400" s="402"/>
      <c r="Z400" s="402"/>
      <c r="AA400" s="402"/>
      <c r="AB400" s="402"/>
      <c r="AC400" s="402"/>
      <c r="AD400" s="402"/>
      <c r="AE400" s="402"/>
      <c r="AF400" s="402"/>
      <c r="AG400" s="402"/>
      <c r="AH400" s="402"/>
      <c r="AI400" s="402"/>
      <c r="AJ400" s="402"/>
      <c r="AK400" s="402"/>
      <c r="AL400" s="402"/>
      <c r="AM400" s="402"/>
      <c r="AN400" s="402"/>
      <c r="AO400" s="402"/>
      <c r="AP400" s="41"/>
      <c r="AQ400" s="86"/>
      <c r="AR400" s="86"/>
      <c r="AS400" s="86"/>
    </row>
    <row r="401" spans="2:45" ht="18" customHeight="1" thickBot="1" x14ac:dyDescent="0.2">
      <c r="B401" s="42">
        <v>21</v>
      </c>
      <c r="C401" s="46"/>
      <c r="D401" s="46"/>
      <c r="E401" s="48"/>
      <c r="F401" s="246"/>
      <c r="G401" s="47"/>
      <c r="H401" s="47"/>
      <c r="I401" s="261" t="str">
        <f>IF(AQ399=2,"入力してください→",IF(AQ399=1,"入力不要です→",""))</f>
        <v/>
      </c>
      <c r="J401" s="387"/>
      <c r="K401" s="388"/>
      <c r="L401" s="389"/>
      <c r="M401" s="245"/>
      <c r="N401" s="387"/>
      <c r="O401" s="388"/>
      <c r="P401" s="389"/>
      <c r="Q401" s="245"/>
      <c r="R401" s="387"/>
      <c r="S401" s="388"/>
      <c r="T401" s="389"/>
      <c r="U401" s="245"/>
      <c r="V401" s="249"/>
      <c r="W401" s="46"/>
      <c r="X401" s="402"/>
      <c r="Y401" s="402"/>
      <c r="Z401" s="402"/>
      <c r="AA401" s="402"/>
      <c r="AB401" s="402"/>
      <c r="AC401" s="402"/>
      <c r="AD401" s="402"/>
      <c r="AE401" s="402"/>
      <c r="AF401" s="402"/>
      <c r="AG401" s="402"/>
      <c r="AH401" s="402"/>
      <c r="AI401" s="402"/>
      <c r="AJ401" s="402"/>
      <c r="AK401" s="402"/>
      <c r="AL401" s="402"/>
      <c r="AM401" s="402"/>
      <c r="AN401" s="402"/>
      <c r="AO401" s="402"/>
      <c r="AP401" s="41"/>
      <c r="AQ401" s="86"/>
      <c r="AR401" s="86"/>
      <c r="AS401" s="86"/>
    </row>
    <row r="402" spans="2:45" ht="5.0999999999999996" customHeight="1" thickBot="1" x14ac:dyDescent="0.2">
      <c r="C402" s="46"/>
      <c r="D402" s="46"/>
      <c r="E402" s="48"/>
      <c r="F402" s="246"/>
      <c r="G402" s="47"/>
      <c r="H402" s="47"/>
      <c r="I402" s="255"/>
      <c r="J402" s="246"/>
      <c r="K402" s="246"/>
      <c r="L402" s="246"/>
      <c r="M402" s="245"/>
      <c r="N402" s="246"/>
      <c r="O402" s="246"/>
      <c r="P402" s="246"/>
      <c r="Q402" s="245"/>
      <c r="R402" s="246"/>
      <c r="S402" s="246"/>
      <c r="T402" s="246"/>
      <c r="U402" s="245"/>
      <c r="V402" s="246"/>
      <c r="W402" s="46"/>
      <c r="X402" s="296" t="s">
        <v>212</v>
      </c>
      <c r="Y402" s="296"/>
      <c r="Z402" s="296"/>
      <c r="AA402" s="296"/>
      <c r="AB402" s="296"/>
      <c r="AC402" s="296"/>
      <c r="AD402" s="296"/>
      <c r="AE402" s="296"/>
      <c r="AF402" s="296"/>
      <c r="AG402" s="296"/>
      <c r="AH402" s="296"/>
      <c r="AI402" s="296"/>
      <c r="AJ402" s="296"/>
      <c r="AK402" s="296"/>
      <c r="AL402" s="296"/>
      <c r="AM402" s="296"/>
      <c r="AN402" s="296"/>
      <c r="AO402" s="296"/>
      <c r="AP402" s="41"/>
      <c r="AQ402" s="86"/>
      <c r="AR402" s="86"/>
      <c r="AS402" s="86"/>
    </row>
    <row r="403" spans="2:45" ht="18" customHeight="1" thickBot="1" x14ac:dyDescent="0.2">
      <c r="B403" s="42">
        <v>21</v>
      </c>
      <c r="C403" s="46"/>
      <c r="D403" s="46"/>
      <c r="E403" s="48" t="s">
        <v>74</v>
      </c>
      <c r="F403" s="80"/>
      <c r="G403" s="47"/>
      <c r="H403" s="109"/>
      <c r="I403" s="255"/>
      <c r="J403" s="366" t="str">
        <f>IFERROR(VLOOKUP($F403,補助対象機器一覧20220831!$A$2:$K$200,2,FALSE),"")</f>
        <v/>
      </c>
      <c r="K403" s="367"/>
      <c r="L403" s="368"/>
      <c r="M403" s="245"/>
      <c r="N403" s="366" t="str">
        <f>IFERROR(VLOOKUP($F403,補助対象機器一覧20220831!$A$2:$K$200,7,FALSE),"")</f>
        <v/>
      </c>
      <c r="O403" s="367"/>
      <c r="P403" s="368"/>
      <c r="Q403" s="245"/>
      <c r="R403" s="366" t="str">
        <f>IFERROR(VLOOKUP($F403,補助対象機器一覧20220831!$A$2:$K$200,8,FALSE),"")</f>
        <v/>
      </c>
      <c r="S403" s="367"/>
      <c r="T403" s="368"/>
      <c r="U403" s="245"/>
      <c r="V403" s="244" t="str">
        <f>IFERROR(VLOOKUP($F403,補助対象機器一覧20220831!$A$2:$K$200,9,FALSE),"")</f>
        <v/>
      </c>
      <c r="W403" s="46"/>
      <c r="X403" s="402" t="str">
        <f>IF($B403&lt;=入力シート!$F$85,""&amp;中間シート!X576,"")</f>
        <v/>
      </c>
      <c r="Y403" s="402"/>
      <c r="Z403" s="402"/>
      <c r="AA403" s="402"/>
      <c r="AB403" s="402"/>
      <c r="AC403" s="402"/>
      <c r="AD403" s="402"/>
      <c r="AE403" s="402"/>
      <c r="AF403" s="402"/>
      <c r="AG403" s="402"/>
      <c r="AH403" s="402"/>
      <c r="AI403" s="402"/>
      <c r="AJ403" s="402"/>
      <c r="AK403" s="402"/>
      <c r="AL403" s="402"/>
      <c r="AM403" s="402"/>
      <c r="AN403" s="402"/>
      <c r="AO403" s="402"/>
      <c r="AP403" s="41"/>
      <c r="AQ403" s="81">
        <f>IF(J403&lt;&gt;"",1,IF(H403="なし",2,0))</f>
        <v>0</v>
      </c>
      <c r="AR403" s="86"/>
      <c r="AS403" s="86"/>
    </row>
    <row r="404" spans="2:45" ht="5.0999999999999996" customHeight="1" thickBot="1" x14ac:dyDescent="0.2">
      <c r="C404" s="46"/>
      <c r="D404" s="46"/>
      <c r="E404" s="48"/>
      <c r="F404" s="246"/>
      <c r="G404" s="47"/>
      <c r="H404" s="47"/>
      <c r="I404" s="255"/>
      <c r="J404" s="246"/>
      <c r="K404" s="246"/>
      <c r="L404" s="246"/>
      <c r="M404" s="245"/>
      <c r="N404" s="246"/>
      <c r="O404" s="246"/>
      <c r="P404" s="246"/>
      <c r="Q404" s="245"/>
      <c r="R404" s="246"/>
      <c r="S404" s="246"/>
      <c r="T404" s="246"/>
      <c r="U404" s="245"/>
      <c r="V404" s="246"/>
      <c r="W404" s="46"/>
      <c r="X404" s="402"/>
      <c r="Y404" s="402"/>
      <c r="Z404" s="402"/>
      <c r="AA404" s="402"/>
      <c r="AB404" s="402"/>
      <c r="AC404" s="402"/>
      <c r="AD404" s="402"/>
      <c r="AE404" s="402"/>
      <c r="AF404" s="402"/>
      <c r="AG404" s="402"/>
      <c r="AH404" s="402"/>
      <c r="AI404" s="402"/>
      <c r="AJ404" s="402"/>
      <c r="AK404" s="402"/>
      <c r="AL404" s="402"/>
      <c r="AM404" s="402"/>
      <c r="AN404" s="402"/>
      <c r="AO404" s="402"/>
      <c r="AP404" s="41"/>
      <c r="AQ404" s="86"/>
      <c r="AR404" s="86"/>
      <c r="AS404" s="86"/>
    </row>
    <row r="405" spans="2:45" ht="18" customHeight="1" thickBot="1" x14ac:dyDescent="0.2">
      <c r="B405" s="42">
        <v>21</v>
      </c>
      <c r="C405" s="46"/>
      <c r="D405" s="46"/>
      <c r="E405" s="47"/>
      <c r="F405" s="246"/>
      <c r="G405" s="47"/>
      <c r="H405" s="47"/>
      <c r="I405" s="261" t="str">
        <f>IF(AQ403=2,"入力してください→",IF(AQ403=1,"入力不要です→",""))</f>
        <v/>
      </c>
      <c r="J405" s="387"/>
      <c r="K405" s="388"/>
      <c r="L405" s="389"/>
      <c r="M405" s="245"/>
      <c r="N405" s="387"/>
      <c r="O405" s="388"/>
      <c r="P405" s="389"/>
      <c r="Q405" s="245"/>
      <c r="R405" s="387"/>
      <c r="S405" s="388"/>
      <c r="T405" s="389"/>
      <c r="U405" s="245"/>
      <c r="V405" s="249"/>
      <c r="W405" s="46"/>
      <c r="X405" s="402"/>
      <c r="Y405" s="402"/>
      <c r="Z405" s="402"/>
      <c r="AA405" s="402"/>
      <c r="AB405" s="402"/>
      <c r="AC405" s="402"/>
      <c r="AD405" s="402"/>
      <c r="AE405" s="402"/>
      <c r="AF405" s="402"/>
      <c r="AG405" s="402"/>
      <c r="AH405" s="402"/>
      <c r="AI405" s="402"/>
      <c r="AJ405" s="402"/>
      <c r="AK405" s="402"/>
      <c r="AL405" s="402"/>
      <c r="AM405" s="402"/>
      <c r="AN405" s="402"/>
      <c r="AO405" s="402"/>
      <c r="AP405" s="41"/>
      <c r="AQ405" s="86"/>
      <c r="AR405" s="86"/>
      <c r="AS405" s="86"/>
    </row>
    <row r="406" spans="2:45" x14ac:dyDescent="0.15">
      <c r="C406" s="46"/>
      <c r="D406" s="46"/>
      <c r="E406" s="47"/>
      <c r="F406" s="246"/>
      <c r="G406" s="47"/>
      <c r="H406" s="47"/>
      <c r="I406" s="257"/>
      <c r="J406" s="245"/>
      <c r="K406" s="245"/>
      <c r="L406" s="245"/>
      <c r="M406" s="245"/>
      <c r="N406" s="245"/>
      <c r="O406" s="245"/>
      <c r="P406" s="245"/>
      <c r="Q406" s="245"/>
      <c r="R406" s="245"/>
      <c r="S406" s="245"/>
      <c r="T406" s="245"/>
      <c r="U406" s="245"/>
      <c r="V406" s="245"/>
      <c r="W406" s="46"/>
      <c r="X406" s="296" t="s">
        <v>212</v>
      </c>
      <c r="Y406" s="296"/>
      <c r="Z406" s="296"/>
      <c r="AA406" s="296"/>
      <c r="AB406" s="296"/>
      <c r="AC406" s="296"/>
      <c r="AD406" s="296"/>
      <c r="AE406" s="296"/>
      <c r="AF406" s="296"/>
      <c r="AG406" s="296"/>
      <c r="AH406" s="296"/>
      <c r="AI406" s="296"/>
      <c r="AJ406" s="296"/>
      <c r="AK406" s="296"/>
      <c r="AL406" s="296"/>
      <c r="AM406" s="296"/>
      <c r="AN406" s="296"/>
      <c r="AO406" s="296"/>
      <c r="AQ406" s="86"/>
      <c r="AR406" s="86"/>
      <c r="AS406" s="86"/>
    </row>
    <row r="407" spans="2:45" ht="14.25" thickBot="1" x14ac:dyDescent="0.2">
      <c r="C407" s="86"/>
      <c r="D407" s="86"/>
      <c r="E407" s="93"/>
      <c r="F407" s="247"/>
      <c r="G407" s="93"/>
      <c r="H407" s="93"/>
      <c r="I407" s="258"/>
      <c r="J407" s="248"/>
      <c r="K407" s="248"/>
      <c r="L407" s="248"/>
      <c r="M407" s="248"/>
      <c r="N407" s="248"/>
      <c r="O407" s="248"/>
      <c r="P407" s="248"/>
      <c r="Q407" s="248"/>
      <c r="R407" s="248"/>
      <c r="S407" s="248"/>
      <c r="T407" s="248"/>
      <c r="U407" s="248"/>
      <c r="V407" s="248"/>
      <c r="W407" s="86"/>
      <c r="X407" s="296" t="s">
        <v>212</v>
      </c>
      <c r="Y407" s="296"/>
      <c r="Z407" s="296"/>
      <c r="AA407" s="296"/>
      <c r="AB407" s="296"/>
      <c r="AC407" s="296"/>
      <c r="AD407" s="296"/>
      <c r="AE407" s="296"/>
      <c r="AF407" s="296"/>
      <c r="AG407" s="296"/>
      <c r="AH407" s="296"/>
      <c r="AI407" s="296"/>
      <c r="AJ407" s="296"/>
      <c r="AK407" s="296"/>
      <c r="AL407" s="296"/>
      <c r="AM407" s="296"/>
      <c r="AN407" s="296"/>
      <c r="AO407" s="296"/>
      <c r="AQ407" s="86"/>
      <c r="AR407" s="86"/>
      <c r="AS407" s="86"/>
    </row>
    <row r="408" spans="2:45" ht="18" customHeight="1" thickBot="1" x14ac:dyDescent="0.2">
      <c r="B408" s="42">
        <v>22</v>
      </c>
      <c r="C408" s="86"/>
      <c r="D408" s="94" t="s">
        <v>177</v>
      </c>
      <c r="E408" s="95" t="s">
        <v>72</v>
      </c>
      <c r="F408" s="80"/>
      <c r="G408" s="86"/>
      <c r="H408" s="80"/>
      <c r="I408" s="259"/>
      <c r="J408" s="366" t="str">
        <f>IFERROR(VLOOKUP($F408,補助対象機器一覧20220831!$A$2:$K$200,2,FALSE),"")</f>
        <v/>
      </c>
      <c r="K408" s="367"/>
      <c r="L408" s="368"/>
      <c r="M408" s="248"/>
      <c r="N408" s="366" t="str">
        <f>IFERROR(VLOOKUP($F408,補助対象機器一覧20220831!$A$2:$K$200,7,FALSE),"")</f>
        <v/>
      </c>
      <c r="O408" s="367"/>
      <c r="P408" s="368"/>
      <c r="Q408" s="248"/>
      <c r="R408" s="366" t="str">
        <f>IFERROR(VLOOKUP($F408,補助対象機器一覧20220831!$A$2:$K$200,8,FALSE),"")</f>
        <v/>
      </c>
      <c r="S408" s="367"/>
      <c r="T408" s="368"/>
      <c r="U408" s="248"/>
      <c r="V408" s="244" t="str">
        <f>IFERROR(VLOOKUP($F408,補助対象機器一覧20220831!$A$2:$K$200,9,FALSE),"")</f>
        <v/>
      </c>
      <c r="W408" s="86"/>
      <c r="X408" s="402" t="str">
        <f>IF($B408&lt;=入力シート!$F$85,""&amp;中間シート!X577,"")</f>
        <v/>
      </c>
      <c r="Y408" s="402"/>
      <c r="Z408" s="402"/>
      <c r="AA408" s="402"/>
      <c r="AB408" s="402"/>
      <c r="AC408" s="402"/>
      <c r="AD408" s="402"/>
      <c r="AE408" s="402"/>
      <c r="AF408" s="402"/>
      <c r="AG408" s="402"/>
      <c r="AH408" s="402"/>
      <c r="AI408" s="402"/>
      <c r="AJ408" s="402"/>
      <c r="AK408" s="402"/>
      <c r="AL408" s="402"/>
      <c r="AM408" s="402"/>
      <c r="AN408" s="402"/>
      <c r="AO408" s="402"/>
      <c r="AQ408" s="81">
        <f>IF(J408&lt;&gt;"",1,IF(H408="なし",2,0))</f>
        <v>0</v>
      </c>
      <c r="AR408" s="86"/>
      <c r="AS408" s="86"/>
    </row>
    <row r="409" spans="2:45" ht="5.0999999999999996" customHeight="1" thickBot="1" x14ac:dyDescent="0.2">
      <c r="C409" s="86"/>
      <c r="D409" s="94"/>
      <c r="E409" s="95"/>
      <c r="F409" s="248"/>
      <c r="G409" s="86"/>
      <c r="H409" s="86"/>
      <c r="I409" s="259"/>
      <c r="J409" s="248"/>
      <c r="K409" s="248"/>
      <c r="L409" s="248"/>
      <c r="M409" s="248"/>
      <c r="N409" s="248"/>
      <c r="O409" s="248"/>
      <c r="P409" s="248"/>
      <c r="Q409" s="248"/>
      <c r="R409" s="248"/>
      <c r="S409" s="248"/>
      <c r="T409" s="248"/>
      <c r="U409" s="248"/>
      <c r="V409" s="248"/>
      <c r="W409" s="86"/>
      <c r="X409" s="402"/>
      <c r="Y409" s="402"/>
      <c r="Z409" s="402"/>
      <c r="AA409" s="402"/>
      <c r="AB409" s="402"/>
      <c r="AC409" s="402"/>
      <c r="AD409" s="402"/>
      <c r="AE409" s="402"/>
      <c r="AF409" s="402"/>
      <c r="AG409" s="402"/>
      <c r="AH409" s="402"/>
      <c r="AI409" s="402"/>
      <c r="AJ409" s="402"/>
      <c r="AK409" s="402"/>
      <c r="AL409" s="402"/>
      <c r="AM409" s="402"/>
      <c r="AN409" s="402"/>
      <c r="AO409" s="402"/>
      <c r="AP409" s="41"/>
      <c r="AQ409" s="86"/>
      <c r="AR409" s="86"/>
      <c r="AS409" s="86"/>
    </row>
    <row r="410" spans="2:45" ht="18" customHeight="1" thickBot="1" x14ac:dyDescent="0.2">
      <c r="B410" s="42">
        <v>22</v>
      </c>
      <c r="C410" s="86"/>
      <c r="D410" s="94"/>
      <c r="E410" s="95"/>
      <c r="F410" s="247"/>
      <c r="G410" s="86"/>
      <c r="H410" s="86"/>
      <c r="I410" s="260" t="str">
        <f>IF(AQ408=2,"入力してください→",IF(AQ408=1,"入力不要です→",""))</f>
        <v/>
      </c>
      <c r="J410" s="387"/>
      <c r="K410" s="388"/>
      <c r="L410" s="389"/>
      <c r="M410" s="248"/>
      <c r="N410" s="387"/>
      <c r="O410" s="388"/>
      <c r="P410" s="389"/>
      <c r="Q410" s="248"/>
      <c r="R410" s="387"/>
      <c r="S410" s="388"/>
      <c r="T410" s="389"/>
      <c r="U410" s="248"/>
      <c r="V410" s="249"/>
      <c r="W410" s="86"/>
      <c r="X410" s="402"/>
      <c r="Y410" s="402"/>
      <c r="Z410" s="402"/>
      <c r="AA410" s="402"/>
      <c r="AB410" s="402"/>
      <c r="AC410" s="402"/>
      <c r="AD410" s="402"/>
      <c r="AE410" s="402"/>
      <c r="AF410" s="402"/>
      <c r="AG410" s="402"/>
      <c r="AH410" s="402"/>
      <c r="AI410" s="402"/>
      <c r="AJ410" s="402"/>
      <c r="AK410" s="402"/>
      <c r="AL410" s="402"/>
      <c r="AM410" s="402"/>
      <c r="AN410" s="402"/>
      <c r="AO410" s="402"/>
      <c r="AP410" s="41"/>
      <c r="AQ410" s="86"/>
      <c r="AR410" s="86"/>
      <c r="AS410" s="86"/>
    </row>
    <row r="411" spans="2:45" ht="5.0999999999999996" customHeight="1" thickBot="1" x14ac:dyDescent="0.2">
      <c r="C411" s="86"/>
      <c r="D411" s="86"/>
      <c r="E411" s="93"/>
      <c r="F411" s="248"/>
      <c r="G411" s="93"/>
      <c r="H411" s="93"/>
      <c r="I411" s="259"/>
      <c r="J411" s="248"/>
      <c r="K411" s="248"/>
      <c r="L411" s="248"/>
      <c r="M411" s="248"/>
      <c r="N411" s="248"/>
      <c r="O411" s="248"/>
      <c r="P411" s="248"/>
      <c r="Q411" s="248"/>
      <c r="R411" s="248"/>
      <c r="S411" s="248"/>
      <c r="T411" s="248"/>
      <c r="U411" s="248"/>
      <c r="V411" s="248"/>
      <c r="W411" s="86"/>
      <c r="X411" s="296" t="s">
        <v>212</v>
      </c>
      <c r="Y411" s="296"/>
      <c r="Z411" s="296"/>
      <c r="AA411" s="296"/>
      <c r="AB411" s="296"/>
      <c r="AC411" s="296"/>
      <c r="AD411" s="296"/>
      <c r="AE411" s="296"/>
      <c r="AF411" s="296"/>
      <c r="AG411" s="296"/>
      <c r="AH411" s="296"/>
      <c r="AI411" s="296"/>
      <c r="AJ411" s="296"/>
      <c r="AK411" s="296"/>
      <c r="AL411" s="296"/>
      <c r="AM411" s="296"/>
      <c r="AN411" s="296"/>
      <c r="AO411" s="296"/>
      <c r="AP411" s="41"/>
      <c r="AQ411" s="86"/>
      <c r="AR411" s="86"/>
      <c r="AS411" s="86"/>
    </row>
    <row r="412" spans="2:45" ht="18" customHeight="1" thickBot="1" x14ac:dyDescent="0.2">
      <c r="B412" s="42">
        <v>22</v>
      </c>
      <c r="C412" s="86"/>
      <c r="D412" s="86"/>
      <c r="E412" s="95" t="s">
        <v>73</v>
      </c>
      <c r="F412" s="80"/>
      <c r="G412" s="93"/>
      <c r="H412" s="80"/>
      <c r="I412" s="259"/>
      <c r="J412" s="366" t="str">
        <f>IFERROR(VLOOKUP($F412,補助対象機器一覧20220831!$A$2:$K$200,2,FALSE),"")</f>
        <v/>
      </c>
      <c r="K412" s="367"/>
      <c r="L412" s="368"/>
      <c r="M412" s="248"/>
      <c r="N412" s="366" t="str">
        <f>IFERROR(VLOOKUP($F412,補助対象機器一覧20220831!$A$2:$K$200,7,FALSE),"")</f>
        <v/>
      </c>
      <c r="O412" s="367"/>
      <c r="P412" s="368"/>
      <c r="Q412" s="248"/>
      <c r="R412" s="366" t="str">
        <f>IFERROR(VLOOKUP($F412,補助対象機器一覧20220831!$A$2:$K$200,8,FALSE),"")</f>
        <v/>
      </c>
      <c r="S412" s="367"/>
      <c r="T412" s="368"/>
      <c r="U412" s="248"/>
      <c r="V412" s="244" t="str">
        <f>IFERROR(VLOOKUP($F412,補助対象機器一覧20220831!$A$2:$K$200,9,FALSE),"")</f>
        <v/>
      </c>
      <c r="W412" s="86"/>
      <c r="X412" s="402" t="str">
        <f>IF($B412&lt;=入力シート!$F$85,""&amp;中間シート!X578,"")</f>
        <v/>
      </c>
      <c r="Y412" s="402"/>
      <c r="Z412" s="402"/>
      <c r="AA412" s="402"/>
      <c r="AB412" s="402"/>
      <c r="AC412" s="402"/>
      <c r="AD412" s="402"/>
      <c r="AE412" s="402"/>
      <c r="AF412" s="402"/>
      <c r="AG412" s="402"/>
      <c r="AH412" s="402"/>
      <c r="AI412" s="402"/>
      <c r="AJ412" s="402"/>
      <c r="AK412" s="402"/>
      <c r="AL412" s="402"/>
      <c r="AM412" s="402"/>
      <c r="AN412" s="402"/>
      <c r="AO412" s="402"/>
      <c r="AP412" s="41"/>
      <c r="AQ412" s="81">
        <f>IF(J412&lt;&gt;"",1,IF(H412="なし",2,0))</f>
        <v>0</v>
      </c>
      <c r="AR412" s="86"/>
      <c r="AS412" s="86"/>
    </row>
    <row r="413" spans="2:45" ht="5.0999999999999996" customHeight="1" thickBot="1" x14ac:dyDescent="0.2">
      <c r="C413" s="86"/>
      <c r="D413" s="86"/>
      <c r="E413" s="95"/>
      <c r="F413" s="247"/>
      <c r="G413" s="93"/>
      <c r="H413" s="93"/>
      <c r="I413" s="259"/>
      <c r="J413" s="247"/>
      <c r="K413" s="247"/>
      <c r="L413" s="247"/>
      <c r="M413" s="248"/>
      <c r="N413" s="247"/>
      <c r="O413" s="247"/>
      <c r="P413" s="247"/>
      <c r="Q413" s="248"/>
      <c r="R413" s="247"/>
      <c r="S413" s="247"/>
      <c r="T413" s="247"/>
      <c r="U413" s="248"/>
      <c r="V413" s="247"/>
      <c r="W413" s="86"/>
      <c r="X413" s="402"/>
      <c r="Y413" s="402"/>
      <c r="Z413" s="402"/>
      <c r="AA413" s="402"/>
      <c r="AB413" s="402"/>
      <c r="AC413" s="402"/>
      <c r="AD413" s="402"/>
      <c r="AE413" s="402"/>
      <c r="AF413" s="402"/>
      <c r="AG413" s="402"/>
      <c r="AH413" s="402"/>
      <c r="AI413" s="402"/>
      <c r="AJ413" s="402"/>
      <c r="AK413" s="402"/>
      <c r="AL413" s="402"/>
      <c r="AM413" s="402"/>
      <c r="AN413" s="402"/>
      <c r="AO413" s="402"/>
      <c r="AP413" s="41"/>
      <c r="AQ413" s="86"/>
      <c r="AR413" s="86"/>
      <c r="AS413" s="86"/>
    </row>
    <row r="414" spans="2:45" ht="18" customHeight="1" thickBot="1" x14ac:dyDescent="0.2">
      <c r="B414" s="42">
        <v>22</v>
      </c>
      <c r="C414" s="86"/>
      <c r="D414" s="86"/>
      <c r="E414" s="95"/>
      <c r="F414" s="247"/>
      <c r="G414" s="93"/>
      <c r="H414" s="93"/>
      <c r="I414" s="260" t="str">
        <f>IF(AQ412=2,"入力してください→",IF(AQ412=1,"入力不要です→",""))</f>
        <v/>
      </c>
      <c r="J414" s="387"/>
      <c r="K414" s="388"/>
      <c r="L414" s="389"/>
      <c r="M414" s="248"/>
      <c r="N414" s="387"/>
      <c r="O414" s="388"/>
      <c r="P414" s="389"/>
      <c r="Q414" s="248"/>
      <c r="R414" s="387"/>
      <c r="S414" s="388"/>
      <c r="T414" s="389"/>
      <c r="U414" s="248"/>
      <c r="V414" s="249"/>
      <c r="W414" s="86"/>
      <c r="X414" s="402"/>
      <c r="Y414" s="402"/>
      <c r="Z414" s="402"/>
      <c r="AA414" s="402"/>
      <c r="AB414" s="402"/>
      <c r="AC414" s="402"/>
      <c r="AD414" s="402"/>
      <c r="AE414" s="402"/>
      <c r="AF414" s="402"/>
      <c r="AG414" s="402"/>
      <c r="AH414" s="402"/>
      <c r="AI414" s="402"/>
      <c r="AJ414" s="402"/>
      <c r="AK414" s="402"/>
      <c r="AL414" s="402"/>
      <c r="AM414" s="402"/>
      <c r="AN414" s="402"/>
      <c r="AO414" s="402"/>
      <c r="AP414" s="41"/>
      <c r="AQ414" s="86"/>
      <c r="AR414" s="86"/>
      <c r="AS414" s="86"/>
    </row>
    <row r="415" spans="2:45" ht="5.0999999999999996" customHeight="1" thickBot="1" x14ac:dyDescent="0.2">
      <c r="C415" s="86"/>
      <c r="D415" s="86"/>
      <c r="E415" s="95"/>
      <c r="F415" s="247"/>
      <c r="G415" s="93"/>
      <c r="H415" s="93"/>
      <c r="I415" s="259"/>
      <c r="J415" s="247"/>
      <c r="K415" s="247"/>
      <c r="L415" s="247"/>
      <c r="M415" s="248"/>
      <c r="N415" s="247"/>
      <c r="O415" s="247"/>
      <c r="P415" s="247"/>
      <c r="Q415" s="248"/>
      <c r="R415" s="247"/>
      <c r="S415" s="247"/>
      <c r="T415" s="247"/>
      <c r="U415" s="248"/>
      <c r="V415" s="247"/>
      <c r="W415" s="86"/>
      <c r="X415" s="296" t="s">
        <v>212</v>
      </c>
      <c r="Y415" s="296"/>
      <c r="Z415" s="296"/>
      <c r="AA415" s="296"/>
      <c r="AB415" s="296"/>
      <c r="AC415" s="296"/>
      <c r="AD415" s="296"/>
      <c r="AE415" s="296"/>
      <c r="AF415" s="296"/>
      <c r="AG415" s="296"/>
      <c r="AH415" s="296"/>
      <c r="AI415" s="296"/>
      <c r="AJ415" s="296"/>
      <c r="AK415" s="296"/>
      <c r="AL415" s="296"/>
      <c r="AM415" s="296"/>
      <c r="AN415" s="296"/>
      <c r="AO415" s="296"/>
      <c r="AP415" s="41"/>
      <c r="AQ415" s="86"/>
      <c r="AR415" s="86"/>
      <c r="AS415" s="86"/>
    </row>
    <row r="416" spans="2:45" ht="18" customHeight="1" thickBot="1" x14ac:dyDescent="0.2">
      <c r="B416" s="42">
        <v>22</v>
      </c>
      <c r="C416" s="86"/>
      <c r="D416" s="86"/>
      <c r="E416" s="95" t="s">
        <v>74</v>
      </c>
      <c r="F416" s="80"/>
      <c r="G416" s="93"/>
      <c r="H416" s="80"/>
      <c r="I416" s="259"/>
      <c r="J416" s="366" t="str">
        <f>IFERROR(VLOOKUP($F416,補助対象機器一覧20220831!$A$2:$K$200,2,FALSE),"")</f>
        <v/>
      </c>
      <c r="K416" s="367"/>
      <c r="L416" s="368"/>
      <c r="M416" s="248"/>
      <c r="N416" s="366" t="str">
        <f>IFERROR(VLOOKUP($F416,補助対象機器一覧20220831!$A$2:$K$200,7,FALSE),"")</f>
        <v/>
      </c>
      <c r="O416" s="367"/>
      <c r="P416" s="368"/>
      <c r="Q416" s="248"/>
      <c r="R416" s="366" t="str">
        <f>IFERROR(VLOOKUP($F416,補助対象機器一覧20220831!$A$2:$K$200,8,FALSE),"")</f>
        <v/>
      </c>
      <c r="S416" s="367"/>
      <c r="T416" s="368"/>
      <c r="U416" s="248"/>
      <c r="V416" s="244" t="str">
        <f>IFERROR(VLOOKUP($F416,補助対象機器一覧20220831!$A$2:$K$200,9,FALSE),"")</f>
        <v/>
      </c>
      <c r="W416" s="86"/>
      <c r="X416" s="402" t="str">
        <f>IF($B416&lt;=入力シート!$F$85,""&amp;中間シート!X579,"")</f>
        <v/>
      </c>
      <c r="Y416" s="402"/>
      <c r="Z416" s="402"/>
      <c r="AA416" s="402"/>
      <c r="AB416" s="402"/>
      <c r="AC416" s="402"/>
      <c r="AD416" s="402"/>
      <c r="AE416" s="402"/>
      <c r="AF416" s="402"/>
      <c r="AG416" s="402"/>
      <c r="AH416" s="402"/>
      <c r="AI416" s="402"/>
      <c r="AJ416" s="402"/>
      <c r="AK416" s="402"/>
      <c r="AL416" s="402"/>
      <c r="AM416" s="402"/>
      <c r="AN416" s="402"/>
      <c r="AO416" s="402"/>
      <c r="AP416" s="41"/>
      <c r="AQ416" s="81">
        <f>IF(J416&lt;&gt;"",1,IF(H416="なし",2,0))</f>
        <v>0</v>
      </c>
      <c r="AR416" s="86"/>
      <c r="AS416" s="86"/>
    </row>
    <row r="417" spans="2:45" ht="5.0999999999999996" customHeight="1" thickBot="1" x14ac:dyDescent="0.2">
      <c r="C417" s="86"/>
      <c r="D417" s="86"/>
      <c r="E417" s="95"/>
      <c r="F417" s="247"/>
      <c r="G417" s="93"/>
      <c r="H417" s="93"/>
      <c r="I417" s="259"/>
      <c r="J417" s="247"/>
      <c r="K417" s="247"/>
      <c r="L417" s="247"/>
      <c r="M417" s="248"/>
      <c r="N417" s="247"/>
      <c r="O417" s="247"/>
      <c r="P417" s="247"/>
      <c r="Q417" s="248"/>
      <c r="R417" s="247"/>
      <c r="S417" s="247"/>
      <c r="T417" s="247"/>
      <c r="U417" s="248"/>
      <c r="V417" s="247"/>
      <c r="W417" s="86"/>
      <c r="X417" s="402"/>
      <c r="Y417" s="402"/>
      <c r="Z417" s="402"/>
      <c r="AA417" s="402"/>
      <c r="AB417" s="402"/>
      <c r="AC417" s="402"/>
      <c r="AD417" s="402"/>
      <c r="AE417" s="402"/>
      <c r="AF417" s="402"/>
      <c r="AG417" s="402"/>
      <c r="AH417" s="402"/>
      <c r="AI417" s="402"/>
      <c r="AJ417" s="402"/>
      <c r="AK417" s="402"/>
      <c r="AL417" s="402"/>
      <c r="AM417" s="402"/>
      <c r="AN417" s="402"/>
      <c r="AO417" s="402"/>
      <c r="AP417" s="41"/>
      <c r="AQ417" s="86"/>
      <c r="AR417" s="86"/>
      <c r="AS417" s="86"/>
    </row>
    <row r="418" spans="2:45" ht="18" customHeight="1" thickBot="1" x14ac:dyDescent="0.2">
      <c r="B418" s="42">
        <v>22</v>
      </c>
      <c r="C418" s="86"/>
      <c r="D418" s="86"/>
      <c r="E418" s="93"/>
      <c r="F418" s="247"/>
      <c r="G418" s="93"/>
      <c r="H418" s="93"/>
      <c r="I418" s="260" t="str">
        <f>IF(AQ416=2,"入力してください→",IF(AQ416=1,"入力不要です→",""))</f>
        <v/>
      </c>
      <c r="J418" s="387"/>
      <c r="K418" s="388"/>
      <c r="L418" s="389"/>
      <c r="M418" s="248"/>
      <c r="N418" s="387"/>
      <c r="O418" s="388"/>
      <c r="P418" s="389"/>
      <c r="Q418" s="248"/>
      <c r="R418" s="387"/>
      <c r="S418" s="388"/>
      <c r="T418" s="389"/>
      <c r="U418" s="248"/>
      <c r="V418" s="249"/>
      <c r="W418" s="86"/>
      <c r="X418" s="402"/>
      <c r="Y418" s="402"/>
      <c r="Z418" s="402"/>
      <c r="AA418" s="402"/>
      <c r="AB418" s="402"/>
      <c r="AC418" s="402"/>
      <c r="AD418" s="402"/>
      <c r="AE418" s="402"/>
      <c r="AF418" s="402"/>
      <c r="AG418" s="402"/>
      <c r="AH418" s="402"/>
      <c r="AI418" s="402"/>
      <c r="AJ418" s="402"/>
      <c r="AK418" s="402"/>
      <c r="AL418" s="402"/>
      <c r="AM418" s="402"/>
      <c r="AN418" s="402"/>
      <c r="AO418" s="402"/>
      <c r="AP418" s="41"/>
      <c r="AQ418" s="86"/>
      <c r="AR418" s="86"/>
      <c r="AS418" s="86"/>
    </row>
    <row r="419" spans="2:45" x14ac:dyDescent="0.15">
      <c r="C419" s="86"/>
      <c r="D419" s="86"/>
      <c r="E419" s="93"/>
      <c r="F419" s="247"/>
      <c r="G419" s="93"/>
      <c r="H419" s="93"/>
      <c r="I419" s="258"/>
      <c r="J419" s="248"/>
      <c r="K419" s="248"/>
      <c r="L419" s="248"/>
      <c r="M419" s="248"/>
      <c r="N419" s="248"/>
      <c r="O419" s="248"/>
      <c r="P419" s="248"/>
      <c r="Q419" s="248"/>
      <c r="R419" s="248"/>
      <c r="S419" s="248"/>
      <c r="T419" s="248"/>
      <c r="U419" s="248"/>
      <c r="V419" s="248"/>
      <c r="W419" s="86"/>
      <c r="X419" s="296" t="s">
        <v>212</v>
      </c>
      <c r="Y419" s="296"/>
      <c r="Z419" s="296"/>
      <c r="AA419" s="296"/>
      <c r="AB419" s="296"/>
      <c r="AC419" s="296"/>
      <c r="AD419" s="296"/>
      <c r="AE419" s="296"/>
      <c r="AF419" s="296"/>
      <c r="AG419" s="296"/>
      <c r="AH419" s="296"/>
      <c r="AI419" s="296"/>
      <c r="AJ419" s="296"/>
      <c r="AK419" s="296"/>
      <c r="AL419" s="296"/>
      <c r="AM419" s="296"/>
      <c r="AN419" s="296"/>
      <c r="AO419" s="296"/>
      <c r="AQ419" s="86"/>
      <c r="AR419" s="86"/>
      <c r="AS419" s="86"/>
    </row>
    <row r="420" spans="2:45" ht="14.25" thickBot="1" x14ac:dyDescent="0.2">
      <c r="C420" s="46"/>
      <c r="D420" s="46"/>
      <c r="E420" s="47"/>
      <c r="F420" s="246"/>
      <c r="G420" s="47"/>
      <c r="H420" s="47"/>
      <c r="I420" s="257"/>
      <c r="J420" s="245"/>
      <c r="K420" s="245"/>
      <c r="L420" s="245"/>
      <c r="M420" s="245"/>
      <c r="N420" s="245"/>
      <c r="O420" s="245"/>
      <c r="P420" s="245"/>
      <c r="Q420" s="245"/>
      <c r="R420" s="245"/>
      <c r="S420" s="245"/>
      <c r="T420" s="245"/>
      <c r="U420" s="245"/>
      <c r="V420" s="245"/>
      <c r="W420" s="46"/>
      <c r="X420" s="296" t="s">
        <v>212</v>
      </c>
      <c r="Y420" s="296"/>
      <c r="Z420" s="296"/>
      <c r="AA420" s="296"/>
      <c r="AB420" s="296"/>
      <c r="AC420" s="296"/>
      <c r="AD420" s="296"/>
      <c r="AE420" s="296"/>
      <c r="AF420" s="296"/>
      <c r="AG420" s="296"/>
      <c r="AH420" s="296"/>
      <c r="AI420" s="296"/>
      <c r="AJ420" s="296"/>
      <c r="AK420" s="296"/>
      <c r="AL420" s="296"/>
      <c r="AM420" s="296"/>
      <c r="AN420" s="296"/>
      <c r="AO420" s="296"/>
      <c r="AQ420" s="86"/>
      <c r="AR420" s="86"/>
      <c r="AS420" s="86"/>
    </row>
    <row r="421" spans="2:45" ht="18" customHeight="1" thickBot="1" x14ac:dyDescent="0.2">
      <c r="B421" s="42">
        <v>23</v>
      </c>
      <c r="C421" s="46"/>
      <c r="D421" s="82" t="s">
        <v>178</v>
      </c>
      <c r="E421" s="48" t="s">
        <v>72</v>
      </c>
      <c r="F421" s="80"/>
      <c r="G421" s="46"/>
      <c r="H421" s="109"/>
      <c r="I421" s="255"/>
      <c r="J421" s="366" t="str">
        <f>IFERROR(VLOOKUP($F421,補助対象機器一覧20220831!$A$2:$K$200,2,FALSE),"")</f>
        <v/>
      </c>
      <c r="K421" s="367"/>
      <c r="L421" s="368"/>
      <c r="M421" s="245"/>
      <c r="N421" s="366" t="str">
        <f>IFERROR(VLOOKUP($F421,補助対象機器一覧20220831!$A$2:$K$200,7,FALSE),"")</f>
        <v/>
      </c>
      <c r="O421" s="367"/>
      <c r="P421" s="368"/>
      <c r="Q421" s="245"/>
      <c r="R421" s="366" t="str">
        <f>IFERROR(VLOOKUP($F421,補助対象機器一覧20220831!$A$2:$K$200,8,FALSE),"")</f>
        <v/>
      </c>
      <c r="S421" s="367"/>
      <c r="T421" s="368"/>
      <c r="U421" s="245"/>
      <c r="V421" s="244" t="str">
        <f>IFERROR(VLOOKUP($F421,補助対象機器一覧20220831!$A$2:$K$200,9,FALSE),"")</f>
        <v/>
      </c>
      <c r="W421" s="46"/>
      <c r="X421" s="402" t="str">
        <f>IF($B421&lt;=入力シート!$F$85,""&amp;中間シート!X580,"")</f>
        <v/>
      </c>
      <c r="Y421" s="402"/>
      <c r="Z421" s="402"/>
      <c r="AA421" s="402"/>
      <c r="AB421" s="402"/>
      <c r="AC421" s="402"/>
      <c r="AD421" s="402"/>
      <c r="AE421" s="402"/>
      <c r="AF421" s="402"/>
      <c r="AG421" s="402"/>
      <c r="AH421" s="402"/>
      <c r="AI421" s="402"/>
      <c r="AJ421" s="402"/>
      <c r="AK421" s="402"/>
      <c r="AL421" s="402"/>
      <c r="AM421" s="402"/>
      <c r="AN421" s="402"/>
      <c r="AO421" s="402"/>
      <c r="AQ421" s="81">
        <f>IF(J421&lt;&gt;"",1,IF(H421="なし",2,0))</f>
        <v>0</v>
      </c>
      <c r="AR421" s="86"/>
      <c r="AS421" s="86"/>
    </row>
    <row r="422" spans="2:45" ht="5.0999999999999996" customHeight="1" thickBot="1" x14ac:dyDescent="0.2">
      <c r="C422" s="46"/>
      <c r="D422" s="82"/>
      <c r="E422" s="48"/>
      <c r="F422" s="245"/>
      <c r="G422" s="46"/>
      <c r="H422" s="46"/>
      <c r="I422" s="255"/>
      <c r="J422" s="245"/>
      <c r="K422" s="245"/>
      <c r="L422" s="245"/>
      <c r="M422" s="245"/>
      <c r="N422" s="245"/>
      <c r="O422" s="245"/>
      <c r="P422" s="245"/>
      <c r="Q422" s="245"/>
      <c r="R422" s="245"/>
      <c r="S422" s="245"/>
      <c r="T422" s="245"/>
      <c r="U422" s="245"/>
      <c r="V422" s="245"/>
      <c r="W422" s="46"/>
      <c r="X422" s="402"/>
      <c r="Y422" s="402"/>
      <c r="Z422" s="402"/>
      <c r="AA422" s="402"/>
      <c r="AB422" s="402"/>
      <c r="AC422" s="402"/>
      <c r="AD422" s="402"/>
      <c r="AE422" s="402"/>
      <c r="AF422" s="402"/>
      <c r="AG422" s="402"/>
      <c r="AH422" s="402"/>
      <c r="AI422" s="402"/>
      <c r="AJ422" s="402"/>
      <c r="AK422" s="402"/>
      <c r="AL422" s="402"/>
      <c r="AM422" s="402"/>
      <c r="AN422" s="402"/>
      <c r="AO422" s="402"/>
      <c r="AP422" s="41"/>
      <c r="AQ422" s="86"/>
      <c r="AR422" s="86"/>
      <c r="AS422" s="86"/>
    </row>
    <row r="423" spans="2:45" ht="18" customHeight="1" thickBot="1" x14ac:dyDescent="0.2">
      <c r="B423" s="42">
        <v>23</v>
      </c>
      <c r="C423" s="46"/>
      <c r="D423" s="82"/>
      <c r="E423" s="48"/>
      <c r="F423" s="246"/>
      <c r="G423" s="46"/>
      <c r="H423" s="46"/>
      <c r="I423" s="261" t="str">
        <f>IF(AQ421=2,"入力してください→",IF(AQ421=1,"入力不要です→",""))</f>
        <v/>
      </c>
      <c r="J423" s="387"/>
      <c r="K423" s="388"/>
      <c r="L423" s="389"/>
      <c r="M423" s="245"/>
      <c r="N423" s="387"/>
      <c r="O423" s="388"/>
      <c r="P423" s="389"/>
      <c r="Q423" s="245"/>
      <c r="R423" s="387"/>
      <c r="S423" s="388"/>
      <c r="T423" s="389"/>
      <c r="U423" s="245"/>
      <c r="V423" s="249"/>
      <c r="W423" s="46"/>
      <c r="X423" s="402"/>
      <c r="Y423" s="402"/>
      <c r="Z423" s="402"/>
      <c r="AA423" s="402"/>
      <c r="AB423" s="402"/>
      <c r="AC423" s="402"/>
      <c r="AD423" s="402"/>
      <c r="AE423" s="402"/>
      <c r="AF423" s="402"/>
      <c r="AG423" s="402"/>
      <c r="AH423" s="402"/>
      <c r="AI423" s="402"/>
      <c r="AJ423" s="402"/>
      <c r="AK423" s="402"/>
      <c r="AL423" s="402"/>
      <c r="AM423" s="402"/>
      <c r="AN423" s="402"/>
      <c r="AO423" s="402"/>
      <c r="AP423" s="41"/>
      <c r="AQ423" s="86"/>
      <c r="AR423" s="86"/>
      <c r="AS423" s="86"/>
    </row>
    <row r="424" spans="2:45" ht="5.0999999999999996" customHeight="1" thickBot="1" x14ac:dyDescent="0.2">
      <c r="C424" s="46"/>
      <c r="D424" s="46"/>
      <c r="E424" s="47"/>
      <c r="F424" s="245"/>
      <c r="G424" s="47"/>
      <c r="H424" s="47"/>
      <c r="I424" s="255"/>
      <c r="J424" s="245"/>
      <c r="K424" s="245"/>
      <c r="L424" s="245"/>
      <c r="M424" s="245"/>
      <c r="N424" s="245"/>
      <c r="O424" s="245"/>
      <c r="P424" s="245"/>
      <c r="Q424" s="245"/>
      <c r="R424" s="245"/>
      <c r="S424" s="245"/>
      <c r="T424" s="245"/>
      <c r="U424" s="245"/>
      <c r="V424" s="245"/>
      <c r="W424" s="46"/>
      <c r="X424" s="296" t="s">
        <v>212</v>
      </c>
      <c r="Y424" s="296"/>
      <c r="Z424" s="296"/>
      <c r="AA424" s="296"/>
      <c r="AB424" s="296"/>
      <c r="AC424" s="296"/>
      <c r="AD424" s="296"/>
      <c r="AE424" s="296"/>
      <c r="AF424" s="296"/>
      <c r="AG424" s="296"/>
      <c r="AH424" s="296"/>
      <c r="AI424" s="296"/>
      <c r="AJ424" s="296"/>
      <c r="AK424" s="296"/>
      <c r="AL424" s="296"/>
      <c r="AM424" s="296"/>
      <c r="AN424" s="296"/>
      <c r="AO424" s="296"/>
      <c r="AP424" s="41"/>
      <c r="AQ424" s="86"/>
      <c r="AR424" s="86"/>
      <c r="AS424" s="86"/>
    </row>
    <row r="425" spans="2:45" ht="18" customHeight="1" thickBot="1" x14ac:dyDescent="0.2">
      <c r="B425" s="42">
        <v>23</v>
      </c>
      <c r="C425" s="46"/>
      <c r="D425" s="46"/>
      <c r="E425" s="48" t="s">
        <v>73</v>
      </c>
      <c r="F425" s="80"/>
      <c r="G425" s="47"/>
      <c r="H425" s="109"/>
      <c r="I425" s="255"/>
      <c r="J425" s="366" t="str">
        <f>IFERROR(VLOOKUP($F425,補助対象機器一覧20220831!$A$2:$K$200,2,FALSE),"")</f>
        <v/>
      </c>
      <c r="K425" s="367"/>
      <c r="L425" s="368"/>
      <c r="M425" s="245"/>
      <c r="N425" s="366" t="str">
        <f>IFERROR(VLOOKUP($F425,補助対象機器一覧20220831!$A$2:$K$200,7,FALSE),"")</f>
        <v/>
      </c>
      <c r="O425" s="367"/>
      <c r="P425" s="368"/>
      <c r="Q425" s="245"/>
      <c r="R425" s="366" t="str">
        <f>IFERROR(VLOOKUP($F425,補助対象機器一覧20220831!$A$2:$K$200,8,FALSE),"")</f>
        <v/>
      </c>
      <c r="S425" s="367"/>
      <c r="T425" s="368"/>
      <c r="U425" s="245"/>
      <c r="V425" s="244" t="str">
        <f>IFERROR(VLOOKUP($F425,補助対象機器一覧20220831!$A$2:$K$200,9,FALSE),"")</f>
        <v/>
      </c>
      <c r="W425" s="46"/>
      <c r="X425" s="402" t="str">
        <f>IF($B425&lt;=入力シート!$F$85,""&amp;中間シート!X581,"")</f>
        <v/>
      </c>
      <c r="Y425" s="402"/>
      <c r="Z425" s="402"/>
      <c r="AA425" s="402"/>
      <c r="AB425" s="402"/>
      <c r="AC425" s="402"/>
      <c r="AD425" s="402"/>
      <c r="AE425" s="402"/>
      <c r="AF425" s="402"/>
      <c r="AG425" s="402"/>
      <c r="AH425" s="402"/>
      <c r="AI425" s="402"/>
      <c r="AJ425" s="402"/>
      <c r="AK425" s="402"/>
      <c r="AL425" s="402"/>
      <c r="AM425" s="402"/>
      <c r="AN425" s="402"/>
      <c r="AO425" s="402"/>
      <c r="AP425" s="41"/>
      <c r="AQ425" s="81">
        <f>IF(J425&lt;&gt;"",1,IF(H425="なし",2,0))</f>
        <v>0</v>
      </c>
      <c r="AR425" s="86"/>
      <c r="AS425" s="86"/>
    </row>
    <row r="426" spans="2:45" ht="5.0999999999999996" customHeight="1" thickBot="1" x14ac:dyDescent="0.2">
      <c r="C426" s="46"/>
      <c r="D426" s="46"/>
      <c r="E426" s="48"/>
      <c r="F426" s="246"/>
      <c r="G426" s="47"/>
      <c r="H426" s="47"/>
      <c r="I426" s="255"/>
      <c r="J426" s="246"/>
      <c r="K426" s="246"/>
      <c r="L426" s="246"/>
      <c r="M426" s="245"/>
      <c r="N426" s="246"/>
      <c r="O426" s="246"/>
      <c r="P426" s="246"/>
      <c r="Q426" s="245"/>
      <c r="R426" s="246"/>
      <c r="S426" s="246"/>
      <c r="T426" s="246"/>
      <c r="U426" s="245"/>
      <c r="V426" s="246"/>
      <c r="W426" s="46"/>
      <c r="X426" s="402"/>
      <c r="Y426" s="402"/>
      <c r="Z426" s="402"/>
      <c r="AA426" s="402"/>
      <c r="AB426" s="402"/>
      <c r="AC426" s="402"/>
      <c r="AD426" s="402"/>
      <c r="AE426" s="402"/>
      <c r="AF426" s="402"/>
      <c r="AG426" s="402"/>
      <c r="AH426" s="402"/>
      <c r="AI426" s="402"/>
      <c r="AJ426" s="402"/>
      <c r="AK426" s="402"/>
      <c r="AL426" s="402"/>
      <c r="AM426" s="402"/>
      <c r="AN426" s="402"/>
      <c r="AO426" s="402"/>
      <c r="AP426" s="41"/>
      <c r="AQ426" s="86"/>
      <c r="AR426" s="86"/>
      <c r="AS426" s="86"/>
    </row>
    <row r="427" spans="2:45" ht="18" customHeight="1" thickBot="1" x14ac:dyDescent="0.2">
      <c r="B427" s="42">
        <v>23</v>
      </c>
      <c r="C427" s="46"/>
      <c r="D427" s="46"/>
      <c r="E427" s="48"/>
      <c r="F427" s="246"/>
      <c r="G427" s="47"/>
      <c r="H427" s="47"/>
      <c r="I427" s="261" t="str">
        <f>IF(AQ425=2,"入力してください→",IF(AQ425=1,"入力不要です→",""))</f>
        <v/>
      </c>
      <c r="J427" s="387"/>
      <c r="K427" s="388"/>
      <c r="L427" s="389"/>
      <c r="M427" s="245"/>
      <c r="N427" s="387"/>
      <c r="O427" s="388"/>
      <c r="P427" s="389"/>
      <c r="Q427" s="245"/>
      <c r="R427" s="387"/>
      <c r="S427" s="388"/>
      <c r="T427" s="389"/>
      <c r="U427" s="245"/>
      <c r="V427" s="249"/>
      <c r="W427" s="46"/>
      <c r="X427" s="402"/>
      <c r="Y427" s="402"/>
      <c r="Z427" s="402"/>
      <c r="AA427" s="402"/>
      <c r="AB427" s="402"/>
      <c r="AC427" s="402"/>
      <c r="AD427" s="402"/>
      <c r="AE427" s="402"/>
      <c r="AF427" s="402"/>
      <c r="AG427" s="402"/>
      <c r="AH427" s="402"/>
      <c r="AI427" s="402"/>
      <c r="AJ427" s="402"/>
      <c r="AK427" s="402"/>
      <c r="AL427" s="402"/>
      <c r="AM427" s="402"/>
      <c r="AN427" s="402"/>
      <c r="AO427" s="402"/>
      <c r="AP427" s="41"/>
      <c r="AQ427" s="86"/>
      <c r="AR427" s="86"/>
      <c r="AS427" s="86"/>
    </row>
    <row r="428" spans="2:45" ht="5.0999999999999996" customHeight="1" thickBot="1" x14ac:dyDescent="0.2">
      <c r="C428" s="46"/>
      <c r="D428" s="46"/>
      <c r="E428" s="48"/>
      <c r="F428" s="246"/>
      <c r="G428" s="47"/>
      <c r="H428" s="47"/>
      <c r="I428" s="255"/>
      <c r="J428" s="246"/>
      <c r="K428" s="246"/>
      <c r="L428" s="246"/>
      <c r="M428" s="245"/>
      <c r="N428" s="246"/>
      <c r="O428" s="246"/>
      <c r="P428" s="246"/>
      <c r="Q428" s="245"/>
      <c r="R428" s="246"/>
      <c r="S428" s="246"/>
      <c r="T428" s="246"/>
      <c r="U428" s="245"/>
      <c r="V428" s="246"/>
      <c r="W428" s="46"/>
      <c r="X428" s="296" t="s">
        <v>212</v>
      </c>
      <c r="Y428" s="296"/>
      <c r="Z428" s="296"/>
      <c r="AA428" s="296"/>
      <c r="AB428" s="296"/>
      <c r="AC428" s="296"/>
      <c r="AD428" s="296"/>
      <c r="AE428" s="296"/>
      <c r="AF428" s="296"/>
      <c r="AG428" s="296"/>
      <c r="AH428" s="296"/>
      <c r="AI428" s="296"/>
      <c r="AJ428" s="296"/>
      <c r="AK428" s="296"/>
      <c r="AL428" s="296"/>
      <c r="AM428" s="296"/>
      <c r="AN428" s="296"/>
      <c r="AO428" s="296"/>
      <c r="AP428" s="41"/>
      <c r="AQ428" s="86"/>
      <c r="AR428" s="86"/>
      <c r="AS428" s="86"/>
    </row>
    <row r="429" spans="2:45" ht="18" customHeight="1" thickBot="1" x14ac:dyDescent="0.2">
      <c r="B429" s="42">
        <v>23</v>
      </c>
      <c r="C429" s="46"/>
      <c r="D429" s="46"/>
      <c r="E429" s="48" t="s">
        <v>74</v>
      </c>
      <c r="F429" s="80"/>
      <c r="G429" s="47"/>
      <c r="H429" s="109"/>
      <c r="I429" s="255"/>
      <c r="J429" s="366" t="str">
        <f>IFERROR(VLOOKUP($F429,補助対象機器一覧20220831!$A$2:$K$200,2,FALSE),"")</f>
        <v/>
      </c>
      <c r="K429" s="367"/>
      <c r="L429" s="368"/>
      <c r="M429" s="245"/>
      <c r="N429" s="366" t="str">
        <f>IFERROR(VLOOKUP($F429,補助対象機器一覧20220831!$A$2:$K$200,7,FALSE),"")</f>
        <v/>
      </c>
      <c r="O429" s="367"/>
      <c r="P429" s="368"/>
      <c r="Q429" s="245"/>
      <c r="R429" s="366" t="str">
        <f>IFERROR(VLOOKUP($F429,補助対象機器一覧20220831!$A$2:$K$200,8,FALSE),"")</f>
        <v/>
      </c>
      <c r="S429" s="367"/>
      <c r="T429" s="368"/>
      <c r="U429" s="245"/>
      <c r="V429" s="244" t="str">
        <f>IFERROR(VLOOKUP($F429,補助対象機器一覧20220831!$A$2:$K$200,9,FALSE),"")</f>
        <v/>
      </c>
      <c r="W429" s="46"/>
      <c r="X429" s="402" t="str">
        <f>IF($B429&lt;=入力シート!$F$85,""&amp;中間シート!X582,"")</f>
        <v/>
      </c>
      <c r="Y429" s="402"/>
      <c r="Z429" s="402"/>
      <c r="AA429" s="402"/>
      <c r="AB429" s="402"/>
      <c r="AC429" s="402"/>
      <c r="AD429" s="402"/>
      <c r="AE429" s="402"/>
      <c r="AF429" s="402"/>
      <c r="AG429" s="402"/>
      <c r="AH429" s="402"/>
      <c r="AI429" s="402"/>
      <c r="AJ429" s="402"/>
      <c r="AK429" s="402"/>
      <c r="AL429" s="402"/>
      <c r="AM429" s="402"/>
      <c r="AN429" s="402"/>
      <c r="AO429" s="402"/>
      <c r="AP429" s="41"/>
      <c r="AQ429" s="81">
        <f>IF(J429&lt;&gt;"",1,IF(H429="なし",2,0))</f>
        <v>0</v>
      </c>
      <c r="AR429" s="86"/>
      <c r="AS429" s="86"/>
    </row>
    <row r="430" spans="2:45" ht="5.0999999999999996" customHeight="1" thickBot="1" x14ac:dyDescent="0.2">
      <c r="C430" s="46"/>
      <c r="D430" s="46"/>
      <c r="E430" s="48"/>
      <c r="F430" s="246"/>
      <c r="G430" s="47"/>
      <c r="H430" s="47"/>
      <c r="I430" s="255"/>
      <c r="J430" s="246"/>
      <c r="K430" s="246"/>
      <c r="L430" s="246"/>
      <c r="M430" s="245"/>
      <c r="N430" s="246"/>
      <c r="O430" s="246"/>
      <c r="P430" s="246"/>
      <c r="Q430" s="245"/>
      <c r="R430" s="246"/>
      <c r="S430" s="246"/>
      <c r="T430" s="246"/>
      <c r="U430" s="245"/>
      <c r="V430" s="246"/>
      <c r="W430" s="46"/>
      <c r="X430" s="402"/>
      <c r="Y430" s="402"/>
      <c r="Z430" s="402"/>
      <c r="AA430" s="402"/>
      <c r="AB430" s="402"/>
      <c r="AC430" s="402"/>
      <c r="AD430" s="402"/>
      <c r="AE430" s="402"/>
      <c r="AF430" s="402"/>
      <c r="AG430" s="402"/>
      <c r="AH430" s="402"/>
      <c r="AI430" s="402"/>
      <c r="AJ430" s="402"/>
      <c r="AK430" s="402"/>
      <c r="AL430" s="402"/>
      <c r="AM430" s="402"/>
      <c r="AN430" s="402"/>
      <c r="AO430" s="402"/>
      <c r="AP430" s="41"/>
      <c r="AQ430" s="86"/>
      <c r="AR430" s="86"/>
      <c r="AS430" s="86"/>
    </row>
    <row r="431" spans="2:45" ht="18" customHeight="1" thickBot="1" x14ac:dyDescent="0.2">
      <c r="B431" s="42">
        <v>23</v>
      </c>
      <c r="C431" s="46"/>
      <c r="D431" s="46"/>
      <c r="E431" s="47"/>
      <c r="F431" s="246"/>
      <c r="G431" s="47"/>
      <c r="H431" s="47"/>
      <c r="I431" s="261" t="str">
        <f>IF(AQ429=2,"入力してください→",IF(AQ429=1,"入力不要です→",""))</f>
        <v/>
      </c>
      <c r="J431" s="387"/>
      <c r="K431" s="388"/>
      <c r="L431" s="389"/>
      <c r="M431" s="245"/>
      <c r="N431" s="387"/>
      <c r="O431" s="388"/>
      <c r="P431" s="389"/>
      <c r="Q431" s="245"/>
      <c r="R431" s="387"/>
      <c r="S431" s="388"/>
      <c r="T431" s="389"/>
      <c r="U431" s="245"/>
      <c r="V431" s="249"/>
      <c r="W431" s="46"/>
      <c r="X431" s="402"/>
      <c r="Y431" s="402"/>
      <c r="Z431" s="402"/>
      <c r="AA431" s="402"/>
      <c r="AB431" s="402"/>
      <c r="AC431" s="402"/>
      <c r="AD431" s="402"/>
      <c r="AE431" s="402"/>
      <c r="AF431" s="402"/>
      <c r="AG431" s="402"/>
      <c r="AH431" s="402"/>
      <c r="AI431" s="402"/>
      <c r="AJ431" s="402"/>
      <c r="AK431" s="402"/>
      <c r="AL431" s="402"/>
      <c r="AM431" s="402"/>
      <c r="AN431" s="402"/>
      <c r="AO431" s="402"/>
      <c r="AP431" s="41"/>
      <c r="AQ431" s="86"/>
      <c r="AR431" s="86"/>
      <c r="AS431" s="86"/>
    </row>
    <row r="432" spans="2:45" x14ac:dyDescent="0.15">
      <c r="C432" s="46"/>
      <c r="D432" s="46"/>
      <c r="E432" s="47"/>
      <c r="F432" s="246"/>
      <c r="G432" s="47"/>
      <c r="H432" s="47"/>
      <c r="I432" s="257"/>
      <c r="J432" s="245"/>
      <c r="K432" s="245"/>
      <c r="L432" s="245"/>
      <c r="M432" s="245"/>
      <c r="N432" s="245"/>
      <c r="O432" s="245"/>
      <c r="P432" s="245"/>
      <c r="Q432" s="245"/>
      <c r="R432" s="245"/>
      <c r="S432" s="245"/>
      <c r="T432" s="245"/>
      <c r="U432" s="245"/>
      <c r="V432" s="245"/>
      <c r="W432" s="46"/>
      <c r="X432" s="296" t="s">
        <v>212</v>
      </c>
      <c r="Y432" s="296"/>
      <c r="Z432" s="296"/>
      <c r="AA432" s="296"/>
      <c r="AB432" s="296"/>
      <c r="AC432" s="296"/>
      <c r="AD432" s="296"/>
      <c r="AE432" s="296"/>
      <c r="AF432" s="296"/>
      <c r="AG432" s="296"/>
      <c r="AH432" s="296"/>
      <c r="AI432" s="296"/>
      <c r="AJ432" s="296"/>
      <c r="AK432" s="296"/>
      <c r="AL432" s="296"/>
      <c r="AM432" s="296"/>
      <c r="AN432" s="296"/>
      <c r="AO432" s="296"/>
      <c r="AQ432" s="86"/>
      <c r="AR432" s="86"/>
      <c r="AS432" s="86"/>
    </row>
    <row r="433" spans="2:45" ht="14.25" thickBot="1" x14ac:dyDescent="0.2">
      <c r="C433" s="86"/>
      <c r="D433" s="86"/>
      <c r="E433" s="93"/>
      <c r="F433" s="247"/>
      <c r="G433" s="93"/>
      <c r="H433" s="93"/>
      <c r="I433" s="258"/>
      <c r="J433" s="248"/>
      <c r="K433" s="248"/>
      <c r="L433" s="248"/>
      <c r="M433" s="248"/>
      <c r="N433" s="248"/>
      <c r="O433" s="248"/>
      <c r="P433" s="248"/>
      <c r="Q433" s="248"/>
      <c r="R433" s="248"/>
      <c r="S433" s="248"/>
      <c r="T433" s="248"/>
      <c r="U433" s="248"/>
      <c r="V433" s="248"/>
      <c r="W433" s="86"/>
      <c r="X433" s="296" t="s">
        <v>212</v>
      </c>
      <c r="Y433" s="296"/>
      <c r="Z433" s="296"/>
      <c r="AA433" s="296"/>
      <c r="AB433" s="296"/>
      <c r="AC433" s="296"/>
      <c r="AD433" s="296"/>
      <c r="AE433" s="296"/>
      <c r="AF433" s="296"/>
      <c r="AG433" s="296"/>
      <c r="AH433" s="296"/>
      <c r="AI433" s="296"/>
      <c r="AJ433" s="296"/>
      <c r="AK433" s="296"/>
      <c r="AL433" s="296"/>
      <c r="AM433" s="296"/>
      <c r="AN433" s="296"/>
      <c r="AO433" s="296"/>
      <c r="AQ433" s="86"/>
      <c r="AR433" s="86"/>
      <c r="AS433" s="86"/>
    </row>
    <row r="434" spans="2:45" ht="18" customHeight="1" thickBot="1" x14ac:dyDescent="0.2">
      <c r="B434" s="42">
        <v>24</v>
      </c>
      <c r="C434" s="86"/>
      <c r="D434" s="94" t="s">
        <v>179</v>
      </c>
      <c r="E434" s="95" t="s">
        <v>72</v>
      </c>
      <c r="F434" s="80"/>
      <c r="G434" s="86"/>
      <c r="H434" s="80"/>
      <c r="I434" s="259"/>
      <c r="J434" s="366" t="str">
        <f>IFERROR(VLOOKUP($F434,補助対象機器一覧20220831!$A$2:$K$200,2,FALSE),"")</f>
        <v/>
      </c>
      <c r="K434" s="367"/>
      <c r="L434" s="368"/>
      <c r="M434" s="248"/>
      <c r="N434" s="366" t="str">
        <f>IFERROR(VLOOKUP($F434,補助対象機器一覧20220831!$A$2:$K$200,7,FALSE),"")</f>
        <v/>
      </c>
      <c r="O434" s="367"/>
      <c r="P434" s="368"/>
      <c r="Q434" s="248"/>
      <c r="R434" s="366" t="str">
        <f>IFERROR(VLOOKUP($F434,補助対象機器一覧20220831!$A$2:$K$200,8,FALSE),"")</f>
        <v/>
      </c>
      <c r="S434" s="367"/>
      <c r="T434" s="368"/>
      <c r="U434" s="248"/>
      <c r="V434" s="244" t="str">
        <f>IFERROR(VLOOKUP($F434,補助対象機器一覧20220831!$A$2:$K$200,9,FALSE),"")</f>
        <v/>
      </c>
      <c r="W434" s="86"/>
      <c r="X434" s="402" t="str">
        <f>IF($B434&lt;=入力シート!$F$85,""&amp;中間シート!X583,"")</f>
        <v/>
      </c>
      <c r="Y434" s="402"/>
      <c r="Z434" s="402"/>
      <c r="AA434" s="402"/>
      <c r="AB434" s="402"/>
      <c r="AC434" s="402"/>
      <c r="AD434" s="402"/>
      <c r="AE434" s="402"/>
      <c r="AF434" s="402"/>
      <c r="AG434" s="402"/>
      <c r="AH434" s="402"/>
      <c r="AI434" s="402"/>
      <c r="AJ434" s="402"/>
      <c r="AK434" s="402"/>
      <c r="AL434" s="402"/>
      <c r="AM434" s="402"/>
      <c r="AN434" s="402"/>
      <c r="AO434" s="402"/>
      <c r="AQ434" s="81">
        <f>IF(J434&lt;&gt;"",1,IF(H434="なし",2,0))</f>
        <v>0</v>
      </c>
      <c r="AR434" s="86"/>
      <c r="AS434" s="86"/>
    </row>
    <row r="435" spans="2:45" ht="5.0999999999999996" customHeight="1" thickBot="1" x14ac:dyDescent="0.2">
      <c r="C435" s="86"/>
      <c r="D435" s="94"/>
      <c r="E435" s="95"/>
      <c r="F435" s="248"/>
      <c r="G435" s="86"/>
      <c r="H435" s="86"/>
      <c r="I435" s="259"/>
      <c r="J435" s="248"/>
      <c r="K435" s="248"/>
      <c r="L435" s="248"/>
      <c r="M435" s="248"/>
      <c r="N435" s="248"/>
      <c r="O435" s="248"/>
      <c r="P435" s="248"/>
      <c r="Q435" s="248"/>
      <c r="R435" s="248"/>
      <c r="S435" s="248"/>
      <c r="T435" s="248"/>
      <c r="U435" s="248"/>
      <c r="V435" s="248"/>
      <c r="W435" s="86"/>
      <c r="X435" s="402"/>
      <c r="Y435" s="402"/>
      <c r="Z435" s="402"/>
      <c r="AA435" s="402"/>
      <c r="AB435" s="402"/>
      <c r="AC435" s="402"/>
      <c r="AD435" s="402"/>
      <c r="AE435" s="402"/>
      <c r="AF435" s="402"/>
      <c r="AG435" s="402"/>
      <c r="AH435" s="402"/>
      <c r="AI435" s="402"/>
      <c r="AJ435" s="402"/>
      <c r="AK435" s="402"/>
      <c r="AL435" s="402"/>
      <c r="AM435" s="402"/>
      <c r="AN435" s="402"/>
      <c r="AO435" s="402"/>
      <c r="AP435" s="41"/>
      <c r="AQ435" s="86"/>
      <c r="AR435" s="86"/>
      <c r="AS435" s="86"/>
    </row>
    <row r="436" spans="2:45" ht="18" customHeight="1" thickBot="1" x14ac:dyDescent="0.2">
      <c r="B436" s="42">
        <v>24</v>
      </c>
      <c r="C436" s="86"/>
      <c r="D436" s="94"/>
      <c r="E436" s="95"/>
      <c r="F436" s="247"/>
      <c r="G436" s="86"/>
      <c r="H436" s="86"/>
      <c r="I436" s="260" t="str">
        <f>IF(AQ434=2,"入力してください→",IF(AQ434=1,"入力不要です→",""))</f>
        <v/>
      </c>
      <c r="J436" s="387"/>
      <c r="K436" s="388"/>
      <c r="L436" s="389"/>
      <c r="M436" s="248"/>
      <c r="N436" s="387"/>
      <c r="O436" s="388"/>
      <c r="P436" s="389"/>
      <c r="Q436" s="248"/>
      <c r="R436" s="387"/>
      <c r="S436" s="388"/>
      <c r="T436" s="389"/>
      <c r="U436" s="248"/>
      <c r="V436" s="249"/>
      <c r="W436" s="86"/>
      <c r="X436" s="402"/>
      <c r="Y436" s="402"/>
      <c r="Z436" s="402"/>
      <c r="AA436" s="402"/>
      <c r="AB436" s="402"/>
      <c r="AC436" s="402"/>
      <c r="AD436" s="402"/>
      <c r="AE436" s="402"/>
      <c r="AF436" s="402"/>
      <c r="AG436" s="402"/>
      <c r="AH436" s="402"/>
      <c r="AI436" s="402"/>
      <c r="AJ436" s="402"/>
      <c r="AK436" s="402"/>
      <c r="AL436" s="402"/>
      <c r="AM436" s="402"/>
      <c r="AN436" s="402"/>
      <c r="AO436" s="402"/>
      <c r="AP436" s="41"/>
      <c r="AQ436" s="86"/>
      <c r="AR436" s="86"/>
      <c r="AS436" s="86"/>
    </row>
    <row r="437" spans="2:45" ht="5.0999999999999996" customHeight="1" thickBot="1" x14ac:dyDescent="0.2">
      <c r="C437" s="86"/>
      <c r="D437" s="86"/>
      <c r="E437" s="93"/>
      <c r="F437" s="248"/>
      <c r="G437" s="93"/>
      <c r="H437" s="93"/>
      <c r="I437" s="259"/>
      <c r="J437" s="248"/>
      <c r="K437" s="248"/>
      <c r="L437" s="248"/>
      <c r="M437" s="248"/>
      <c r="N437" s="248"/>
      <c r="O437" s="248"/>
      <c r="P437" s="248"/>
      <c r="Q437" s="248"/>
      <c r="R437" s="248"/>
      <c r="S437" s="248"/>
      <c r="T437" s="248"/>
      <c r="U437" s="248"/>
      <c r="V437" s="248"/>
      <c r="W437" s="86"/>
      <c r="X437" s="296" t="s">
        <v>212</v>
      </c>
      <c r="Y437" s="296"/>
      <c r="Z437" s="296"/>
      <c r="AA437" s="296"/>
      <c r="AB437" s="296"/>
      <c r="AC437" s="296"/>
      <c r="AD437" s="296"/>
      <c r="AE437" s="296"/>
      <c r="AF437" s="296"/>
      <c r="AG437" s="296"/>
      <c r="AH437" s="296"/>
      <c r="AI437" s="296"/>
      <c r="AJ437" s="296"/>
      <c r="AK437" s="296"/>
      <c r="AL437" s="296"/>
      <c r="AM437" s="296"/>
      <c r="AN437" s="296"/>
      <c r="AO437" s="296"/>
      <c r="AP437" s="41"/>
      <c r="AQ437" s="86"/>
      <c r="AR437" s="86"/>
      <c r="AS437" s="86"/>
    </row>
    <row r="438" spans="2:45" ht="18" customHeight="1" thickBot="1" x14ac:dyDescent="0.2">
      <c r="B438" s="42">
        <v>24</v>
      </c>
      <c r="C438" s="86"/>
      <c r="D438" s="86"/>
      <c r="E438" s="95" t="s">
        <v>73</v>
      </c>
      <c r="F438" s="80"/>
      <c r="G438" s="93"/>
      <c r="H438" s="80"/>
      <c r="I438" s="259"/>
      <c r="J438" s="366" t="str">
        <f>IFERROR(VLOOKUP($F438,補助対象機器一覧20220831!$A$2:$K$200,2,FALSE),"")</f>
        <v/>
      </c>
      <c r="K438" s="367"/>
      <c r="L438" s="368"/>
      <c r="M438" s="248"/>
      <c r="N438" s="366" t="str">
        <f>IFERROR(VLOOKUP($F438,補助対象機器一覧20220831!$A$2:$K$200,7,FALSE),"")</f>
        <v/>
      </c>
      <c r="O438" s="367"/>
      <c r="P438" s="368"/>
      <c r="Q438" s="248"/>
      <c r="R438" s="366" t="str">
        <f>IFERROR(VLOOKUP($F438,補助対象機器一覧20220831!$A$2:$K$200,8,FALSE),"")</f>
        <v/>
      </c>
      <c r="S438" s="367"/>
      <c r="T438" s="368"/>
      <c r="U438" s="248"/>
      <c r="V438" s="244" t="str">
        <f>IFERROR(VLOOKUP($F438,補助対象機器一覧20220831!$A$2:$K$200,9,FALSE),"")</f>
        <v/>
      </c>
      <c r="W438" s="86"/>
      <c r="X438" s="402" t="str">
        <f>IF($B438&lt;=入力シート!$F$85,""&amp;中間シート!X584,"")</f>
        <v/>
      </c>
      <c r="Y438" s="402"/>
      <c r="Z438" s="402"/>
      <c r="AA438" s="402"/>
      <c r="AB438" s="402"/>
      <c r="AC438" s="402"/>
      <c r="AD438" s="402"/>
      <c r="AE438" s="402"/>
      <c r="AF438" s="402"/>
      <c r="AG438" s="402"/>
      <c r="AH438" s="402"/>
      <c r="AI438" s="402"/>
      <c r="AJ438" s="402"/>
      <c r="AK438" s="402"/>
      <c r="AL438" s="402"/>
      <c r="AM438" s="402"/>
      <c r="AN438" s="402"/>
      <c r="AO438" s="402"/>
      <c r="AP438" s="41"/>
      <c r="AQ438" s="81">
        <f>IF(J438&lt;&gt;"",1,IF(H438="なし",2,0))</f>
        <v>0</v>
      </c>
      <c r="AR438" s="86"/>
      <c r="AS438" s="86"/>
    </row>
    <row r="439" spans="2:45" ht="5.0999999999999996" customHeight="1" thickBot="1" x14ac:dyDescent="0.2">
      <c r="C439" s="86"/>
      <c r="D439" s="86"/>
      <c r="E439" s="95"/>
      <c r="F439" s="247"/>
      <c r="G439" s="93"/>
      <c r="H439" s="93"/>
      <c r="I439" s="259"/>
      <c r="J439" s="247"/>
      <c r="K439" s="247"/>
      <c r="L439" s="247"/>
      <c r="M439" s="248"/>
      <c r="N439" s="247"/>
      <c r="O439" s="247"/>
      <c r="P439" s="247"/>
      <c r="Q439" s="248"/>
      <c r="R439" s="247"/>
      <c r="S439" s="247"/>
      <c r="T439" s="247"/>
      <c r="U439" s="248"/>
      <c r="V439" s="247"/>
      <c r="W439" s="86"/>
      <c r="X439" s="402"/>
      <c r="Y439" s="402"/>
      <c r="Z439" s="402"/>
      <c r="AA439" s="402"/>
      <c r="AB439" s="402"/>
      <c r="AC439" s="402"/>
      <c r="AD439" s="402"/>
      <c r="AE439" s="402"/>
      <c r="AF439" s="402"/>
      <c r="AG439" s="402"/>
      <c r="AH439" s="402"/>
      <c r="AI439" s="402"/>
      <c r="AJ439" s="402"/>
      <c r="AK439" s="402"/>
      <c r="AL439" s="402"/>
      <c r="AM439" s="402"/>
      <c r="AN439" s="402"/>
      <c r="AO439" s="402"/>
      <c r="AP439" s="41"/>
      <c r="AQ439" s="86"/>
      <c r="AR439" s="86"/>
      <c r="AS439" s="86"/>
    </row>
    <row r="440" spans="2:45" ht="18" customHeight="1" thickBot="1" x14ac:dyDescent="0.2">
      <c r="B440" s="42">
        <v>24</v>
      </c>
      <c r="C440" s="86"/>
      <c r="D440" s="86"/>
      <c r="E440" s="95"/>
      <c r="F440" s="247"/>
      <c r="G440" s="93"/>
      <c r="H440" s="93"/>
      <c r="I440" s="260" t="str">
        <f>IF(AQ438=2,"入力してください→",IF(AQ438=1,"入力不要です→",""))</f>
        <v/>
      </c>
      <c r="J440" s="387"/>
      <c r="K440" s="388"/>
      <c r="L440" s="389"/>
      <c r="M440" s="248"/>
      <c r="N440" s="387"/>
      <c r="O440" s="388"/>
      <c r="P440" s="389"/>
      <c r="Q440" s="248"/>
      <c r="R440" s="387"/>
      <c r="S440" s="388"/>
      <c r="T440" s="389"/>
      <c r="U440" s="248"/>
      <c r="V440" s="249"/>
      <c r="W440" s="86"/>
      <c r="X440" s="402"/>
      <c r="Y440" s="402"/>
      <c r="Z440" s="402"/>
      <c r="AA440" s="402"/>
      <c r="AB440" s="402"/>
      <c r="AC440" s="402"/>
      <c r="AD440" s="402"/>
      <c r="AE440" s="402"/>
      <c r="AF440" s="402"/>
      <c r="AG440" s="402"/>
      <c r="AH440" s="402"/>
      <c r="AI440" s="402"/>
      <c r="AJ440" s="402"/>
      <c r="AK440" s="402"/>
      <c r="AL440" s="402"/>
      <c r="AM440" s="402"/>
      <c r="AN440" s="402"/>
      <c r="AO440" s="402"/>
      <c r="AP440" s="41"/>
      <c r="AQ440" s="86"/>
      <c r="AR440" s="86"/>
      <c r="AS440" s="86"/>
    </row>
    <row r="441" spans="2:45" ht="5.0999999999999996" customHeight="1" thickBot="1" x14ac:dyDescent="0.2">
      <c r="C441" s="86"/>
      <c r="D441" s="86"/>
      <c r="E441" s="95"/>
      <c r="F441" s="247"/>
      <c r="G441" s="93"/>
      <c r="H441" s="93"/>
      <c r="I441" s="259"/>
      <c r="J441" s="247"/>
      <c r="K441" s="247"/>
      <c r="L441" s="247"/>
      <c r="M441" s="248"/>
      <c r="N441" s="247"/>
      <c r="O441" s="247"/>
      <c r="P441" s="247"/>
      <c r="Q441" s="248"/>
      <c r="R441" s="247"/>
      <c r="S441" s="247"/>
      <c r="T441" s="247"/>
      <c r="U441" s="248"/>
      <c r="V441" s="247"/>
      <c r="W441" s="86"/>
      <c r="X441" s="296" t="s">
        <v>212</v>
      </c>
      <c r="Y441" s="296"/>
      <c r="Z441" s="296"/>
      <c r="AA441" s="296"/>
      <c r="AB441" s="296"/>
      <c r="AC441" s="296"/>
      <c r="AD441" s="296"/>
      <c r="AE441" s="296"/>
      <c r="AF441" s="296"/>
      <c r="AG441" s="296"/>
      <c r="AH441" s="296"/>
      <c r="AI441" s="296"/>
      <c r="AJ441" s="296"/>
      <c r="AK441" s="296"/>
      <c r="AL441" s="296"/>
      <c r="AM441" s="296"/>
      <c r="AN441" s="296"/>
      <c r="AO441" s="296"/>
      <c r="AP441" s="41"/>
      <c r="AQ441" s="86"/>
      <c r="AR441" s="86"/>
      <c r="AS441" s="86"/>
    </row>
    <row r="442" spans="2:45" ht="18" customHeight="1" thickBot="1" x14ac:dyDescent="0.2">
      <c r="B442" s="42">
        <v>24</v>
      </c>
      <c r="C442" s="86"/>
      <c r="D442" s="86"/>
      <c r="E442" s="95" t="s">
        <v>74</v>
      </c>
      <c r="F442" s="80"/>
      <c r="G442" s="93"/>
      <c r="H442" s="80"/>
      <c r="I442" s="259"/>
      <c r="J442" s="366" t="str">
        <f>IFERROR(VLOOKUP($F442,補助対象機器一覧20220831!$A$2:$K$200,2,FALSE),"")</f>
        <v/>
      </c>
      <c r="K442" s="367"/>
      <c r="L442" s="368"/>
      <c r="M442" s="248"/>
      <c r="N442" s="366" t="str">
        <f>IFERROR(VLOOKUP($F442,補助対象機器一覧20220831!$A$2:$K$200,7,FALSE),"")</f>
        <v/>
      </c>
      <c r="O442" s="367"/>
      <c r="P442" s="368"/>
      <c r="Q442" s="248"/>
      <c r="R442" s="366" t="str">
        <f>IFERROR(VLOOKUP($F442,補助対象機器一覧20220831!$A$2:$K$200,8,FALSE),"")</f>
        <v/>
      </c>
      <c r="S442" s="367"/>
      <c r="T442" s="368"/>
      <c r="U442" s="248"/>
      <c r="V442" s="244" t="str">
        <f>IFERROR(VLOOKUP($F442,補助対象機器一覧20220831!$A$2:$K$200,9,FALSE),"")</f>
        <v/>
      </c>
      <c r="W442" s="86"/>
      <c r="X442" s="402" t="str">
        <f>IF($B442&lt;=入力シート!$F$85,""&amp;中間シート!X585,"")</f>
        <v/>
      </c>
      <c r="Y442" s="402"/>
      <c r="Z442" s="402"/>
      <c r="AA442" s="402"/>
      <c r="AB442" s="402"/>
      <c r="AC442" s="402"/>
      <c r="AD442" s="402"/>
      <c r="AE442" s="402"/>
      <c r="AF442" s="402"/>
      <c r="AG442" s="402"/>
      <c r="AH442" s="402"/>
      <c r="AI442" s="402"/>
      <c r="AJ442" s="402"/>
      <c r="AK442" s="402"/>
      <c r="AL442" s="402"/>
      <c r="AM442" s="402"/>
      <c r="AN442" s="402"/>
      <c r="AO442" s="402"/>
      <c r="AP442" s="41"/>
      <c r="AQ442" s="81">
        <f>IF(J442&lt;&gt;"",1,IF(H442="なし",2,0))</f>
        <v>0</v>
      </c>
      <c r="AR442" s="86"/>
      <c r="AS442" s="86"/>
    </row>
    <row r="443" spans="2:45" ht="5.0999999999999996" customHeight="1" thickBot="1" x14ac:dyDescent="0.2">
      <c r="C443" s="86"/>
      <c r="D443" s="86"/>
      <c r="E443" s="95"/>
      <c r="F443" s="247"/>
      <c r="G443" s="93"/>
      <c r="H443" s="93"/>
      <c r="I443" s="259"/>
      <c r="J443" s="247"/>
      <c r="K443" s="247"/>
      <c r="L443" s="247"/>
      <c r="M443" s="248"/>
      <c r="N443" s="247"/>
      <c r="O443" s="247"/>
      <c r="P443" s="247"/>
      <c r="Q443" s="248"/>
      <c r="R443" s="247"/>
      <c r="S443" s="247"/>
      <c r="T443" s="247"/>
      <c r="U443" s="248"/>
      <c r="V443" s="247"/>
      <c r="W443" s="86"/>
      <c r="X443" s="402"/>
      <c r="Y443" s="402"/>
      <c r="Z443" s="402"/>
      <c r="AA443" s="402"/>
      <c r="AB443" s="402"/>
      <c r="AC443" s="402"/>
      <c r="AD443" s="402"/>
      <c r="AE443" s="402"/>
      <c r="AF443" s="402"/>
      <c r="AG443" s="402"/>
      <c r="AH443" s="402"/>
      <c r="AI443" s="402"/>
      <c r="AJ443" s="402"/>
      <c r="AK443" s="402"/>
      <c r="AL443" s="402"/>
      <c r="AM443" s="402"/>
      <c r="AN443" s="402"/>
      <c r="AO443" s="402"/>
      <c r="AP443" s="41"/>
      <c r="AQ443" s="86"/>
      <c r="AR443" s="86"/>
      <c r="AS443" s="86"/>
    </row>
    <row r="444" spans="2:45" ht="18" customHeight="1" thickBot="1" x14ac:dyDescent="0.2">
      <c r="B444" s="42">
        <v>24</v>
      </c>
      <c r="C444" s="86"/>
      <c r="D444" s="86"/>
      <c r="E444" s="93"/>
      <c r="F444" s="247"/>
      <c r="G444" s="93"/>
      <c r="H444" s="93"/>
      <c r="I444" s="260" t="str">
        <f>IF(AQ442=2,"入力してください→",IF(AQ442=1,"入力不要です→",""))</f>
        <v/>
      </c>
      <c r="J444" s="387"/>
      <c r="K444" s="388"/>
      <c r="L444" s="389"/>
      <c r="M444" s="248"/>
      <c r="N444" s="387"/>
      <c r="O444" s="388"/>
      <c r="P444" s="389"/>
      <c r="Q444" s="248"/>
      <c r="R444" s="387"/>
      <c r="S444" s="388"/>
      <c r="T444" s="389"/>
      <c r="U444" s="248"/>
      <c r="V444" s="249"/>
      <c r="W444" s="86"/>
      <c r="X444" s="402"/>
      <c r="Y444" s="402"/>
      <c r="Z444" s="402"/>
      <c r="AA444" s="402"/>
      <c r="AB444" s="402"/>
      <c r="AC444" s="402"/>
      <c r="AD444" s="402"/>
      <c r="AE444" s="402"/>
      <c r="AF444" s="402"/>
      <c r="AG444" s="402"/>
      <c r="AH444" s="402"/>
      <c r="AI444" s="402"/>
      <c r="AJ444" s="402"/>
      <c r="AK444" s="402"/>
      <c r="AL444" s="402"/>
      <c r="AM444" s="402"/>
      <c r="AN444" s="402"/>
      <c r="AO444" s="402"/>
      <c r="AP444" s="41"/>
      <c r="AQ444" s="86"/>
      <c r="AR444" s="86"/>
      <c r="AS444" s="86"/>
    </row>
    <row r="445" spans="2:45" x14ac:dyDescent="0.15">
      <c r="C445" s="86"/>
      <c r="D445" s="86"/>
      <c r="E445" s="93"/>
      <c r="F445" s="247"/>
      <c r="G445" s="93"/>
      <c r="H445" s="93"/>
      <c r="I445" s="258"/>
      <c r="J445" s="248"/>
      <c r="K445" s="248"/>
      <c r="L445" s="248"/>
      <c r="M445" s="248"/>
      <c r="N445" s="248"/>
      <c r="O445" s="248"/>
      <c r="P445" s="248"/>
      <c r="Q445" s="248"/>
      <c r="R445" s="248"/>
      <c r="S445" s="248"/>
      <c r="T445" s="248"/>
      <c r="U445" s="248"/>
      <c r="V445" s="248"/>
      <c r="W445" s="86"/>
      <c r="X445" s="296" t="s">
        <v>212</v>
      </c>
      <c r="Y445" s="296"/>
      <c r="Z445" s="296"/>
      <c r="AA445" s="296"/>
      <c r="AB445" s="296"/>
      <c r="AC445" s="296"/>
      <c r="AD445" s="296"/>
      <c r="AE445" s="296"/>
      <c r="AF445" s="296"/>
      <c r="AG445" s="296"/>
      <c r="AH445" s="296"/>
      <c r="AI445" s="296"/>
      <c r="AJ445" s="296"/>
      <c r="AK445" s="296"/>
      <c r="AL445" s="296"/>
      <c r="AM445" s="296"/>
      <c r="AN445" s="296"/>
      <c r="AO445" s="296"/>
      <c r="AQ445" s="86"/>
      <c r="AR445" s="86"/>
      <c r="AS445" s="86"/>
    </row>
    <row r="446" spans="2:45" ht="14.25" thickBot="1" x14ac:dyDescent="0.2">
      <c r="C446" s="46"/>
      <c r="D446" s="46"/>
      <c r="E446" s="47"/>
      <c r="F446" s="246"/>
      <c r="G446" s="47"/>
      <c r="H446" s="47"/>
      <c r="I446" s="257"/>
      <c r="J446" s="245"/>
      <c r="K446" s="245"/>
      <c r="L446" s="245"/>
      <c r="M446" s="245"/>
      <c r="N446" s="245"/>
      <c r="O446" s="245"/>
      <c r="P446" s="245"/>
      <c r="Q446" s="245"/>
      <c r="R446" s="245"/>
      <c r="S446" s="245"/>
      <c r="T446" s="245"/>
      <c r="U446" s="245"/>
      <c r="V446" s="245"/>
      <c r="W446" s="46"/>
      <c r="X446" s="296" t="s">
        <v>212</v>
      </c>
      <c r="Y446" s="296"/>
      <c r="Z446" s="296"/>
      <c r="AA446" s="296"/>
      <c r="AB446" s="296"/>
      <c r="AC446" s="296"/>
      <c r="AD446" s="296"/>
      <c r="AE446" s="296"/>
      <c r="AF446" s="296"/>
      <c r="AG446" s="296"/>
      <c r="AH446" s="296"/>
      <c r="AI446" s="296"/>
      <c r="AJ446" s="296"/>
      <c r="AK446" s="296"/>
      <c r="AL446" s="296"/>
      <c r="AM446" s="296"/>
      <c r="AN446" s="296"/>
      <c r="AO446" s="296"/>
      <c r="AQ446" s="86"/>
      <c r="AR446" s="86"/>
      <c r="AS446" s="86"/>
    </row>
    <row r="447" spans="2:45" ht="18" customHeight="1" thickBot="1" x14ac:dyDescent="0.2">
      <c r="B447" s="42">
        <v>25</v>
      </c>
      <c r="C447" s="46"/>
      <c r="D447" s="82" t="s">
        <v>180</v>
      </c>
      <c r="E447" s="48" t="s">
        <v>72</v>
      </c>
      <c r="F447" s="80"/>
      <c r="G447" s="46"/>
      <c r="H447" s="109"/>
      <c r="I447" s="255"/>
      <c r="J447" s="366" t="str">
        <f>IFERROR(VLOOKUP($F447,補助対象機器一覧20220831!$A$2:$K$200,2,FALSE),"")</f>
        <v/>
      </c>
      <c r="K447" s="367"/>
      <c r="L447" s="368"/>
      <c r="M447" s="245"/>
      <c r="N447" s="366" t="str">
        <f>IFERROR(VLOOKUP($F447,補助対象機器一覧20220831!$A$2:$K$200,7,FALSE),"")</f>
        <v/>
      </c>
      <c r="O447" s="367"/>
      <c r="P447" s="368"/>
      <c r="Q447" s="245"/>
      <c r="R447" s="366" t="str">
        <f>IFERROR(VLOOKUP($F447,補助対象機器一覧20220831!$A$2:$K$200,8,FALSE),"")</f>
        <v/>
      </c>
      <c r="S447" s="367"/>
      <c r="T447" s="368"/>
      <c r="U447" s="245"/>
      <c r="V447" s="244" t="str">
        <f>IFERROR(VLOOKUP($F447,補助対象機器一覧20220831!$A$2:$K$200,9,FALSE),"")</f>
        <v/>
      </c>
      <c r="W447" s="46"/>
      <c r="X447" s="402" t="str">
        <f>IF($B447&lt;=入力シート!$F$85,""&amp;中間シート!X586,"")</f>
        <v/>
      </c>
      <c r="Y447" s="402"/>
      <c r="Z447" s="402"/>
      <c r="AA447" s="402"/>
      <c r="AB447" s="402"/>
      <c r="AC447" s="402"/>
      <c r="AD447" s="402"/>
      <c r="AE447" s="402"/>
      <c r="AF447" s="402"/>
      <c r="AG447" s="402"/>
      <c r="AH447" s="402"/>
      <c r="AI447" s="402"/>
      <c r="AJ447" s="402"/>
      <c r="AK447" s="402"/>
      <c r="AL447" s="402"/>
      <c r="AM447" s="402"/>
      <c r="AN447" s="402"/>
      <c r="AO447" s="402"/>
      <c r="AQ447" s="81">
        <f>IF(J447&lt;&gt;"",1,IF(H447="なし",2,0))</f>
        <v>0</v>
      </c>
      <c r="AR447" s="86"/>
      <c r="AS447" s="86"/>
    </row>
    <row r="448" spans="2:45" ht="5.0999999999999996" customHeight="1" thickBot="1" x14ac:dyDescent="0.2">
      <c r="C448" s="46"/>
      <c r="D448" s="46"/>
      <c r="E448" s="48"/>
      <c r="F448" s="245"/>
      <c r="G448" s="46"/>
      <c r="H448" s="46"/>
      <c r="I448" s="255"/>
      <c r="J448" s="245"/>
      <c r="K448" s="245"/>
      <c r="L448" s="245"/>
      <c r="M448" s="245"/>
      <c r="N448" s="245"/>
      <c r="O448" s="245"/>
      <c r="P448" s="245"/>
      <c r="Q448" s="245"/>
      <c r="R448" s="245"/>
      <c r="S448" s="245"/>
      <c r="T448" s="245"/>
      <c r="U448" s="245"/>
      <c r="V448" s="245"/>
      <c r="W448" s="46"/>
      <c r="X448" s="402"/>
      <c r="Y448" s="402"/>
      <c r="Z448" s="402"/>
      <c r="AA448" s="402"/>
      <c r="AB448" s="402"/>
      <c r="AC448" s="402"/>
      <c r="AD448" s="402"/>
      <c r="AE448" s="402"/>
      <c r="AF448" s="402"/>
      <c r="AG448" s="402"/>
      <c r="AH448" s="402"/>
      <c r="AI448" s="402"/>
      <c r="AJ448" s="402"/>
      <c r="AK448" s="402"/>
      <c r="AL448" s="402"/>
      <c r="AM448" s="402"/>
      <c r="AN448" s="402"/>
      <c r="AO448" s="402"/>
      <c r="AP448" s="41"/>
      <c r="AQ448" s="86"/>
      <c r="AR448" s="86"/>
      <c r="AS448" s="86"/>
    </row>
    <row r="449" spans="2:45" ht="18" customHeight="1" thickBot="1" x14ac:dyDescent="0.2">
      <c r="B449" s="42">
        <v>25</v>
      </c>
      <c r="C449" s="46"/>
      <c r="D449" s="82"/>
      <c r="E449" s="48"/>
      <c r="F449" s="246"/>
      <c r="G449" s="46"/>
      <c r="H449" s="46"/>
      <c r="I449" s="261" t="str">
        <f>IF(AQ447=2,"入力してください→",IF(AQ447=1,"入力不要です→",""))</f>
        <v/>
      </c>
      <c r="J449" s="387"/>
      <c r="K449" s="388"/>
      <c r="L449" s="389"/>
      <c r="M449" s="245"/>
      <c r="N449" s="387"/>
      <c r="O449" s="388"/>
      <c r="P449" s="389"/>
      <c r="Q449" s="245"/>
      <c r="R449" s="387"/>
      <c r="S449" s="388"/>
      <c r="T449" s="389"/>
      <c r="U449" s="245"/>
      <c r="V449" s="249"/>
      <c r="W449" s="46"/>
      <c r="X449" s="402"/>
      <c r="Y449" s="402"/>
      <c r="Z449" s="402"/>
      <c r="AA449" s="402"/>
      <c r="AB449" s="402"/>
      <c r="AC449" s="402"/>
      <c r="AD449" s="402"/>
      <c r="AE449" s="402"/>
      <c r="AF449" s="402"/>
      <c r="AG449" s="402"/>
      <c r="AH449" s="402"/>
      <c r="AI449" s="402"/>
      <c r="AJ449" s="402"/>
      <c r="AK449" s="402"/>
      <c r="AL449" s="402"/>
      <c r="AM449" s="402"/>
      <c r="AN449" s="402"/>
      <c r="AO449" s="402"/>
      <c r="AP449" s="41"/>
      <c r="AQ449" s="86"/>
      <c r="AR449" s="86"/>
      <c r="AS449" s="86"/>
    </row>
    <row r="450" spans="2:45" ht="5.0999999999999996" customHeight="1" thickBot="1" x14ac:dyDescent="0.2">
      <c r="C450" s="46"/>
      <c r="D450" s="46"/>
      <c r="E450" s="48"/>
      <c r="F450" s="245"/>
      <c r="G450" s="47"/>
      <c r="H450" s="47"/>
      <c r="I450" s="255"/>
      <c r="J450" s="245"/>
      <c r="K450" s="245"/>
      <c r="L450" s="245"/>
      <c r="M450" s="245"/>
      <c r="N450" s="245"/>
      <c r="O450" s="245"/>
      <c r="P450" s="245"/>
      <c r="Q450" s="245"/>
      <c r="R450" s="245"/>
      <c r="S450" s="245"/>
      <c r="T450" s="245"/>
      <c r="U450" s="245"/>
      <c r="V450" s="245"/>
      <c r="W450" s="46"/>
      <c r="X450" s="296" t="s">
        <v>212</v>
      </c>
      <c r="Y450" s="296"/>
      <c r="Z450" s="296"/>
      <c r="AA450" s="296"/>
      <c r="AB450" s="296"/>
      <c r="AC450" s="296"/>
      <c r="AD450" s="296"/>
      <c r="AE450" s="296"/>
      <c r="AF450" s="296"/>
      <c r="AG450" s="296"/>
      <c r="AH450" s="296"/>
      <c r="AI450" s="296"/>
      <c r="AJ450" s="296"/>
      <c r="AK450" s="296"/>
      <c r="AL450" s="296"/>
      <c r="AM450" s="296"/>
      <c r="AN450" s="296"/>
      <c r="AO450" s="296"/>
      <c r="AP450" s="41"/>
      <c r="AQ450" s="86"/>
      <c r="AR450" s="86"/>
      <c r="AS450" s="86"/>
    </row>
    <row r="451" spans="2:45" ht="18" customHeight="1" thickBot="1" x14ac:dyDescent="0.2">
      <c r="B451" s="42">
        <v>25</v>
      </c>
      <c r="C451" s="46"/>
      <c r="D451" s="46"/>
      <c r="E451" s="48" t="s">
        <v>73</v>
      </c>
      <c r="F451" s="80"/>
      <c r="G451" s="47"/>
      <c r="H451" s="109"/>
      <c r="I451" s="255"/>
      <c r="J451" s="366" t="str">
        <f>IFERROR(VLOOKUP($F451,補助対象機器一覧20220831!$A$2:$K$200,2,FALSE),"")</f>
        <v/>
      </c>
      <c r="K451" s="367"/>
      <c r="L451" s="368"/>
      <c r="M451" s="245"/>
      <c r="N451" s="366" t="str">
        <f>IFERROR(VLOOKUP($F451,補助対象機器一覧20220831!$A$2:$K$200,7,FALSE),"")</f>
        <v/>
      </c>
      <c r="O451" s="367"/>
      <c r="P451" s="368"/>
      <c r="Q451" s="245"/>
      <c r="R451" s="366" t="str">
        <f>IFERROR(VLOOKUP($F451,補助対象機器一覧20220831!$A$2:$K$200,8,FALSE),"")</f>
        <v/>
      </c>
      <c r="S451" s="367"/>
      <c r="T451" s="368"/>
      <c r="U451" s="245"/>
      <c r="V451" s="244" t="str">
        <f>IFERROR(VLOOKUP($F451,補助対象機器一覧20220831!$A$2:$K$200,9,FALSE),"")</f>
        <v/>
      </c>
      <c r="W451" s="46"/>
      <c r="X451" s="402" t="str">
        <f>IF($B451&lt;=入力シート!$F$85,""&amp;中間シート!X587,"")</f>
        <v/>
      </c>
      <c r="Y451" s="402"/>
      <c r="Z451" s="402"/>
      <c r="AA451" s="402"/>
      <c r="AB451" s="402"/>
      <c r="AC451" s="402"/>
      <c r="AD451" s="402"/>
      <c r="AE451" s="402"/>
      <c r="AF451" s="402"/>
      <c r="AG451" s="402"/>
      <c r="AH451" s="402"/>
      <c r="AI451" s="402"/>
      <c r="AJ451" s="402"/>
      <c r="AK451" s="402"/>
      <c r="AL451" s="402"/>
      <c r="AM451" s="402"/>
      <c r="AN451" s="402"/>
      <c r="AO451" s="402"/>
      <c r="AP451" s="41"/>
      <c r="AQ451" s="81">
        <f>IF(J451&lt;&gt;"",1,IF(H451="なし",2,0))</f>
        <v>0</v>
      </c>
      <c r="AR451" s="86"/>
      <c r="AS451" s="86"/>
    </row>
    <row r="452" spans="2:45" ht="5.0999999999999996" customHeight="1" thickBot="1" x14ac:dyDescent="0.2">
      <c r="C452" s="46"/>
      <c r="D452" s="46"/>
      <c r="E452" s="48"/>
      <c r="F452" s="246"/>
      <c r="G452" s="47"/>
      <c r="H452" s="47"/>
      <c r="I452" s="255"/>
      <c r="J452" s="246"/>
      <c r="K452" s="246"/>
      <c r="L452" s="246"/>
      <c r="M452" s="245"/>
      <c r="N452" s="246"/>
      <c r="O452" s="246"/>
      <c r="P452" s="246"/>
      <c r="Q452" s="245"/>
      <c r="R452" s="246"/>
      <c r="S452" s="246"/>
      <c r="T452" s="246"/>
      <c r="U452" s="245"/>
      <c r="V452" s="246"/>
      <c r="W452" s="46"/>
      <c r="X452" s="402"/>
      <c r="Y452" s="402"/>
      <c r="Z452" s="402"/>
      <c r="AA452" s="402"/>
      <c r="AB452" s="402"/>
      <c r="AC452" s="402"/>
      <c r="AD452" s="402"/>
      <c r="AE452" s="402"/>
      <c r="AF452" s="402"/>
      <c r="AG452" s="402"/>
      <c r="AH452" s="402"/>
      <c r="AI452" s="402"/>
      <c r="AJ452" s="402"/>
      <c r="AK452" s="402"/>
      <c r="AL452" s="402"/>
      <c r="AM452" s="402"/>
      <c r="AN452" s="402"/>
      <c r="AO452" s="402"/>
      <c r="AP452" s="41"/>
      <c r="AQ452" s="86"/>
      <c r="AR452" s="86"/>
      <c r="AS452" s="86"/>
    </row>
    <row r="453" spans="2:45" ht="18" customHeight="1" thickBot="1" x14ac:dyDescent="0.2">
      <c r="B453" s="42">
        <v>25</v>
      </c>
      <c r="C453" s="46"/>
      <c r="D453" s="46"/>
      <c r="E453" s="48"/>
      <c r="F453" s="246"/>
      <c r="G453" s="47"/>
      <c r="H453" s="47"/>
      <c r="I453" s="261" t="str">
        <f>IF(AQ451=2,"入力してください→",IF(AQ451=1,"入力不要です→",""))</f>
        <v/>
      </c>
      <c r="J453" s="387"/>
      <c r="K453" s="388"/>
      <c r="L453" s="389"/>
      <c r="M453" s="245"/>
      <c r="N453" s="387"/>
      <c r="O453" s="388"/>
      <c r="P453" s="389"/>
      <c r="Q453" s="245"/>
      <c r="R453" s="387"/>
      <c r="S453" s="388"/>
      <c r="T453" s="389"/>
      <c r="U453" s="245"/>
      <c r="V453" s="249"/>
      <c r="W453" s="46"/>
      <c r="X453" s="402"/>
      <c r="Y453" s="402"/>
      <c r="Z453" s="402"/>
      <c r="AA453" s="402"/>
      <c r="AB453" s="402"/>
      <c r="AC453" s="402"/>
      <c r="AD453" s="402"/>
      <c r="AE453" s="402"/>
      <c r="AF453" s="402"/>
      <c r="AG453" s="402"/>
      <c r="AH453" s="402"/>
      <c r="AI453" s="402"/>
      <c r="AJ453" s="402"/>
      <c r="AK453" s="402"/>
      <c r="AL453" s="402"/>
      <c r="AM453" s="402"/>
      <c r="AN453" s="402"/>
      <c r="AO453" s="402"/>
      <c r="AP453" s="41"/>
      <c r="AQ453" s="86"/>
      <c r="AR453" s="86"/>
      <c r="AS453" s="86"/>
    </row>
    <row r="454" spans="2:45" ht="5.0999999999999996" customHeight="1" thickBot="1" x14ac:dyDescent="0.2">
      <c r="C454" s="46"/>
      <c r="D454" s="46"/>
      <c r="E454" s="48"/>
      <c r="F454" s="246"/>
      <c r="G454" s="47"/>
      <c r="H454" s="47"/>
      <c r="I454" s="255"/>
      <c r="J454" s="246"/>
      <c r="K454" s="246"/>
      <c r="L454" s="246"/>
      <c r="M454" s="245"/>
      <c r="N454" s="246"/>
      <c r="O454" s="246"/>
      <c r="P454" s="246"/>
      <c r="Q454" s="245"/>
      <c r="R454" s="246"/>
      <c r="S454" s="246"/>
      <c r="T454" s="246"/>
      <c r="U454" s="245"/>
      <c r="V454" s="246"/>
      <c r="W454" s="46"/>
      <c r="X454" s="296" t="s">
        <v>212</v>
      </c>
      <c r="Y454" s="296"/>
      <c r="Z454" s="296"/>
      <c r="AA454" s="296"/>
      <c r="AB454" s="296"/>
      <c r="AC454" s="296"/>
      <c r="AD454" s="296"/>
      <c r="AE454" s="296"/>
      <c r="AF454" s="296"/>
      <c r="AG454" s="296"/>
      <c r="AH454" s="296"/>
      <c r="AI454" s="296"/>
      <c r="AJ454" s="296"/>
      <c r="AK454" s="296"/>
      <c r="AL454" s="296"/>
      <c r="AM454" s="296"/>
      <c r="AN454" s="296"/>
      <c r="AO454" s="296"/>
      <c r="AP454" s="41"/>
      <c r="AQ454" s="86"/>
      <c r="AR454" s="86"/>
      <c r="AS454" s="86"/>
    </row>
    <row r="455" spans="2:45" ht="18" customHeight="1" thickBot="1" x14ac:dyDescent="0.2">
      <c r="B455" s="42">
        <v>25</v>
      </c>
      <c r="C455" s="46"/>
      <c r="D455" s="46"/>
      <c r="E455" s="48" t="s">
        <v>74</v>
      </c>
      <c r="F455" s="80"/>
      <c r="G455" s="47"/>
      <c r="H455" s="109"/>
      <c r="I455" s="255"/>
      <c r="J455" s="366" t="str">
        <f>IFERROR(VLOOKUP($F455,補助対象機器一覧20220831!$A$2:$K$200,2,FALSE),"")</f>
        <v/>
      </c>
      <c r="K455" s="367"/>
      <c r="L455" s="368"/>
      <c r="M455" s="245"/>
      <c r="N455" s="366" t="str">
        <f>IFERROR(VLOOKUP($F455,補助対象機器一覧20220831!$A$2:$K$200,7,FALSE),"")</f>
        <v/>
      </c>
      <c r="O455" s="367"/>
      <c r="P455" s="368"/>
      <c r="Q455" s="245"/>
      <c r="R455" s="366" t="str">
        <f>IFERROR(VLOOKUP($F455,補助対象機器一覧20220831!$A$2:$K$200,8,FALSE),"")</f>
        <v/>
      </c>
      <c r="S455" s="367"/>
      <c r="T455" s="368"/>
      <c r="U455" s="245"/>
      <c r="V455" s="244" t="str">
        <f>IFERROR(VLOOKUP($F455,補助対象機器一覧20220831!$A$2:$K$200,9,FALSE),"")</f>
        <v/>
      </c>
      <c r="W455" s="46"/>
      <c r="X455" s="402" t="str">
        <f>IF($B455&lt;=入力シート!$F$85,""&amp;中間シート!X588,"")</f>
        <v/>
      </c>
      <c r="Y455" s="402"/>
      <c r="Z455" s="402"/>
      <c r="AA455" s="402"/>
      <c r="AB455" s="402"/>
      <c r="AC455" s="402"/>
      <c r="AD455" s="402"/>
      <c r="AE455" s="402"/>
      <c r="AF455" s="402"/>
      <c r="AG455" s="402"/>
      <c r="AH455" s="402"/>
      <c r="AI455" s="402"/>
      <c r="AJ455" s="402"/>
      <c r="AK455" s="402"/>
      <c r="AL455" s="402"/>
      <c r="AM455" s="402"/>
      <c r="AN455" s="402"/>
      <c r="AO455" s="402"/>
      <c r="AP455" s="41"/>
      <c r="AQ455" s="81">
        <f>IF(J455&lt;&gt;"",1,IF(H455="なし",2,0))</f>
        <v>0</v>
      </c>
      <c r="AR455" s="86"/>
      <c r="AS455" s="86"/>
    </row>
    <row r="456" spans="2:45" ht="5.0999999999999996" customHeight="1" thickBot="1" x14ac:dyDescent="0.2">
      <c r="C456" s="46"/>
      <c r="D456" s="46"/>
      <c r="E456" s="48"/>
      <c r="F456" s="246"/>
      <c r="G456" s="47"/>
      <c r="H456" s="47"/>
      <c r="I456" s="255"/>
      <c r="J456" s="246"/>
      <c r="K456" s="246"/>
      <c r="L456" s="246"/>
      <c r="M456" s="245"/>
      <c r="N456" s="246"/>
      <c r="O456" s="246"/>
      <c r="P456" s="246"/>
      <c r="Q456" s="245"/>
      <c r="R456" s="246"/>
      <c r="S456" s="246"/>
      <c r="T456" s="246"/>
      <c r="U456" s="245"/>
      <c r="V456" s="246"/>
      <c r="W456" s="46"/>
      <c r="X456" s="402"/>
      <c r="Y456" s="402"/>
      <c r="Z456" s="402"/>
      <c r="AA456" s="402"/>
      <c r="AB456" s="402"/>
      <c r="AC456" s="402"/>
      <c r="AD456" s="402"/>
      <c r="AE456" s="402"/>
      <c r="AF456" s="402"/>
      <c r="AG456" s="402"/>
      <c r="AH456" s="402"/>
      <c r="AI456" s="402"/>
      <c r="AJ456" s="402"/>
      <c r="AK456" s="402"/>
      <c r="AL456" s="402"/>
      <c r="AM456" s="402"/>
      <c r="AN456" s="402"/>
      <c r="AO456" s="402"/>
      <c r="AP456" s="41"/>
      <c r="AQ456" s="86"/>
      <c r="AR456" s="86"/>
      <c r="AS456" s="86"/>
    </row>
    <row r="457" spans="2:45" ht="18" customHeight="1" thickBot="1" x14ac:dyDescent="0.2">
      <c r="B457" s="42">
        <v>25</v>
      </c>
      <c r="C457" s="46"/>
      <c r="D457" s="46"/>
      <c r="E457" s="47"/>
      <c r="F457" s="246"/>
      <c r="G457" s="47"/>
      <c r="H457" s="47"/>
      <c r="I457" s="261" t="str">
        <f>IF(AQ455=2,"入力してください→",IF(AQ455=1,"入力不要です→",""))</f>
        <v/>
      </c>
      <c r="J457" s="387"/>
      <c r="K457" s="388"/>
      <c r="L457" s="389"/>
      <c r="M457" s="245"/>
      <c r="N457" s="387"/>
      <c r="O457" s="388"/>
      <c r="P457" s="389"/>
      <c r="Q457" s="245"/>
      <c r="R457" s="387"/>
      <c r="S457" s="388"/>
      <c r="T457" s="389"/>
      <c r="U457" s="245"/>
      <c r="V457" s="249"/>
      <c r="W457" s="46"/>
      <c r="X457" s="402"/>
      <c r="Y457" s="402"/>
      <c r="Z457" s="402"/>
      <c r="AA457" s="402"/>
      <c r="AB457" s="402"/>
      <c r="AC457" s="402"/>
      <c r="AD457" s="402"/>
      <c r="AE457" s="402"/>
      <c r="AF457" s="402"/>
      <c r="AG457" s="402"/>
      <c r="AH457" s="402"/>
      <c r="AI457" s="402"/>
      <c r="AJ457" s="402"/>
      <c r="AK457" s="402"/>
      <c r="AL457" s="402"/>
      <c r="AM457" s="402"/>
      <c r="AN457" s="402"/>
      <c r="AO457" s="402"/>
      <c r="AP457" s="41"/>
      <c r="AQ457" s="86"/>
      <c r="AR457" s="86"/>
      <c r="AS457" s="86"/>
    </row>
    <row r="458" spans="2:45" x14ac:dyDescent="0.15">
      <c r="C458" s="46"/>
      <c r="D458" s="46"/>
      <c r="E458" s="47"/>
      <c r="F458" s="246"/>
      <c r="G458" s="47"/>
      <c r="H458" s="47"/>
      <c r="I458" s="257"/>
      <c r="J458" s="245"/>
      <c r="K458" s="245"/>
      <c r="L458" s="245"/>
      <c r="M458" s="245"/>
      <c r="N458" s="245"/>
      <c r="O458" s="245"/>
      <c r="P458" s="245"/>
      <c r="Q458" s="245"/>
      <c r="R458" s="245"/>
      <c r="S458" s="245"/>
      <c r="T458" s="245"/>
      <c r="U458" s="245"/>
      <c r="V458" s="245"/>
      <c r="W458" s="46"/>
      <c r="X458" s="296" t="s">
        <v>212</v>
      </c>
      <c r="Y458" s="296"/>
      <c r="Z458" s="296"/>
      <c r="AA458" s="296"/>
      <c r="AB458" s="296"/>
      <c r="AC458" s="296"/>
      <c r="AD458" s="296"/>
      <c r="AE458" s="296"/>
      <c r="AF458" s="296"/>
      <c r="AG458" s="296"/>
      <c r="AH458" s="296"/>
      <c r="AI458" s="296"/>
      <c r="AJ458" s="296"/>
      <c r="AK458" s="296"/>
      <c r="AL458" s="296"/>
      <c r="AM458" s="296"/>
      <c r="AN458" s="296"/>
      <c r="AO458" s="296"/>
      <c r="AQ458" s="86"/>
      <c r="AR458" s="86"/>
      <c r="AS458" s="86"/>
    </row>
    <row r="459" spans="2:45" ht="14.25" thickBot="1" x14ac:dyDescent="0.2">
      <c r="C459" s="86"/>
      <c r="D459" s="86"/>
      <c r="E459" s="93"/>
      <c r="F459" s="247"/>
      <c r="G459" s="93"/>
      <c r="H459" s="93"/>
      <c r="I459" s="258"/>
      <c r="J459" s="248"/>
      <c r="K459" s="248"/>
      <c r="L459" s="248"/>
      <c r="M459" s="248"/>
      <c r="N459" s="248"/>
      <c r="O459" s="248"/>
      <c r="P459" s="248"/>
      <c r="Q459" s="248"/>
      <c r="R459" s="248"/>
      <c r="S459" s="248"/>
      <c r="T459" s="248"/>
      <c r="U459" s="248"/>
      <c r="V459" s="248"/>
      <c r="W459" s="86"/>
      <c r="X459" s="296" t="s">
        <v>212</v>
      </c>
      <c r="Y459" s="296"/>
      <c r="Z459" s="296"/>
      <c r="AA459" s="296"/>
      <c r="AB459" s="296"/>
      <c r="AC459" s="296"/>
      <c r="AD459" s="296"/>
      <c r="AE459" s="296"/>
      <c r="AF459" s="296"/>
      <c r="AG459" s="296"/>
      <c r="AH459" s="296"/>
      <c r="AI459" s="296"/>
      <c r="AJ459" s="296"/>
      <c r="AK459" s="296"/>
      <c r="AL459" s="296"/>
      <c r="AM459" s="296"/>
      <c r="AN459" s="296"/>
      <c r="AO459" s="296"/>
      <c r="AQ459" s="86"/>
      <c r="AR459" s="86"/>
      <c r="AS459" s="86"/>
    </row>
    <row r="460" spans="2:45" ht="18" customHeight="1" thickBot="1" x14ac:dyDescent="0.2">
      <c r="B460" s="42">
        <v>26</v>
      </c>
      <c r="C460" s="86"/>
      <c r="D460" s="94" t="s">
        <v>181</v>
      </c>
      <c r="E460" s="95" t="s">
        <v>72</v>
      </c>
      <c r="F460" s="80"/>
      <c r="G460" s="86"/>
      <c r="H460" s="80"/>
      <c r="I460" s="259"/>
      <c r="J460" s="366" t="str">
        <f>IFERROR(VLOOKUP($F460,補助対象機器一覧20220831!$A$2:$K$200,2,FALSE),"")</f>
        <v/>
      </c>
      <c r="K460" s="367"/>
      <c r="L460" s="368"/>
      <c r="M460" s="248"/>
      <c r="N460" s="366" t="str">
        <f>IFERROR(VLOOKUP($F460,補助対象機器一覧20220831!$A$2:$K$200,7,FALSE),"")</f>
        <v/>
      </c>
      <c r="O460" s="367"/>
      <c r="P460" s="368"/>
      <c r="Q460" s="248"/>
      <c r="R460" s="366" t="str">
        <f>IFERROR(VLOOKUP($F460,補助対象機器一覧20220831!$A$2:$K$200,8,FALSE),"")</f>
        <v/>
      </c>
      <c r="S460" s="367"/>
      <c r="T460" s="368"/>
      <c r="U460" s="248"/>
      <c r="V460" s="244" t="str">
        <f>IFERROR(VLOOKUP($F460,補助対象機器一覧20220831!$A$2:$K$200,9,FALSE),"")</f>
        <v/>
      </c>
      <c r="W460" s="86"/>
      <c r="X460" s="402" t="str">
        <f>IF($B460&lt;=入力シート!$F$85,""&amp;中間シート!X589,"")</f>
        <v/>
      </c>
      <c r="Y460" s="402"/>
      <c r="Z460" s="402"/>
      <c r="AA460" s="402"/>
      <c r="AB460" s="402"/>
      <c r="AC460" s="402"/>
      <c r="AD460" s="402"/>
      <c r="AE460" s="402"/>
      <c r="AF460" s="402"/>
      <c r="AG460" s="402"/>
      <c r="AH460" s="402"/>
      <c r="AI460" s="402"/>
      <c r="AJ460" s="402"/>
      <c r="AK460" s="402"/>
      <c r="AL460" s="402"/>
      <c r="AM460" s="402"/>
      <c r="AN460" s="402"/>
      <c r="AO460" s="402"/>
      <c r="AQ460" s="81">
        <f>IF(J460&lt;&gt;"",1,IF(H460="なし",2,0))</f>
        <v>0</v>
      </c>
      <c r="AR460" s="86"/>
      <c r="AS460" s="86"/>
    </row>
    <row r="461" spans="2:45" ht="5.0999999999999996" customHeight="1" thickBot="1" x14ac:dyDescent="0.2">
      <c r="C461" s="86"/>
      <c r="D461" s="94"/>
      <c r="E461" s="95"/>
      <c r="F461" s="248"/>
      <c r="G461" s="86"/>
      <c r="H461" s="86"/>
      <c r="I461" s="259"/>
      <c r="J461" s="248"/>
      <c r="K461" s="248"/>
      <c r="L461" s="248"/>
      <c r="M461" s="248"/>
      <c r="N461" s="248"/>
      <c r="O461" s="248"/>
      <c r="P461" s="248"/>
      <c r="Q461" s="248"/>
      <c r="R461" s="248"/>
      <c r="S461" s="248"/>
      <c r="T461" s="248"/>
      <c r="U461" s="248"/>
      <c r="V461" s="248"/>
      <c r="W461" s="86"/>
      <c r="X461" s="402"/>
      <c r="Y461" s="402"/>
      <c r="Z461" s="402"/>
      <c r="AA461" s="402"/>
      <c r="AB461" s="402"/>
      <c r="AC461" s="402"/>
      <c r="AD461" s="402"/>
      <c r="AE461" s="402"/>
      <c r="AF461" s="402"/>
      <c r="AG461" s="402"/>
      <c r="AH461" s="402"/>
      <c r="AI461" s="402"/>
      <c r="AJ461" s="402"/>
      <c r="AK461" s="402"/>
      <c r="AL461" s="402"/>
      <c r="AM461" s="402"/>
      <c r="AN461" s="402"/>
      <c r="AO461" s="402"/>
      <c r="AP461" s="41"/>
      <c r="AQ461" s="86"/>
      <c r="AR461" s="86"/>
      <c r="AS461" s="86"/>
    </row>
    <row r="462" spans="2:45" ht="18" customHeight="1" thickBot="1" x14ac:dyDescent="0.2">
      <c r="B462" s="42">
        <v>26</v>
      </c>
      <c r="C462" s="86"/>
      <c r="D462" s="94"/>
      <c r="E462" s="95"/>
      <c r="F462" s="247"/>
      <c r="G462" s="86"/>
      <c r="H462" s="86"/>
      <c r="I462" s="260" t="str">
        <f>IF(AQ460=2,"入力してください→",IF(AQ460=1,"入力不要です→",""))</f>
        <v/>
      </c>
      <c r="J462" s="387"/>
      <c r="K462" s="388"/>
      <c r="L462" s="389"/>
      <c r="M462" s="248"/>
      <c r="N462" s="387"/>
      <c r="O462" s="388"/>
      <c r="P462" s="389"/>
      <c r="Q462" s="248"/>
      <c r="R462" s="387"/>
      <c r="S462" s="388"/>
      <c r="T462" s="389"/>
      <c r="U462" s="248"/>
      <c r="V462" s="249"/>
      <c r="W462" s="86"/>
      <c r="X462" s="402"/>
      <c r="Y462" s="402"/>
      <c r="Z462" s="402"/>
      <c r="AA462" s="402"/>
      <c r="AB462" s="402"/>
      <c r="AC462" s="402"/>
      <c r="AD462" s="402"/>
      <c r="AE462" s="402"/>
      <c r="AF462" s="402"/>
      <c r="AG462" s="402"/>
      <c r="AH462" s="402"/>
      <c r="AI462" s="402"/>
      <c r="AJ462" s="402"/>
      <c r="AK462" s="402"/>
      <c r="AL462" s="402"/>
      <c r="AM462" s="402"/>
      <c r="AN462" s="402"/>
      <c r="AO462" s="402"/>
      <c r="AP462" s="41"/>
      <c r="AQ462" s="86"/>
      <c r="AR462" s="86"/>
      <c r="AS462" s="86"/>
    </row>
    <row r="463" spans="2:45" ht="5.0999999999999996" customHeight="1" thickBot="1" x14ac:dyDescent="0.2">
      <c r="C463" s="86"/>
      <c r="D463" s="86"/>
      <c r="E463" s="93"/>
      <c r="F463" s="248"/>
      <c r="G463" s="93"/>
      <c r="H463" s="93"/>
      <c r="I463" s="259"/>
      <c r="J463" s="248"/>
      <c r="K463" s="248"/>
      <c r="L463" s="248"/>
      <c r="M463" s="248"/>
      <c r="N463" s="248"/>
      <c r="O463" s="248"/>
      <c r="P463" s="248"/>
      <c r="Q463" s="248"/>
      <c r="R463" s="248"/>
      <c r="S463" s="248"/>
      <c r="T463" s="248"/>
      <c r="U463" s="248"/>
      <c r="V463" s="248"/>
      <c r="W463" s="86"/>
      <c r="X463" s="296" t="s">
        <v>212</v>
      </c>
      <c r="Y463" s="296"/>
      <c r="Z463" s="296"/>
      <c r="AA463" s="296"/>
      <c r="AB463" s="296"/>
      <c r="AC463" s="296"/>
      <c r="AD463" s="296"/>
      <c r="AE463" s="296"/>
      <c r="AF463" s="296"/>
      <c r="AG463" s="296"/>
      <c r="AH463" s="296"/>
      <c r="AI463" s="296"/>
      <c r="AJ463" s="296"/>
      <c r="AK463" s="296"/>
      <c r="AL463" s="296"/>
      <c r="AM463" s="296"/>
      <c r="AN463" s="296"/>
      <c r="AO463" s="296"/>
      <c r="AP463" s="41"/>
      <c r="AQ463" s="86"/>
      <c r="AR463" s="86"/>
      <c r="AS463" s="86"/>
    </row>
    <row r="464" spans="2:45" ht="18" customHeight="1" thickBot="1" x14ac:dyDescent="0.2">
      <c r="B464" s="42">
        <v>26</v>
      </c>
      <c r="C464" s="86"/>
      <c r="D464" s="86"/>
      <c r="E464" s="95" t="s">
        <v>73</v>
      </c>
      <c r="F464" s="80"/>
      <c r="G464" s="93"/>
      <c r="H464" s="80"/>
      <c r="I464" s="259"/>
      <c r="J464" s="366" t="str">
        <f>IFERROR(VLOOKUP($F464,補助対象機器一覧20220831!$A$2:$K$200,2,FALSE),"")</f>
        <v/>
      </c>
      <c r="K464" s="367"/>
      <c r="L464" s="368"/>
      <c r="M464" s="248"/>
      <c r="N464" s="366" t="str">
        <f>IFERROR(VLOOKUP($F464,補助対象機器一覧20220831!$A$2:$K$200,7,FALSE),"")</f>
        <v/>
      </c>
      <c r="O464" s="367"/>
      <c r="P464" s="368"/>
      <c r="Q464" s="248"/>
      <c r="R464" s="366" t="str">
        <f>IFERROR(VLOOKUP($F464,補助対象機器一覧20220831!$A$2:$K$200,8,FALSE),"")</f>
        <v/>
      </c>
      <c r="S464" s="367"/>
      <c r="T464" s="368"/>
      <c r="U464" s="248"/>
      <c r="V464" s="244" t="str">
        <f>IFERROR(VLOOKUP($F464,補助対象機器一覧20220831!$A$2:$K$200,9,FALSE),"")</f>
        <v/>
      </c>
      <c r="W464" s="86"/>
      <c r="X464" s="402" t="str">
        <f>IF($B464&lt;=入力シート!$F$85,""&amp;中間シート!X590,"")</f>
        <v/>
      </c>
      <c r="Y464" s="402"/>
      <c r="Z464" s="402"/>
      <c r="AA464" s="402"/>
      <c r="AB464" s="402"/>
      <c r="AC464" s="402"/>
      <c r="AD464" s="402"/>
      <c r="AE464" s="402"/>
      <c r="AF464" s="402"/>
      <c r="AG464" s="402"/>
      <c r="AH464" s="402"/>
      <c r="AI464" s="402"/>
      <c r="AJ464" s="402"/>
      <c r="AK464" s="402"/>
      <c r="AL464" s="402"/>
      <c r="AM464" s="402"/>
      <c r="AN464" s="402"/>
      <c r="AO464" s="402"/>
      <c r="AP464" s="41"/>
      <c r="AQ464" s="81">
        <f>IF(J464&lt;&gt;"",1,IF(H464="なし",2,0))</f>
        <v>0</v>
      </c>
      <c r="AR464" s="86"/>
      <c r="AS464" s="86"/>
    </row>
    <row r="465" spans="2:45" ht="5.0999999999999996" customHeight="1" thickBot="1" x14ac:dyDescent="0.2">
      <c r="C465" s="86"/>
      <c r="D465" s="86"/>
      <c r="E465" s="95"/>
      <c r="F465" s="247"/>
      <c r="G465" s="93"/>
      <c r="H465" s="93"/>
      <c r="I465" s="259"/>
      <c r="J465" s="247"/>
      <c r="K465" s="247"/>
      <c r="L465" s="247"/>
      <c r="M465" s="248"/>
      <c r="N465" s="247"/>
      <c r="O465" s="247"/>
      <c r="P465" s="247"/>
      <c r="Q465" s="248"/>
      <c r="R465" s="247"/>
      <c r="S465" s="247"/>
      <c r="T465" s="247"/>
      <c r="U465" s="248"/>
      <c r="V465" s="247"/>
      <c r="W465" s="86"/>
      <c r="X465" s="402"/>
      <c r="Y465" s="402"/>
      <c r="Z465" s="402"/>
      <c r="AA465" s="402"/>
      <c r="AB465" s="402"/>
      <c r="AC465" s="402"/>
      <c r="AD465" s="402"/>
      <c r="AE465" s="402"/>
      <c r="AF465" s="402"/>
      <c r="AG465" s="402"/>
      <c r="AH465" s="402"/>
      <c r="AI465" s="402"/>
      <c r="AJ465" s="402"/>
      <c r="AK465" s="402"/>
      <c r="AL465" s="402"/>
      <c r="AM465" s="402"/>
      <c r="AN465" s="402"/>
      <c r="AO465" s="402"/>
      <c r="AP465" s="41"/>
      <c r="AQ465" s="86"/>
      <c r="AR465" s="86"/>
      <c r="AS465" s="86"/>
    </row>
    <row r="466" spans="2:45" ht="18" customHeight="1" thickBot="1" x14ac:dyDescent="0.2">
      <c r="B466" s="42">
        <v>26</v>
      </c>
      <c r="C466" s="86"/>
      <c r="D466" s="86"/>
      <c r="E466" s="95"/>
      <c r="F466" s="247"/>
      <c r="G466" s="93"/>
      <c r="H466" s="93"/>
      <c r="I466" s="260" t="str">
        <f>IF(AQ464=2,"入力してください→",IF(AQ464=1,"入力不要です→",""))</f>
        <v/>
      </c>
      <c r="J466" s="387"/>
      <c r="K466" s="388"/>
      <c r="L466" s="389"/>
      <c r="M466" s="248"/>
      <c r="N466" s="387"/>
      <c r="O466" s="388"/>
      <c r="P466" s="389"/>
      <c r="Q466" s="248"/>
      <c r="R466" s="387"/>
      <c r="S466" s="388"/>
      <c r="T466" s="389"/>
      <c r="U466" s="248"/>
      <c r="V466" s="249"/>
      <c r="W466" s="86"/>
      <c r="X466" s="402"/>
      <c r="Y466" s="402"/>
      <c r="Z466" s="402"/>
      <c r="AA466" s="402"/>
      <c r="AB466" s="402"/>
      <c r="AC466" s="402"/>
      <c r="AD466" s="402"/>
      <c r="AE466" s="402"/>
      <c r="AF466" s="402"/>
      <c r="AG466" s="402"/>
      <c r="AH466" s="402"/>
      <c r="AI466" s="402"/>
      <c r="AJ466" s="402"/>
      <c r="AK466" s="402"/>
      <c r="AL466" s="402"/>
      <c r="AM466" s="402"/>
      <c r="AN466" s="402"/>
      <c r="AO466" s="402"/>
      <c r="AP466" s="41"/>
      <c r="AQ466" s="86"/>
      <c r="AR466" s="86"/>
      <c r="AS466" s="86"/>
    </row>
    <row r="467" spans="2:45" ht="5.0999999999999996" customHeight="1" thickBot="1" x14ac:dyDescent="0.2">
      <c r="C467" s="86"/>
      <c r="D467" s="86"/>
      <c r="E467" s="95"/>
      <c r="F467" s="247"/>
      <c r="G467" s="93"/>
      <c r="H467" s="93"/>
      <c r="I467" s="259"/>
      <c r="J467" s="247"/>
      <c r="K467" s="247"/>
      <c r="L467" s="247"/>
      <c r="M467" s="248"/>
      <c r="N467" s="247"/>
      <c r="O467" s="247"/>
      <c r="P467" s="247"/>
      <c r="Q467" s="248"/>
      <c r="R467" s="247"/>
      <c r="S467" s="247"/>
      <c r="T467" s="247"/>
      <c r="U467" s="248"/>
      <c r="V467" s="247"/>
      <c r="W467" s="86"/>
      <c r="X467" s="296" t="s">
        <v>212</v>
      </c>
      <c r="Y467" s="296"/>
      <c r="Z467" s="296"/>
      <c r="AA467" s="296"/>
      <c r="AB467" s="296"/>
      <c r="AC467" s="296"/>
      <c r="AD467" s="296"/>
      <c r="AE467" s="296"/>
      <c r="AF467" s="296"/>
      <c r="AG467" s="296"/>
      <c r="AH467" s="296"/>
      <c r="AI467" s="296"/>
      <c r="AJ467" s="296"/>
      <c r="AK467" s="296"/>
      <c r="AL467" s="296"/>
      <c r="AM467" s="296"/>
      <c r="AN467" s="296"/>
      <c r="AO467" s="296"/>
      <c r="AP467" s="41"/>
      <c r="AQ467" s="86"/>
      <c r="AR467" s="86"/>
      <c r="AS467" s="86"/>
    </row>
    <row r="468" spans="2:45" ht="18" customHeight="1" thickBot="1" x14ac:dyDescent="0.2">
      <c r="B468" s="42">
        <v>26</v>
      </c>
      <c r="C468" s="86"/>
      <c r="D468" s="86"/>
      <c r="E468" s="95" t="s">
        <v>74</v>
      </c>
      <c r="F468" s="80"/>
      <c r="G468" s="93"/>
      <c r="H468" s="80"/>
      <c r="I468" s="259"/>
      <c r="J468" s="366" t="str">
        <f>IFERROR(VLOOKUP($F468,補助対象機器一覧20220831!$A$2:$K$200,2,FALSE),"")</f>
        <v/>
      </c>
      <c r="K468" s="367"/>
      <c r="L468" s="368"/>
      <c r="M468" s="248"/>
      <c r="N468" s="366" t="str">
        <f>IFERROR(VLOOKUP($F468,補助対象機器一覧20220831!$A$2:$K$200,7,FALSE),"")</f>
        <v/>
      </c>
      <c r="O468" s="367"/>
      <c r="P468" s="368"/>
      <c r="Q468" s="248"/>
      <c r="R468" s="366" t="str">
        <f>IFERROR(VLOOKUP($F468,補助対象機器一覧20220831!$A$2:$K$200,8,FALSE),"")</f>
        <v/>
      </c>
      <c r="S468" s="367"/>
      <c r="T468" s="368"/>
      <c r="U468" s="248"/>
      <c r="V468" s="244" t="str">
        <f>IFERROR(VLOOKUP($F468,補助対象機器一覧20220831!$A$2:$K$200,9,FALSE),"")</f>
        <v/>
      </c>
      <c r="W468" s="86"/>
      <c r="X468" s="402" t="str">
        <f>IF($B468&lt;=入力シート!$F$85,""&amp;中間シート!X591,"")</f>
        <v/>
      </c>
      <c r="Y468" s="402"/>
      <c r="Z468" s="402"/>
      <c r="AA468" s="402"/>
      <c r="AB468" s="402"/>
      <c r="AC468" s="402"/>
      <c r="AD468" s="402"/>
      <c r="AE468" s="402"/>
      <c r="AF468" s="402"/>
      <c r="AG468" s="402"/>
      <c r="AH468" s="402"/>
      <c r="AI468" s="402"/>
      <c r="AJ468" s="402"/>
      <c r="AK468" s="402"/>
      <c r="AL468" s="402"/>
      <c r="AM468" s="402"/>
      <c r="AN468" s="402"/>
      <c r="AO468" s="402"/>
      <c r="AP468" s="41"/>
      <c r="AQ468" s="81">
        <f>IF(J468&lt;&gt;"",1,IF(H468="なし",2,0))</f>
        <v>0</v>
      </c>
      <c r="AR468" s="86"/>
      <c r="AS468" s="86"/>
    </row>
    <row r="469" spans="2:45" ht="5.0999999999999996" customHeight="1" thickBot="1" x14ac:dyDescent="0.2">
      <c r="C469" s="86"/>
      <c r="D469" s="86"/>
      <c r="E469" s="95"/>
      <c r="F469" s="247"/>
      <c r="G469" s="93"/>
      <c r="H469" s="93"/>
      <c r="I469" s="259"/>
      <c r="J469" s="247"/>
      <c r="K469" s="247"/>
      <c r="L469" s="247"/>
      <c r="M469" s="248"/>
      <c r="N469" s="247"/>
      <c r="O469" s="247"/>
      <c r="P469" s="247"/>
      <c r="Q469" s="248"/>
      <c r="R469" s="247"/>
      <c r="S469" s="247"/>
      <c r="T469" s="247"/>
      <c r="U469" s="248"/>
      <c r="V469" s="247"/>
      <c r="W469" s="86"/>
      <c r="X469" s="402"/>
      <c r="Y469" s="402"/>
      <c r="Z469" s="402"/>
      <c r="AA469" s="402"/>
      <c r="AB469" s="402"/>
      <c r="AC469" s="402"/>
      <c r="AD469" s="402"/>
      <c r="AE469" s="402"/>
      <c r="AF469" s="402"/>
      <c r="AG469" s="402"/>
      <c r="AH469" s="402"/>
      <c r="AI469" s="402"/>
      <c r="AJ469" s="402"/>
      <c r="AK469" s="402"/>
      <c r="AL469" s="402"/>
      <c r="AM469" s="402"/>
      <c r="AN469" s="402"/>
      <c r="AO469" s="402"/>
      <c r="AP469" s="41"/>
      <c r="AQ469" s="86"/>
      <c r="AR469" s="86"/>
      <c r="AS469" s="86"/>
    </row>
    <row r="470" spans="2:45" ht="18" customHeight="1" thickBot="1" x14ac:dyDescent="0.2">
      <c r="B470" s="42">
        <v>26</v>
      </c>
      <c r="C470" s="86"/>
      <c r="D470" s="86"/>
      <c r="E470" s="93"/>
      <c r="F470" s="247"/>
      <c r="G470" s="93"/>
      <c r="H470" s="93"/>
      <c r="I470" s="260" t="str">
        <f>IF(AQ468=2,"入力してください→",IF(AQ468=1,"入力不要です→",""))</f>
        <v/>
      </c>
      <c r="J470" s="387"/>
      <c r="K470" s="388"/>
      <c r="L470" s="389"/>
      <c r="M470" s="248"/>
      <c r="N470" s="387"/>
      <c r="O470" s="388"/>
      <c r="P470" s="389"/>
      <c r="Q470" s="248"/>
      <c r="R470" s="387"/>
      <c r="S470" s="388"/>
      <c r="T470" s="389"/>
      <c r="U470" s="248"/>
      <c r="V470" s="249"/>
      <c r="W470" s="86"/>
      <c r="X470" s="402"/>
      <c r="Y470" s="402"/>
      <c r="Z470" s="402"/>
      <c r="AA470" s="402"/>
      <c r="AB470" s="402"/>
      <c r="AC470" s="402"/>
      <c r="AD470" s="402"/>
      <c r="AE470" s="402"/>
      <c r="AF470" s="402"/>
      <c r="AG470" s="402"/>
      <c r="AH470" s="402"/>
      <c r="AI470" s="402"/>
      <c r="AJ470" s="402"/>
      <c r="AK470" s="402"/>
      <c r="AL470" s="402"/>
      <c r="AM470" s="402"/>
      <c r="AN470" s="402"/>
      <c r="AO470" s="402"/>
      <c r="AP470" s="41"/>
      <c r="AQ470" s="86"/>
      <c r="AR470" s="86"/>
      <c r="AS470" s="86"/>
    </row>
    <row r="471" spans="2:45" x14ac:dyDescent="0.15">
      <c r="C471" s="86"/>
      <c r="D471" s="86"/>
      <c r="E471" s="93"/>
      <c r="F471" s="247"/>
      <c r="G471" s="93"/>
      <c r="H471" s="93"/>
      <c r="I471" s="258"/>
      <c r="J471" s="248"/>
      <c r="K471" s="248"/>
      <c r="L471" s="248"/>
      <c r="M471" s="248"/>
      <c r="N471" s="248"/>
      <c r="O471" s="248"/>
      <c r="P471" s="248"/>
      <c r="Q471" s="248"/>
      <c r="R471" s="248"/>
      <c r="S471" s="248"/>
      <c r="T471" s="248"/>
      <c r="U471" s="248"/>
      <c r="V471" s="248"/>
      <c r="W471" s="86"/>
      <c r="X471" s="296" t="s">
        <v>212</v>
      </c>
      <c r="Y471" s="296"/>
      <c r="Z471" s="296"/>
      <c r="AA471" s="296"/>
      <c r="AB471" s="296"/>
      <c r="AC471" s="296"/>
      <c r="AD471" s="296"/>
      <c r="AE471" s="296"/>
      <c r="AF471" s="296"/>
      <c r="AG471" s="296"/>
      <c r="AH471" s="296"/>
      <c r="AI471" s="296"/>
      <c r="AJ471" s="296"/>
      <c r="AK471" s="296"/>
      <c r="AL471" s="296"/>
      <c r="AM471" s="296"/>
      <c r="AN471" s="296"/>
      <c r="AO471" s="296"/>
      <c r="AQ471" s="86"/>
      <c r="AR471" s="86"/>
      <c r="AS471" s="86"/>
    </row>
    <row r="472" spans="2:45" ht="14.25" thickBot="1" x14ac:dyDescent="0.2">
      <c r="C472" s="46"/>
      <c r="D472" s="46"/>
      <c r="E472" s="47"/>
      <c r="F472" s="246"/>
      <c r="G472" s="47"/>
      <c r="H472" s="47"/>
      <c r="I472" s="257"/>
      <c r="J472" s="245"/>
      <c r="K472" s="245"/>
      <c r="L472" s="245"/>
      <c r="M472" s="245"/>
      <c r="N472" s="245"/>
      <c r="O472" s="245"/>
      <c r="P472" s="245"/>
      <c r="Q472" s="245"/>
      <c r="R472" s="245"/>
      <c r="S472" s="245"/>
      <c r="T472" s="245"/>
      <c r="U472" s="245"/>
      <c r="V472" s="245"/>
      <c r="W472" s="46"/>
      <c r="X472" s="296" t="s">
        <v>212</v>
      </c>
      <c r="Y472" s="296"/>
      <c r="Z472" s="296"/>
      <c r="AA472" s="296"/>
      <c r="AB472" s="296"/>
      <c r="AC472" s="296"/>
      <c r="AD472" s="296"/>
      <c r="AE472" s="296"/>
      <c r="AF472" s="296"/>
      <c r="AG472" s="296"/>
      <c r="AH472" s="296"/>
      <c r="AI472" s="296"/>
      <c r="AJ472" s="296"/>
      <c r="AK472" s="296"/>
      <c r="AL472" s="296"/>
      <c r="AM472" s="296"/>
      <c r="AN472" s="296"/>
      <c r="AO472" s="296"/>
      <c r="AQ472" s="86"/>
      <c r="AR472" s="86"/>
      <c r="AS472" s="86"/>
    </row>
    <row r="473" spans="2:45" ht="18" customHeight="1" thickBot="1" x14ac:dyDescent="0.2">
      <c r="B473" s="42">
        <v>27</v>
      </c>
      <c r="C473" s="46"/>
      <c r="D473" s="82" t="s">
        <v>182</v>
      </c>
      <c r="E473" s="48" t="s">
        <v>72</v>
      </c>
      <c r="F473" s="80"/>
      <c r="G473" s="46"/>
      <c r="H473" s="109"/>
      <c r="I473" s="255"/>
      <c r="J473" s="366" t="str">
        <f>IFERROR(VLOOKUP($F473,補助対象機器一覧20220831!$A$2:$K$200,2,FALSE),"")</f>
        <v/>
      </c>
      <c r="K473" s="367"/>
      <c r="L473" s="368"/>
      <c r="M473" s="245"/>
      <c r="N473" s="366" t="str">
        <f>IFERROR(VLOOKUP($F473,補助対象機器一覧20220831!$A$2:$K$200,7,FALSE),"")</f>
        <v/>
      </c>
      <c r="O473" s="367"/>
      <c r="P473" s="368"/>
      <c r="Q473" s="245"/>
      <c r="R473" s="366" t="str">
        <f>IFERROR(VLOOKUP($F473,補助対象機器一覧20220831!$A$2:$K$200,8,FALSE),"")</f>
        <v/>
      </c>
      <c r="S473" s="367"/>
      <c r="T473" s="368"/>
      <c r="U473" s="245"/>
      <c r="V473" s="244" t="str">
        <f>IFERROR(VLOOKUP($F473,補助対象機器一覧20220831!$A$2:$K$200,9,FALSE),"")</f>
        <v/>
      </c>
      <c r="W473" s="46"/>
      <c r="X473" s="402" t="str">
        <f>IF($B473&lt;=入力シート!$F$85,""&amp;中間シート!X592,"")</f>
        <v/>
      </c>
      <c r="Y473" s="402"/>
      <c r="Z473" s="402"/>
      <c r="AA473" s="402"/>
      <c r="AB473" s="402"/>
      <c r="AC473" s="402"/>
      <c r="AD473" s="402"/>
      <c r="AE473" s="402"/>
      <c r="AF473" s="402"/>
      <c r="AG473" s="402"/>
      <c r="AH473" s="402"/>
      <c r="AI473" s="402"/>
      <c r="AJ473" s="402"/>
      <c r="AK473" s="402"/>
      <c r="AL473" s="402"/>
      <c r="AM473" s="402"/>
      <c r="AN473" s="402"/>
      <c r="AO473" s="402"/>
      <c r="AQ473" s="81">
        <f>IF(J473&lt;&gt;"",1,IF(H473="なし",2,0))</f>
        <v>0</v>
      </c>
      <c r="AR473" s="86"/>
      <c r="AS473" s="86"/>
    </row>
    <row r="474" spans="2:45" ht="5.0999999999999996" customHeight="1" thickBot="1" x14ac:dyDescent="0.2">
      <c r="C474" s="46"/>
      <c r="D474" s="82"/>
      <c r="E474" s="48"/>
      <c r="F474" s="245"/>
      <c r="G474" s="46"/>
      <c r="H474" s="46"/>
      <c r="I474" s="255"/>
      <c r="J474" s="245"/>
      <c r="K474" s="245"/>
      <c r="L474" s="245"/>
      <c r="M474" s="245"/>
      <c r="N474" s="245"/>
      <c r="O474" s="245"/>
      <c r="P474" s="245"/>
      <c r="Q474" s="245"/>
      <c r="R474" s="245"/>
      <c r="S474" s="245"/>
      <c r="T474" s="245"/>
      <c r="U474" s="245"/>
      <c r="V474" s="245"/>
      <c r="W474" s="46"/>
      <c r="X474" s="402"/>
      <c r="Y474" s="402"/>
      <c r="Z474" s="402"/>
      <c r="AA474" s="402"/>
      <c r="AB474" s="402"/>
      <c r="AC474" s="402"/>
      <c r="AD474" s="402"/>
      <c r="AE474" s="402"/>
      <c r="AF474" s="402"/>
      <c r="AG474" s="402"/>
      <c r="AH474" s="402"/>
      <c r="AI474" s="402"/>
      <c r="AJ474" s="402"/>
      <c r="AK474" s="402"/>
      <c r="AL474" s="402"/>
      <c r="AM474" s="402"/>
      <c r="AN474" s="402"/>
      <c r="AO474" s="402"/>
      <c r="AP474" s="41"/>
      <c r="AQ474" s="86"/>
      <c r="AR474" s="86"/>
      <c r="AS474" s="86"/>
    </row>
    <row r="475" spans="2:45" ht="18" customHeight="1" thickBot="1" x14ac:dyDescent="0.2">
      <c r="B475" s="42">
        <v>27</v>
      </c>
      <c r="C475" s="46"/>
      <c r="D475" s="82"/>
      <c r="E475" s="48"/>
      <c r="F475" s="246"/>
      <c r="G475" s="46"/>
      <c r="H475" s="46"/>
      <c r="I475" s="261" t="str">
        <f>IF(AQ473=2,"入力してください→",IF(AQ473=1,"入力不要です→",""))</f>
        <v/>
      </c>
      <c r="J475" s="387"/>
      <c r="K475" s="388"/>
      <c r="L475" s="389"/>
      <c r="M475" s="245"/>
      <c r="N475" s="387"/>
      <c r="O475" s="388"/>
      <c r="P475" s="389"/>
      <c r="Q475" s="245"/>
      <c r="R475" s="387"/>
      <c r="S475" s="388"/>
      <c r="T475" s="389"/>
      <c r="U475" s="245"/>
      <c r="V475" s="249"/>
      <c r="W475" s="46"/>
      <c r="X475" s="402"/>
      <c r="Y475" s="402"/>
      <c r="Z475" s="402"/>
      <c r="AA475" s="402"/>
      <c r="AB475" s="402"/>
      <c r="AC475" s="402"/>
      <c r="AD475" s="402"/>
      <c r="AE475" s="402"/>
      <c r="AF475" s="402"/>
      <c r="AG475" s="402"/>
      <c r="AH475" s="402"/>
      <c r="AI475" s="402"/>
      <c r="AJ475" s="402"/>
      <c r="AK475" s="402"/>
      <c r="AL475" s="402"/>
      <c r="AM475" s="402"/>
      <c r="AN475" s="402"/>
      <c r="AO475" s="402"/>
      <c r="AP475" s="41"/>
      <c r="AQ475" s="86"/>
      <c r="AR475" s="86"/>
      <c r="AS475" s="86"/>
    </row>
    <row r="476" spans="2:45" ht="5.0999999999999996" customHeight="1" thickBot="1" x14ac:dyDescent="0.2">
      <c r="C476" s="46"/>
      <c r="D476" s="46"/>
      <c r="E476" s="47"/>
      <c r="F476" s="245"/>
      <c r="G476" s="47"/>
      <c r="H476" s="47"/>
      <c r="I476" s="255"/>
      <c r="J476" s="245"/>
      <c r="K476" s="245"/>
      <c r="L476" s="245"/>
      <c r="M476" s="245"/>
      <c r="N476" s="245"/>
      <c r="O476" s="245"/>
      <c r="P476" s="245"/>
      <c r="Q476" s="245"/>
      <c r="R476" s="245"/>
      <c r="S476" s="245"/>
      <c r="T476" s="245"/>
      <c r="U476" s="245"/>
      <c r="V476" s="245"/>
      <c r="W476" s="46"/>
      <c r="X476" s="296" t="s">
        <v>212</v>
      </c>
      <c r="Y476" s="296"/>
      <c r="Z476" s="296"/>
      <c r="AA476" s="296"/>
      <c r="AB476" s="296"/>
      <c r="AC476" s="296"/>
      <c r="AD476" s="296"/>
      <c r="AE476" s="296"/>
      <c r="AF476" s="296"/>
      <c r="AG476" s="296"/>
      <c r="AH476" s="296"/>
      <c r="AI476" s="296"/>
      <c r="AJ476" s="296"/>
      <c r="AK476" s="296"/>
      <c r="AL476" s="296"/>
      <c r="AM476" s="296"/>
      <c r="AN476" s="296"/>
      <c r="AO476" s="296"/>
      <c r="AP476" s="41"/>
      <c r="AQ476" s="86"/>
      <c r="AR476" s="86"/>
      <c r="AS476" s="86"/>
    </row>
    <row r="477" spans="2:45" ht="18" customHeight="1" thickBot="1" x14ac:dyDescent="0.2">
      <c r="B477" s="42">
        <v>27</v>
      </c>
      <c r="C477" s="46"/>
      <c r="D477" s="46"/>
      <c r="E477" s="48" t="s">
        <v>73</v>
      </c>
      <c r="F477" s="80"/>
      <c r="G477" s="47"/>
      <c r="H477" s="109"/>
      <c r="I477" s="255"/>
      <c r="J477" s="366" t="str">
        <f>IFERROR(VLOOKUP($F477,補助対象機器一覧20220831!$A$2:$K$200,2,FALSE),"")</f>
        <v/>
      </c>
      <c r="K477" s="367"/>
      <c r="L477" s="368"/>
      <c r="M477" s="245"/>
      <c r="N477" s="366" t="str">
        <f>IFERROR(VLOOKUP($F477,補助対象機器一覧20220831!$A$2:$K$200,7,FALSE),"")</f>
        <v/>
      </c>
      <c r="O477" s="367"/>
      <c r="P477" s="368"/>
      <c r="Q477" s="245"/>
      <c r="R477" s="366" t="str">
        <f>IFERROR(VLOOKUP($F477,補助対象機器一覧20220831!$A$2:$K$200,8,FALSE),"")</f>
        <v/>
      </c>
      <c r="S477" s="367"/>
      <c r="T477" s="368"/>
      <c r="U477" s="245"/>
      <c r="V477" s="244" t="str">
        <f>IFERROR(VLOOKUP($F477,補助対象機器一覧20220831!$A$2:$K$200,9,FALSE),"")</f>
        <v/>
      </c>
      <c r="W477" s="46"/>
      <c r="X477" s="402" t="str">
        <f>IF($B477&lt;=入力シート!$F$85,""&amp;中間シート!X593,"")</f>
        <v/>
      </c>
      <c r="Y477" s="402"/>
      <c r="Z477" s="402"/>
      <c r="AA477" s="402"/>
      <c r="AB477" s="402"/>
      <c r="AC477" s="402"/>
      <c r="AD477" s="402"/>
      <c r="AE477" s="402"/>
      <c r="AF477" s="402"/>
      <c r="AG477" s="402"/>
      <c r="AH477" s="402"/>
      <c r="AI477" s="402"/>
      <c r="AJ477" s="402"/>
      <c r="AK477" s="402"/>
      <c r="AL477" s="402"/>
      <c r="AM477" s="402"/>
      <c r="AN477" s="402"/>
      <c r="AO477" s="402"/>
      <c r="AP477" s="41"/>
      <c r="AQ477" s="81">
        <f>IF(J477&lt;&gt;"",1,IF(H477="なし",2,0))</f>
        <v>0</v>
      </c>
      <c r="AR477" s="86"/>
      <c r="AS477" s="86"/>
    </row>
    <row r="478" spans="2:45" ht="5.0999999999999996" customHeight="1" thickBot="1" x14ac:dyDescent="0.2">
      <c r="C478" s="46"/>
      <c r="D478" s="46"/>
      <c r="E478" s="48"/>
      <c r="F478" s="246"/>
      <c r="G478" s="47"/>
      <c r="H478" s="47"/>
      <c r="I478" s="255"/>
      <c r="J478" s="246"/>
      <c r="K478" s="246"/>
      <c r="L478" s="246"/>
      <c r="M478" s="245"/>
      <c r="N478" s="246"/>
      <c r="O478" s="246"/>
      <c r="P478" s="246"/>
      <c r="Q478" s="245"/>
      <c r="R478" s="246"/>
      <c r="S478" s="246"/>
      <c r="T478" s="246"/>
      <c r="U478" s="245"/>
      <c r="V478" s="246"/>
      <c r="W478" s="46"/>
      <c r="X478" s="402"/>
      <c r="Y478" s="402"/>
      <c r="Z478" s="402"/>
      <c r="AA478" s="402"/>
      <c r="AB478" s="402"/>
      <c r="AC478" s="402"/>
      <c r="AD478" s="402"/>
      <c r="AE478" s="402"/>
      <c r="AF478" s="402"/>
      <c r="AG478" s="402"/>
      <c r="AH478" s="402"/>
      <c r="AI478" s="402"/>
      <c r="AJ478" s="402"/>
      <c r="AK478" s="402"/>
      <c r="AL478" s="402"/>
      <c r="AM478" s="402"/>
      <c r="AN478" s="402"/>
      <c r="AO478" s="402"/>
      <c r="AP478" s="41"/>
      <c r="AQ478" s="86"/>
      <c r="AR478" s="86"/>
      <c r="AS478" s="86"/>
    </row>
    <row r="479" spans="2:45" ht="18" customHeight="1" thickBot="1" x14ac:dyDescent="0.2">
      <c r="B479" s="42">
        <v>27</v>
      </c>
      <c r="C479" s="46"/>
      <c r="D479" s="46"/>
      <c r="E479" s="48"/>
      <c r="F479" s="246"/>
      <c r="G479" s="47"/>
      <c r="H479" s="47"/>
      <c r="I479" s="261" t="str">
        <f>IF(AQ477=2,"入力してください→",IF(AQ477=1,"入力不要です→",""))</f>
        <v/>
      </c>
      <c r="J479" s="387"/>
      <c r="K479" s="388"/>
      <c r="L479" s="389"/>
      <c r="M479" s="245"/>
      <c r="N479" s="387"/>
      <c r="O479" s="388"/>
      <c r="P479" s="389"/>
      <c r="Q479" s="245"/>
      <c r="R479" s="387"/>
      <c r="S479" s="388"/>
      <c r="T479" s="389"/>
      <c r="U479" s="245"/>
      <c r="V479" s="249"/>
      <c r="W479" s="46"/>
      <c r="X479" s="402"/>
      <c r="Y479" s="402"/>
      <c r="Z479" s="402"/>
      <c r="AA479" s="402"/>
      <c r="AB479" s="402"/>
      <c r="AC479" s="402"/>
      <c r="AD479" s="402"/>
      <c r="AE479" s="402"/>
      <c r="AF479" s="402"/>
      <c r="AG479" s="402"/>
      <c r="AH479" s="402"/>
      <c r="AI479" s="402"/>
      <c r="AJ479" s="402"/>
      <c r="AK479" s="402"/>
      <c r="AL479" s="402"/>
      <c r="AM479" s="402"/>
      <c r="AN479" s="402"/>
      <c r="AO479" s="402"/>
      <c r="AP479" s="41"/>
      <c r="AQ479" s="86"/>
      <c r="AR479" s="86"/>
      <c r="AS479" s="86"/>
    </row>
    <row r="480" spans="2:45" ht="5.0999999999999996" customHeight="1" thickBot="1" x14ac:dyDescent="0.2">
      <c r="C480" s="46"/>
      <c r="D480" s="46"/>
      <c r="E480" s="48"/>
      <c r="F480" s="246"/>
      <c r="G480" s="47"/>
      <c r="H480" s="47"/>
      <c r="I480" s="255"/>
      <c r="J480" s="246"/>
      <c r="K480" s="246"/>
      <c r="L480" s="246"/>
      <c r="M480" s="245"/>
      <c r="N480" s="246"/>
      <c r="O480" s="246"/>
      <c r="P480" s="246"/>
      <c r="Q480" s="245"/>
      <c r="R480" s="246"/>
      <c r="S480" s="246"/>
      <c r="T480" s="246"/>
      <c r="U480" s="245"/>
      <c r="V480" s="246"/>
      <c r="W480" s="46"/>
      <c r="X480" s="296" t="s">
        <v>212</v>
      </c>
      <c r="Y480" s="296"/>
      <c r="Z480" s="296"/>
      <c r="AA480" s="296"/>
      <c r="AB480" s="296"/>
      <c r="AC480" s="296"/>
      <c r="AD480" s="296"/>
      <c r="AE480" s="296"/>
      <c r="AF480" s="296"/>
      <c r="AG480" s="296"/>
      <c r="AH480" s="296"/>
      <c r="AI480" s="296"/>
      <c r="AJ480" s="296"/>
      <c r="AK480" s="296"/>
      <c r="AL480" s="296"/>
      <c r="AM480" s="296"/>
      <c r="AN480" s="296"/>
      <c r="AO480" s="296"/>
      <c r="AP480" s="41"/>
      <c r="AQ480" s="86"/>
      <c r="AR480" s="86"/>
      <c r="AS480" s="86"/>
    </row>
    <row r="481" spans="2:45" ht="18" customHeight="1" thickBot="1" x14ac:dyDescent="0.2">
      <c r="B481" s="42">
        <v>27</v>
      </c>
      <c r="C481" s="46"/>
      <c r="D481" s="46"/>
      <c r="E481" s="48" t="s">
        <v>74</v>
      </c>
      <c r="F481" s="80"/>
      <c r="G481" s="47"/>
      <c r="H481" s="109"/>
      <c r="I481" s="255"/>
      <c r="J481" s="366" t="str">
        <f>IFERROR(VLOOKUP($F481,補助対象機器一覧20220831!$A$2:$K$200,2,FALSE),"")</f>
        <v/>
      </c>
      <c r="K481" s="367"/>
      <c r="L481" s="368"/>
      <c r="M481" s="245"/>
      <c r="N481" s="366" t="str">
        <f>IFERROR(VLOOKUP($F481,補助対象機器一覧20220831!$A$2:$K$200,7,FALSE),"")</f>
        <v/>
      </c>
      <c r="O481" s="367"/>
      <c r="P481" s="368"/>
      <c r="Q481" s="245"/>
      <c r="R481" s="366" t="str">
        <f>IFERROR(VLOOKUP($F481,補助対象機器一覧20220831!$A$2:$K$200,8,FALSE),"")</f>
        <v/>
      </c>
      <c r="S481" s="367"/>
      <c r="T481" s="368"/>
      <c r="U481" s="245"/>
      <c r="V481" s="244" t="str">
        <f>IFERROR(VLOOKUP($F481,補助対象機器一覧20220831!$A$2:$K$200,9,FALSE),"")</f>
        <v/>
      </c>
      <c r="W481" s="46"/>
      <c r="X481" s="402" t="str">
        <f>IF($B481&lt;=入力シート!$F$85,""&amp;中間シート!X594,"")</f>
        <v/>
      </c>
      <c r="Y481" s="402"/>
      <c r="Z481" s="402"/>
      <c r="AA481" s="402"/>
      <c r="AB481" s="402"/>
      <c r="AC481" s="402"/>
      <c r="AD481" s="402"/>
      <c r="AE481" s="402"/>
      <c r="AF481" s="402"/>
      <c r="AG481" s="402"/>
      <c r="AH481" s="402"/>
      <c r="AI481" s="402"/>
      <c r="AJ481" s="402"/>
      <c r="AK481" s="402"/>
      <c r="AL481" s="402"/>
      <c r="AM481" s="402"/>
      <c r="AN481" s="402"/>
      <c r="AO481" s="402"/>
      <c r="AP481" s="41"/>
      <c r="AQ481" s="81">
        <f>IF(J481&lt;&gt;"",1,IF(H481="なし",2,0))</f>
        <v>0</v>
      </c>
      <c r="AR481" s="86"/>
      <c r="AS481" s="86"/>
    </row>
    <row r="482" spans="2:45" ht="5.0999999999999996" customHeight="1" thickBot="1" x14ac:dyDescent="0.2">
      <c r="C482" s="46"/>
      <c r="D482" s="46"/>
      <c r="E482" s="48"/>
      <c r="F482" s="246"/>
      <c r="G482" s="47"/>
      <c r="H482" s="47"/>
      <c r="I482" s="255"/>
      <c r="J482" s="246"/>
      <c r="K482" s="246"/>
      <c r="L482" s="246"/>
      <c r="M482" s="245"/>
      <c r="N482" s="246"/>
      <c r="O482" s="246"/>
      <c r="P482" s="246"/>
      <c r="Q482" s="245"/>
      <c r="R482" s="246"/>
      <c r="S482" s="246"/>
      <c r="T482" s="246"/>
      <c r="U482" s="245"/>
      <c r="V482" s="246"/>
      <c r="W482" s="46"/>
      <c r="X482" s="402"/>
      <c r="Y482" s="402"/>
      <c r="Z482" s="402"/>
      <c r="AA482" s="402"/>
      <c r="AB482" s="402"/>
      <c r="AC482" s="402"/>
      <c r="AD482" s="402"/>
      <c r="AE482" s="402"/>
      <c r="AF482" s="402"/>
      <c r="AG482" s="402"/>
      <c r="AH482" s="402"/>
      <c r="AI482" s="402"/>
      <c r="AJ482" s="402"/>
      <c r="AK482" s="402"/>
      <c r="AL482" s="402"/>
      <c r="AM482" s="402"/>
      <c r="AN482" s="402"/>
      <c r="AO482" s="402"/>
      <c r="AP482" s="41"/>
      <c r="AQ482" s="86"/>
      <c r="AR482" s="86"/>
      <c r="AS482" s="86"/>
    </row>
    <row r="483" spans="2:45" ht="18" customHeight="1" thickBot="1" x14ac:dyDescent="0.2">
      <c r="B483" s="42">
        <v>27</v>
      </c>
      <c r="C483" s="46"/>
      <c r="D483" s="46"/>
      <c r="E483" s="47"/>
      <c r="F483" s="246"/>
      <c r="G483" s="47"/>
      <c r="H483" s="47"/>
      <c r="I483" s="261" t="str">
        <f>IF(AQ481=2,"入力してください→",IF(AQ481=1,"入力不要です→",""))</f>
        <v/>
      </c>
      <c r="J483" s="387"/>
      <c r="K483" s="388"/>
      <c r="L483" s="389"/>
      <c r="M483" s="245"/>
      <c r="N483" s="387"/>
      <c r="O483" s="388"/>
      <c r="P483" s="389"/>
      <c r="Q483" s="245"/>
      <c r="R483" s="387"/>
      <c r="S483" s="388"/>
      <c r="T483" s="389"/>
      <c r="U483" s="245"/>
      <c r="V483" s="249"/>
      <c r="W483" s="46"/>
      <c r="X483" s="402"/>
      <c r="Y483" s="402"/>
      <c r="Z483" s="402"/>
      <c r="AA483" s="402"/>
      <c r="AB483" s="402"/>
      <c r="AC483" s="402"/>
      <c r="AD483" s="402"/>
      <c r="AE483" s="402"/>
      <c r="AF483" s="402"/>
      <c r="AG483" s="402"/>
      <c r="AH483" s="402"/>
      <c r="AI483" s="402"/>
      <c r="AJ483" s="402"/>
      <c r="AK483" s="402"/>
      <c r="AL483" s="402"/>
      <c r="AM483" s="402"/>
      <c r="AN483" s="402"/>
      <c r="AO483" s="402"/>
      <c r="AP483" s="41"/>
      <c r="AQ483" s="86"/>
      <c r="AR483" s="86"/>
      <c r="AS483" s="86"/>
    </row>
    <row r="484" spans="2:45" x14ac:dyDescent="0.15">
      <c r="C484" s="46"/>
      <c r="D484" s="46"/>
      <c r="E484" s="47"/>
      <c r="F484" s="246"/>
      <c r="G484" s="47"/>
      <c r="H484" s="47"/>
      <c r="I484" s="257"/>
      <c r="J484" s="245"/>
      <c r="K484" s="245"/>
      <c r="L484" s="245"/>
      <c r="M484" s="245"/>
      <c r="N484" s="245"/>
      <c r="O484" s="245"/>
      <c r="P484" s="245"/>
      <c r="Q484" s="245"/>
      <c r="R484" s="245"/>
      <c r="S484" s="245"/>
      <c r="T484" s="245"/>
      <c r="U484" s="245"/>
      <c r="V484" s="245"/>
      <c r="W484" s="46"/>
      <c r="X484" s="296" t="s">
        <v>212</v>
      </c>
      <c r="Y484" s="296"/>
      <c r="Z484" s="296"/>
      <c r="AA484" s="296"/>
      <c r="AB484" s="296"/>
      <c r="AC484" s="296"/>
      <c r="AD484" s="296"/>
      <c r="AE484" s="296"/>
      <c r="AF484" s="296"/>
      <c r="AG484" s="296"/>
      <c r="AH484" s="296"/>
      <c r="AI484" s="296"/>
      <c r="AJ484" s="296"/>
      <c r="AK484" s="296"/>
      <c r="AL484" s="296"/>
      <c r="AM484" s="296"/>
      <c r="AN484" s="296"/>
      <c r="AO484" s="296"/>
      <c r="AQ484" s="86"/>
      <c r="AR484" s="86"/>
      <c r="AS484" s="86"/>
    </row>
    <row r="485" spans="2:45" ht="14.25" thickBot="1" x14ac:dyDescent="0.2">
      <c r="C485" s="86"/>
      <c r="D485" s="86"/>
      <c r="E485" s="93"/>
      <c r="F485" s="247"/>
      <c r="G485" s="93"/>
      <c r="H485" s="93"/>
      <c r="I485" s="258"/>
      <c r="J485" s="248"/>
      <c r="K485" s="248"/>
      <c r="L485" s="248"/>
      <c r="M485" s="248"/>
      <c r="N485" s="248"/>
      <c r="O485" s="248"/>
      <c r="P485" s="248"/>
      <c r="Q485" s="248"/>
      <c r="R485" s="248"/>
      <c r="S485" s="248"/>
      <c r="T485" s="248"/>
      <c r="U485" s="248"/>
      <c r="V485" s="248"/>
      <c r="W485" s="86"/>
      <c r="X485" s="296" t="s">
        <v>212</v>
      </c>
      <c r="Y485" s="296"/>
      <c r="Z485" s="296"/>
      <c r="AA485" s="296"/>
      <c r="AB485" s="296"/>
      <c r="AC485" s="296"/>
      <c r="AD485" s="296"/>
      <c r="AE485" s="296"/>
      <c r="AF485" s="296"/>
      <c r="AG485" s="296"/>
      <c r="AH485" s="296"/>
      <c r="AI485" s="296"/>
      <c r="AJ485" s="296"/>
      <c r="AK485" s="296"/>
      <c r="AL485" s="296"/>
      <c r="AM485" s="296"/>
      <c r="AN485" s="296"/>
      <c r="AO485" s="296"/>
      <c r="AQ485" s="86"/>
      <c r="AR485" s="86"/>
      <c r="AS485" s="86"/>
    </row>
    <row r="486" spans="2:45" ht="18" customHeight="1" thickBot="1" x14ac:dyDescent="0.2">
      <c r="B486" s="42">
        <v>28</v>
      </c>
      <c r="C486" s="86"/>
      <c r="D486" s="94" t="s">
        <v>183</v>
      </c>
      <c r="E486" s="95" t="s">
        <v>72</v>
      </c>
      <c r="F486" s="80"/>
      <c r="G486" s="86"/>
      <c r="H486" s="80"/>
      <c r="I486" s="259"/>
      <c r="J486" s="366" t="str">
        <f>IFERROR(VLOOKUP($F486,補助対象機器一覧20220831!$A$2:$K$200,2,FALSE),"")</f>
        <v/>
      </c>
      <c r="K486" s="367"/>
      <c r="L486" s="368"/>
      <c r="M486" s="248"/>
      <c r="N486" s="366" t="str">
        <f>IFERROR(VLOOKUP($F486,補助対象機器一覧20220831!$A$2:$K$200,7,FALSE),"")</f>
        <v/>
      </c>
      <c r="O486" s="367"/>
      <c r="P486" s="368"/>
      <c r="Q486" s="248"/>
      <c r="R486" s="366" t="str">
        <f>IFERROR(VLOOKUP($F486,補助対象機器一覧20220831!$A$2:$K$200,8,FALSE),"")</f>
        <v/>
      </c>
      <c r="S486" s="367"/>
      <c r="T486" s="368"/>
      <c r="U486" s="248"/>
      <c r="V486" s="244" t="str">
        <f>IFERROR(VLOOKUP($F486,補助対象機器一覧20220831!$A$2:$K$200,9,FALSE),"")</f>
        <v/>
      </c>
      <c r="W486" s="86"/>
      <c r="X486" s="402" t="str">
        <f>IF($B486&lt;=入力シート!$F$85,""&amp;中間シート!X595,"")</f>
        <v/>
      </c>
      <c r="Y486" s="402"/>
      <c r="Z486" s="402"/>
      <c r="AA486" s="402"/>
      <c r="AB486" s="402"/>
      <c r="AC486" s="402"/>
      <c r="AD486" s="402"/>
      <c r="AE486" s="402"/>
      <c r="AF486" s="402"/>
      <c r="AG486" s="402"/>
      <c r="AH486" s="402"/>
      <c r="AI486" s="402"/>
      <c r="AJ486" s="402"/>
      <c r="AK486" s="402"/>
      <c r="AL486" s="402"/>
      <c r="AM486" s="402"/>
      <c r="AN486" s="402"/>
      <c r="AO486" s="402"/>
      <c r="AQ486" s="81">
        <f>IF(J486&lt;&gt;"",1,IF(H486="なし",2,0))</f>
        <v>0</v>
      </c>
      <c r="AR486" s="86"/>
      <c r="AS486" s="86"/>
    </row>
    <row r="487" spans="2:45" ht="5.0999999999999996" customHeight="1" thickBot="1" x14ac:dyDescent="0.2">
      <c r="C487" s="86"/>
      <c r="D487" s="94"/>
      <c r="E487" s="95"/>
      <c r="F487" s="248"/>
      <c r="G487" s="86"/>
      <c r="H487" s="86"/>
      <c r="I487" s="259"/>
      <c r="J487" s="248"/>
      <c r="K487" s="248"/>
      <c r="L487" s="248"/>
      <c r="M487" s="248"/>
      <c r="N487" s="248"/>
      <c r="O487" s="248"/>
      <c r="P487" s="248"/>
      <c r="Q487" s="248"/>
      <c r="R487" s="248"/>
      <c r="S487" s="248"/>
      <c r="T487" s="248"/>
      <c r="U487" s="248"/>
      <c r="V487" s="248"/>
      <c r="W487" s="86"/>
      <c r="X487" s="402"/>
      <c r="Y487" s="402"/>
      <c r="Z487" s="402"/>
      <c r="AA487" s="402"/>
      <c r="AB487" s="402"/>
      <c r="AC487" s="402"/>
      <c r="AD487" s="402"/>
      <c r="AE487" s="402"/>
      <c r="AF487" s="402"/>
      <c r="AG487" s="402"/>
      <c r="AH487" s="402"/>
      <c r="AI487" s="402"/>
      <c r="AJ487" s="402"/>
      <c r="AK487" s="402"/>
      <c r="AL487" s="402"/>
      <c r="AM487" s="402"/>
      <c r="AN487" s="402"/>
      <c r="AO487" s="402"/>
      <c r="AP487" s="41"/>
      <c r="AQ487" s="86"/>
      <c r="AR487" s="86"/>
      <c r="AS487" s="86"/>
    </row>
    <row r="488" spans="2:45" ht="18" customHeight="1" thickBot="1" x14ac:dyDescent="0.2">
      <c r="B488" s="42">
        <v>28</v>
      </c>
      <c r="C488" s="86"/>
      <c r="D488" s="94"/>
      <c r="E488" s="95"/>
      <c r="F488" s="247"/>
      <c r="G488" s="86"/>
      <c r="H488" s="86"/>
      <c r="I488" s="260" t="str">
        <f>IF(AQ486=2,"入力してください→",IF(AQ486=1,"入力不要です→",""))</f>
        <v/>
      </c>
      <c r="J488" s="387"/>
      <c r="K488" s="388"/>
      <c r="L488" s="389"/>
      <c r="M488" s="248"/>
      <c r="N488" s="387"/>
      <c r="O488" s="388"/>
      <c r="P488" s="389"/>
      <c r="Q488" s="248"/>
      <c r="R488" s="387"/>
      <c r="S488" s="388"/>
      <c r="T488" s="389"/>
      <c r="U488" s="248"/>
      <c r="V488" s="249"/>
      <c r="W488" s="86"/>
      <c r="X488" s="402"/>
      <c r="Y488" s="402"/>
      <c r="Z488" s="402"/>
      <c r="AA488" s="402"/>
      <c r="AB488" s="402"/>
      <c r="AC488" s="402"/>
      <c r="AD488" s="402"/>
      <c r="AE488" s="402"/>
      <c r="AF488" s="402"/>
      <c r="AG488" s="402"/>
      <c r="AH488" s="402"/>
      <c r="AI488" s="402"/>
      <c r="AJ488" s="402"/>
      <c r="AK488" s="402"/>
      <c r="AL488" s="402"/>
      <c r="AM488" s="402"/>
      <c r="AN488" s="402"/>
      <c r="AO488" s="402"/>
      <c r="AP488" s="41"/>
      <c r="AQ488" s="86"/>
      <c r="AR488" s="86"/>
      <c r="AS488" s="86"/>
    </row>
    <row r="489" spans="2:45" ht="5.0999999999999996" customHeight="1" thickBot="1" x14ac:dyDescent="0.2">
      <c r="C489" s="86"/>
      <c r="D489" s="86"/>
      <c r="E489" s="93"/>
      <c r="F489" s="248"/>
      <c r="G489" s="93"/>
      <c r="H489" s="93"/>
      <c r="I489" s="259"/>
      <c r="J489" s="248"/>
      <c r="K489" s="248"/>
      <c r="L489" s="248"/>
      <c r="M489" s="248"/>
      <c r="N489" s="248"/>
      <c r="O489" s="248"/>
      <c r="P489" s="248"/>
      <c r="Q489" s="248"/>
      <c r="R489" s="248"/>
      <c r="S489" s="248"/>
      <c r="T489" s="248"/>
      <c r="U489" s="248"/>
      <c r="V489" s="248"/>
      <c r="W489" s="86"/>
      <c r="X489" s="296" t="s">
        <v>212</v>
      </c>
      <c r="Y489" s="296"/>
      <c r="Z489" s="296"/>
      <c r="AA489" s="296"/>
      <c r="AB489" s="296"/>
      <c r="AC489" s="296"/>
      <c r="AD489" s="296"/>
      <c r="AE489" s="296"/>
      <c r="AF489" s="296"/>
      <c r="AG489" s="296"/>
      <c r="AH489" s="296"/>
      <c r="AI489" s="296"/>
      <c r="AJ489" s="296"/>
      <c r="AK489" s="296"/>
      <c r="AL489" s="296"/>
      <c r="AM489" s="296"/>
      <c r="AN489" s="296"/>
      <c r="AO489" s="296"/>
      <c r="AP489" s="41"/>
      <c r="AQ489" s="86"/>
      <c r="AR489" s="86"/>
      <c r="AS489" s="86"/>
    </row>
    <row r="490" spans="2:45" ht="18" customHeight="1" thickBot="1" x14ac:dyDescent="0.2">
      <c r="B490" s="42">
        <v>28</v>
      </c>
      <c r="C490" s="86"/>
      <c r="D490" s="86"/>
      <c r="E490" s="95" t="s">
        <v>73</v>
      </c>
      <c r="F490" s="80"/>
      <c r="G490" s="93"/>
      <c r="H490" s="80"/>
      <c r="I490" s="259"/>
      <c r="J490" s="366" t="str">
        <f>IFERROR(VLOOKUP($F490,補助対象機器一覧20220831!$A$2:$K$200,2,FALSE),"")</f>
        <v/>
      </c>
      <c r="K490" s="367"/>
      <c r="L490" s="368"/>
      <c r="M490" s="248"/>
      <c r="N490" s="366" t="str">
        <f>IFERROR(VLOOKUP($F490,補助対象機器一覧20220831!$A$2:$K$200,7,FALSE),"")</f>
        <v/>
      </c>
      <c r="O490" s="367"/>
      <c r="P490" s="368"/>
      <c r="Q490" s="248"/>
      <c r="R490" s="366" t="str">
        <f>IFERROR(VLOOKUP($F490,補助対象機器一覧20220831!$A$2:$K$200,8,FALSE),"")</f>
        <v/>
      </c>
      <c r="S490" s="367"/>
      <c r="T490" s="368"/>
      <c r="U490" s="248"/>
      <c r="V490" s="244" t="str">
        <f>IFERROR(VLOOKUP($F490,補助対象機器一覧20220831!$A$2:$K$200,9,FALSE),"")</f>
        <v/>
      </c>
      <c r="W490" s="86"/>
      <c r="X490" s="402" t="str">
        <f>IF($B490&lt;=入力シート!$F$85,""&amp;中間シート!X596,"")</f>
        <v/>
      </c>
      <c r="Y490" s="402"/>
      <c r="Z490" s="402"/>
      <c r="AA490" s="402"/>
      <c r="AB490" s="402"/>
      <c r="AC490" s="402"/>
      <c r="AD490" s="402"/>
      <c r="AE490" s="402"/>
      <c r="AF490" s="402"/>
      <c r="AG490" s="402"/>
      <c r="AH490" s="402"/>
      <c r="AI490" s="402"/>
      <c r="AJ490" s="402"/>
      <c r="AK490" s="402"/>
      <c r="AL490" s="402"/>
      <c r="AM490" s="402"/>
      <c r="AN490" s="402"/>
      <c r="AO490" s="402"/>
      <c r="AP490" s="41"/>
      <c r="AQ490" s="81">
        <f>IF(J490&lt;&gt;"",1,IF(H490="なし",2,0))</f>
        <v>0</v>
      </c>
      <c r="AR490" s="86"/>
      <c r="AS490" s="86"/>
    </row>
    <row r="491" spans="2:45" ht="5.0999999999999996" customHeight="1" thickBot="1" x14ac:dyDescent="0.2">
      <c r="C491" s="86"/>
      <c r="D491" s="86"/>
      <c r="E491" s="95"/>
      <c r="F491" s="247"/>
      <c r="G491" s="93"/>
      <c r="H491" s="93"/>
      <c r="I491" s="259"/>
      <c r="J491" s="247"/>
      <c r="K491" s="247"/>
      <c r="L491" s="247"/>
      <c r="M491" s="248"/>
      <c r="N491" s="247"/>
      <c r="O491" s="247"/>
      <c r="P491" s="247"/>
      <c r="Q491" s="248"/>
      <c r="R491" s="247"/>
      <c r="S491" s="247"/>
      <c r="T491" s="247"/>
      <c r="U491" s="248"/>
      <c r="V491" s="247"/>
      <c r="W491" s="86"/>
      <c r="X491" s="402"/>
      <c r="Y491" s="402"/>
      <c r="Z491" s="402"/>
      <c r="AA491" s="402"/>
      <c r="AB491" s="402"/>
      <c r="AC491" s="402"/>
      <c r="AD491" s="402"/>
      <c r="AE491" s="402"/>
      <c r="AF491" s="402"/>
      <c r="AG491" s="402"/>
      <c r="AH491" s="402"/>
      <c r="AI491" s="402"/>
      <c r="AJ491" s="402"/>
      <c r="AK491" s="402"/>
      <c r="AL491" s="402"/>
      <c r="AM491" s="402"/>
      <c r="AN491" s="402"/>
      <c r="AO491" s="402"/>
      <c r="AP491" s="41"/>
      <c r="AQ491" s="86"/>
      <c r="AR491" s="86"/>
      <c r="AS491" s="86"/>
    </row>
    <row r="492" spans="2:45" ht="18" customHeight="1" thickBot="1" x14ac:dyDescent="0.2">
      <c r="B492" s="42">
        <v>28</v>
      </c>
      <c r="C492" s="86"/>
      <c r="D492" s="86"/>
      <c r="E492" s="95"/>
      <c r="F492" s="247"/>
      <c r="G492" s="93"/>
      <c r="H492" s="93"/>
      <c r="I492" s="260" t="str">
        <f>IF(AQ490=2,"入力してください→",IF(AQ490=1,"入力不要です→",""))</f>
        <v/>
      </c>
      <c r="J492" s="387"/>
      <c r="K492" s="388"/>
      <c r="L492" s="389"/>
      <c r="M492" s="248"/>
      <c r="N492" s="387"/>
      <c r="O492" s="388"/>
      <c r="P492" s="389"/>
      <c r="Q492" s="248"/>
      <c r="R492" s="387"/>
      <c r="S492" s="388"/>
      <c r="T492" s="389"/>
      <c r="U492" s="248"/>
      <c r="V492" s="249"/>
      <c r="W492" s="86"/>
      <c r="X492" s="402"/>
      <c r="Y492" s="402"/>
      <c r="Z492" s="402"/>
      <c r="AA492" s="402"/>
      <c r="AB492" s="402"/>
      <c r="AC492" s="402"/>
      <c r="AD492" s="402"/>
      <c r="AE492" s="402"/>
      <c r="AF492" s="402"/>
      <c r="AG492" s="402"/>
      <c r="AH492" s="402"/>
      <c r="AI492" s="402"/>
      <c r="AJ492" s="402"/>
      <c r="AK492" s="402"/>
      <c r="AL492" s="402"/>
      <c r="AM492" s="402"/>
      <c r="AN492" s="402"/>
      <c r="AO492" s="402"/>
      <c r="AP492" s="41"/>
      <c r="AQ492" s="86"/>
      <c r="AR492" s="86"/>
      <c r="AS492" s="86"/>
    </row>
    <row r="493" spans="2:45" ht="5.0999999999999996" customHeight="1" thickBot="1" x14ac:dyDescent="0.2">
      <c r="C493" s="86"/>
      <c r="D493" s="86"/>
      <c r="E493" s="95"/>
      <c r="F493" s="247"/>
      <c r="G493" s="93"/>
      <c r="H493" s="93"/>
      <c r="I493" s="259"/>
      <c r="J493" s="247"/>
      <c r="K493" s="247"/>
      <c r="L493" s="247"/>
      <c r="M493" s="248"/>
      <c r="N493" s="247"/>
      <c r="O493" s="247"/>
      <c r="P493" s="247"/>
      <c r="Q493" s="248"/>
      <c r="R493" s="247"/>
      <c r="S493" s="247"/>
      <c r="T493" s="247"/>
      <c r="U493" s="248"/>
      <c r="V493" s="247"/>
      <c r="W493" s="86"/>
      <c r="X493" s="296" t="s">
        <v>212</v>
      </c>
      <c r="Y493" s="296"/>
      <c r="Z493" s="296"/>
      <c r="AA493" s="296"/>
      <c r="AB493" s="296"/>
      <c r="AC493" s="296"/>
      <c r="AD493" s="296"/>
      <c r="AE493" s="296"/>
      <c r="AF493" s="296"/>
      <c r="AG493" s="296"/>
      <c r="AH493" s="296"/>
      <c r="AI493" s="296"/>
      <c r="AJ493" s="296"/>
      <c r="AK493" s="296"/>
      <c r="AL493" s="296"/>
      <c r="AM493" s="296"/>
      <c r="AN493" s="296"/>
      <c r="AO493" s="296"/>
      <c r="AP493" s="41"/>
      <c r="AQ493" s="86"/>
      <c r="AR493" s="86"/>
      <c r="AS493" s="86"/>
    </row>
    <row r="494" spans="2:45" ht="18" customHeight="1" thickBot="1" x14ac:dyDescent="0.2">
      <c r="B494" s="42">
        <v>28</v>
      </c>
      <c r="C494" s="86"/>
      <c r="D494" s="86"/>
      <c r="E494" s="95" t="s">
        <v>74</v>
      </c>
      <c r="F494" s="80"/>
      <c r="G494" s="93"/>
      <c r="H494" s="80"/>
      <c r="I494" s="259"/>
      <c r="J494" s="366" t="str">
        <f>IFERROR(VLOOKUP($F494,補助対象機器一覧20220831!$A$2:$K$200,2,FALSE),"")</f>
        <v/>
      </c>
      <c r="K494" s="367"/>
      <c r="L494" s="368"/>
      <c r="M494" s="248"/>
      <c r="N494" s="366" t="str">
        <f>IFERROR(VLOOKUP($F494,補助対象機器一覧20220831!$A$2:$K$200,7,FALSE),"")</f>
        <v/>
      </c>
      <c r="O494" s="367"/>
      <c r="P494" s="368"/>
      <c r="Q494" s="248"/>
      <c r="R494" s="366" t="str">
        <f>IFERROR(VLOOKUP($F494,補助対象機器一覧20220831!$A$2:$K$200,8,FALSE),"")</f>
        <v/>
      </c>
      <c r="S494" s="367"/>
      <c r="T494" s="368"/>
      <c r="U494" s="248"/>
      <c r="V494" s="244" t="str">
        <f>IFERROR(VLOOKUP($F494,補助対象機器一覧20220831!$A$2:$K$200,9,FALSE),"")</f>
        <v/>
      </c>
      <c r="W494" s="86"/>
      <c r="X494" s="402" t="str">
        <f>IF($B494&lt;=入力シート!$F$85,""&amp;中間シート!X597,"")</f>
        <v/>
      </c>
      <c r="Y494" s="402"/>
      <c r="Z494" s="402"/>
      <c r="AA494" s="402"/>
      <c r="AB494" s="402"/>
      <c r="AC494" s="402"/>
      <c r="AD494" s="402"/>
      <c r="AE494" s="402"/>
      <c r="AF494" s="402"/>
      <c r="AG494" s="402"/>
      <c r="AH494" s="402"/>
      <c r="AI494" s="402"/>
      <c r="AJ494" s="402"/>
      <c r="AK494" s="402"/>
      <c r="AL494" s="402"/>
      <c r="AM494" s="402"/>
      <c r="AN494" s="402"/>
      <c r="AO494" s="402"/>
      <c r="AP494" s="41"/>
      <c r="AQ494" s="81">
        <f>IF(J494&lt;&gt;"",1,IF(H494="なし",2,0))</f>
        <v>0</v>
      </c>
      <c r="AR494" s="86"/>
      <c r="AS494" s="86"/>
    </row>
    <row r="495" spans="2:45" ht="5.0999999999999996" customHeight="1" thickBot="1" x14ac:dyDescent="0.2">
      <c r="C495" s="86"/>
      <c r="D495" s="86"/>
      <c r="E495" s="95"/>
      <c r="F495" s="247"/>
      <c r="G495" s="93"/>
      <c r="H495" s="93"/>
      <c r="I495" s="259"/>
      <c r="J495" s="247"/>
      <c r="K495" s="247"/>
      <c r="L495" s="247"/>
      <c r="M495" s="248"/>
      <c r="N495" s="247"/>
      <c r="O495" s="247"/>
      <c r="P495" s="247"/>
      <c r="Q495" s="248"/>
      <c r="R495" s="247"/>
      <c r="S495" s="247"/>
      <c r="T495" s="247"/>
      <c r="U495" s="248"/>
      <c r="V495" s="247"/>
      <c r="W495" s="86"/>
      <c r="X495" s="402"/>
      <c r="Y495" s="402"/>
      <c r="Z495" s="402"/>
      <c r="AA495" s="402"/>
      <c r="AB495" s="402"/>
      <c r="AC495" s="402"/>
      <c r="AD495" s="402"/>
      <c r="AE495" s="402"/>
      <c r="AF495" s="402"/>
      <c r="AG495" s="402"/>
      <c r="AH495" s="402"/>
      <c r="AI495" s="402"/>
      <c r="AJ495" s="402"/>
      <c r="AK495" s="402"/>
      <c r="AL495" s="402"/>
      <c r="AM495" s="402"/>
      <c r="AN495" s="402"/>
      <c r="AO495" s="402"/>
      <c r="AP495" s="41"/>
      <c r="AQ495" s="86"/>
      <c r="AR495" s="86"/>
      <c r="AS495" s="86"/>
    </row>
    <row r="496" spans="2:45" ht="18" customHeight="1" thickBot="1" x14ac:dyDescent="0.2">
      <c r="B496" s="42">
        <v>28</v>
      </c>
      <c r="C496" s="86"/>
      <c r="D496" s="86"/>
      <c r="E496" s="93"/>
      <c r="F496" s="247"/>
      <c r="G496" s="93"/>
      <c r="H496" s="93"/>
      <c r="I496" s="260" t="str">
        <f>IF(AQ494=2,"入力してください→",IF(AQ494=1,"入力不要です→",""))</f>
        <v/>
      </c>
      <c r="J496" s="387"/>
      <c r="K496" s="388"/>
      <c r="L496" s="389"/>
      <c r="M496" s="248"/>
      <c r="N496" s="387"/>
      <c r="O496" s="388"/>
      <c r="P496" s="389"/>
      <c r="Q496" s="248"/>
      <c r="R496" s="387"/>
      <c r="S496" s="388"/>
      <c r="T496" s="389"/>
      <c r="U496" s="248"/>
      <c r="V496" s="249"/>
      <c r="W496" s="86"/>
      <c r="X496" s="402"/>
      <c r="Y496" s="402"/>
      <c r="Z496" s="402"/>
      <c r="AA496" s="402"/>
      <c r="AB496" s="402"/>
      <c r="AC496" s="402"/>
      <c r="AD496" s="402"/>
      <c r="AE496" s="402"/>
      <c r="AF496" s="402"/>
      <c r="AG496" s="402"/>
      <c r="AH496" s="402"/>
      <c r="AI496" s="402"/>
      <c r="AJ496" s="402"/>
      <c r="AK496" s="402"/>
      <c r="AL496" s="402"/>
      <c r="AM496" s="402"/>
      <c r="AN496" s="402"/>
      <c r="AO496" s="402"/>
      <c r="AP496" s="41"/>
      <c r="AQ496" s="86"/>
      <c r="AR496" s="86"/>
      <c r="AS496" s="86"/>
    </row>
    <row r="497" spans="2:45" x14ac:dyDescent="0.15">
      <c r="C497" s="86"/>
      <c r="D497" s="86"/>
      <c r="E497" s="93"/>
      <c r="F497" s="247"/>
      <c r="G497" s="93"/>
      <c r="H497" s="93"/>
      <c r="I497" s="258"/>
      <c r="J497" s="248"/>
      <c r="K497" s="248"/>
      <c r="L497" s="248"/>
      <c r="M497" s="248"/>
      <c r="N497" s="248"/>
      <c r="O497" s="248"/>
      <c r="P497" s="248"/>
      <c r="Q497" s="248"/>
      <c r="R497" s="248"/>
      <c r="S497" s="248"/>
      <c r="T497" s="248"/>
      <c r="U497" s="248"/>
      <c r="V497" s="248"/>
      <c r="W497" s="86"/>
      <c r="X497" s="296" t="s">
        <v>212</v>
      </c>
      <c r="Y497" s="296"/>
      <c r="Z497" s="296"/>
      <c r="AA497" s="296"/>
      <c r="AB497" s="296"/>
      <c r="AC497" s="296"/>
      <c r="AD497" s="296"/>
      <c r="AE497" s="296"/>
      <c r="AF497" s="296"/>
      <c r="AG497" s="296"/>
      <c r="AH497" s="296"/>
      <c r="AI497" s="296"/>
      <c r="AJ497" s="296"/>
      <c r="AK497" s="296"/>
      <c r="AL497" s="296"/>
      <c r="AM497" s="296"/>
      <c r="AN497" s="296"/>
      <c r="AO497" s="296"/>
      <c r="AQ497" s="86"/>
      <c r="AR497" s="86"/>
      <c r="AS497" s="86"/>
    </row>
    <row r="498" spans="2:45" ht="14.25" thickBot="1" x14ac:dyDescent="0.2">
      <c r="C498" s="46"/>
      <c r="D498" s="46"/>
      <c r="E498" s="47"/>
      <c r="F498" s="246"/>
      <c r="G498" s="47"/>
      <c r="H498" s="47"/>
      <c r="I498" s="257"/>
      <c r="J498" s="245"/>
      <c r="K498" s="245"/>
      <c r="L498" s="245"/>
      <c r="M498" s="245"/>
      <c r="N498" s="245"/>
      <c r="O498" s="245"/>
      <c r="P498" s="245"/>
      <c r="Q498" s="245"/>
      <c r="R498" s="245"/>
      <c r="S498" s="245"/>
      <c r="T498" s="245"/>
      <c r="U498" s="245"/>
      <c r="V498" s="245"/>
      <c r="W498" s="46"/>
      <c r="X498" s="296" t="s">
        <v>212</v>
      </c>
      <c r="Y498" s="296"/>
      <c r="Z498" s="296"/>
      <c r="AA498" s="296"/>
      <c r="AB498" s="296"/>
      <c r="AC498" s="296"/>
      <c r="AD498" s="296"/>
      <c r="AE498" s="296"/>
      <c r="AF498" s="296"/>
      <c r="AG498" s="296"/>
      <c r="AH498" s="296"/>
      <c r="AI498" s="296"/>
      <c r="AJ498" s="296"/>
      <c r="AK498" s="296"/>
      <c r="AL498" s="296"/>
      <c r="AM498" s="296"/>
      <c r="AN498" s="296"/>
      <c r="AO498" s="296"/>
      <c r="AQ498" s="86"/>
      <c r="AR498" s="86"/>
      <c r="AS498" s="86"/>
    </row>
    <row r="499" spans="2:45" ht="18" customHeight="1" thickBot="1" x14ac:dyDescent="0.2">
      <c r="B499" s="42">
        <v>29</v>
      </c>
      <c r="C499" s="46"/>
      <c r="D499" s="82" t="s">
        <v>184</v>
      </c>
      <c r="E499" s="48" t="s">
        <v>72</v>
      </c>
      <c r="F499" s="80"/>
      <c r="G499" s="46"/>
      <c r="H499" s="109"/>
      <c r="I499" s="255"/>
      <c r="J499" s="366" t="str">
        <f>IFERROR(VLOOKUP($F499,補助対象機器一覧20220831!$A$2:$K$200,2,FALSE),"")</f>
        <v/>
      </c>
      <c r="K499" s="367"/>
      <c r="L499" s="368"/>
      <c r="M499" s="245"/>
      <c r="N499" s="366" t="str">
        <f>IFERROR(VLOOKUP($F499,補助対象機器一覧20220831!$A$2:$K$200,7,FALSE),"")</f>
        <v/>
      </c>
      <c r="O499" s="367"/>
      <c r="P499" s="368"/>
      <c r="Q499" s="245"/>
      <c r="R499" s="366" t="str">
        <f>IFERROR(VLOOKUP($F499,補助対象機器一覧20220831!$A$2:$K$200,8,FALSE),"")</f>
        <v/>
      </c>
      <c r="S499" s="367"/>
      <c r="T499" s="368"/>
      <c r="U499" s="245"/>
      <c r="V499" s="244" t="str">
        <f>IFERROR(VLOOKUP($F499,補助対象機器一覧20220831!$A$2:$K$200,9,FALSE),"")</f>
        <v/>
      </c>
      <c r="W499" s="46"/>
      <c r="X499" s="402" t="str">
        <f>IF($B499&lt;=入力シート!$F$85,""&amp;中間シート!X598,"")</f>
        <v/>
      </c>
      <c r="Y499" s="402"/>
      <c r="Z499" s="402"/>
      <c r="AA499" s="402"/>
      <c r="AB499" s="402"/>
      <c r="AC499" s="402"/>
      <c r="AD499" s="402"/>
      <c r="AE499" s="402"/>
      <c r="AF499" s="402"/>
      <c r="AG499" s="402"/>
      <c r="AH499" s="402"/>
      <c r="AI499" s="402"/>
      <c r="AJ499" s="402"/>
      <c r="AK499" s="402"/>
      <c r="AL499" s="402"/>
      <c r="AM499" s="402"/>
      <c r="AN499" s="402"/>
      <c r="AO499" s="402"/>
      <c r="AQ499" s="81">
        <f>IF(J499&lt;&gt;"",1,IF(H499="なし",2,0))</f>
        <v>0</v>
      </c>
      <c r="AR499" s="86"/>
      <c r="AS499" s="86"/>
    </row>
    <row r="500" spans="2:45" ht="5.0999999999999996" customHeight="1" thickBot="1" x14ac:dyDescent="0.2">
      <c r="C500" s="46"/>
      <c r="D500" s="46"/>
      <c r="E500" s="48"/>
      <c r="F500" s="245"/>
      <c r="G500" s="46"/>
      <c r="H500" s="46"/>
      <c r="I500" s="255"/>
      <c r="J500" s="245"/>
      <c r="K500" s="245"/>
      <c r="L500" s="245"/>
      <c r="M500" s="245"/>
      <c r="N500" s="245"/>
      <c r="O500" s="245"/>
      <c r="P500" s="245"/>
      <c r="Q500" s="245"/>
      <c r="R500" s="245"/>
      <c r="S500" s="245"/>
      <c r="T500" s="245"/>
      <c r="U500" s="245"/>
      <c r="V500" s="245"/>
      <c r="W500" s="46"/>
      <c r="X500" s="402"/>
      <c r="Y500" s="402"/>
      <c r="Z500" s="402"/>
      <c r="AA500" s="402"/>
      <c r="AB500" s="402"/>
      <c r="AC500" s="402"/>
      <c r="AD500" s="402"/>
      <c r="AE500" s="402"/>
      <c r="AF500" s="402"/>
      <c r="AG500" s="402"/>
      <c r="AH500" s="402"/>
      <c r="AI500" s="402"/>
      <c r="AJ500" s="402"/>
      <c r="AK500" s="402"/>
      <c r="AL500" s="402"/>
      <c r="AM500" s="402"/>
      <c r="AN500" s="402"/>
      <c r="AO500" s="402"/>
      <c r="AP500" s="41"/>
      <c r="AQ500" s="86"/>
      <c r="AR500" s="86"/>
      <c r="AS500" s="86"/>
    </row>
    <row r="501" spans="2:45" ht="18" customHeight="1" thickBot="1" x14ac:dyDescent="0.2">
      <c r="B501" s="42">
        <v>29</v>
      </c>
      <c r="C501" s="46"/>
      <c r="D501" s="82"/>
      <c r="E501" s="48"/>
      <c r="F501" s="246"/>
      <c r="G501" s="46"/>
      <c r="H501" s="46"/>
      <c r="I501" s="261" t="str">
        <f>IF(AQ499=2,"入力してください→",IF(AQ499=1,"入力不要です→",""))</f>
        <v/>
      </c>
      <c r="J501" s="387"/>
      <c r="K501" s="388"/>
      <c r="L501" s="389"/>
      <c r="M501" s="245"/>
      <c r="N501" s="387"/>
      <c r="O501" s="388"/>
      <c r="P501" s="389"/>
      <c r="Q501" s="245"/>
      <c r="R501" s="387"/>
      <c r="S501" s="388"/>
      <c r="T501" s="389"/>
      <c r="U501" s="245"/>
      <c r="V501" s="249"/>
      <c r="W501" s="46"/>
      <c r="X501" s="402"/>
      <c r="Y501" s="402"/>
      <c r="Z501" s="402"/>
      <c r="AA501" s="402"/>
      <c r="AB501" s="402"/>
      <c r="AC501" s="402"/>
      <c r="AD501" s="402"/>
      <c r="AE501" s="402"/>
      <c r="AF501" s="402"/>
      <c r="AG501" s="402"/>
      <c r="AH501" s="402"/>
      <c r="AI501" s="402"/>
      <c r="AJ501" s="402"/>
      <c r="AK501" s="402"/>
      <c r="AL501" s="402"/>
      <c r="AM501" s="402"/>
      <c r="AN501" s="402"/>
      <c r="AO501" s="402"/>
      <c r="AP501" s="41"/>
      <c r="AQ501" s="86"/>
      <c r="AR501" s="86"/>
      <c r="AS501" s="86"/>
    </row>
    <row r="502" spans="2:45" ht="5.0999999999999996" customHeight="1" thickBot="1" x14ac:dyDescent="0.2">
      <c r="C502" s="46"/>
      <c r="D502" s="46"/>
      <c r="E502" s="48"/>
      <c r="F502" s="245"/>
      <c r="G502" s="47"/>
      <c r="H502" s="47"/>
      <c r="I502" s="255"/>
      <c r="J502" s="245"/>
      <c r="K502" s="245"/>
      <c r="L502" s="245"/>
      <c r="M502" s="245"/>
      <c r="N502" s="245"/>
      <c r="O502" s="245"/>
      <c r="P502" s="245"/>
      <c r="Q502" s="245"/>
      <c r="R502" s="245"/>
      <c r="S502" s="245"/>
      <c r="T502" s="245"/>
      <c r="U502" s="245"/>
      <c r="V502" s="245"/>
      <c r="W502" s="46"/>
      <c r="X502" s="296" t="s">
        <v>212</v>
      </c>
      <c r="Y502" s="296"/>
      <c r="Z502" s="296"/>
      <c r="AA502" s="296"/>
      <c r="AB502" s="296"/>
      <c r="AC502" s="296"/>
      <c r="AD502" s="296"/>
      <c r="AE502" s="296"/>
      <c r="AF502" s="296"/>
      <c r="AG502" s="296"/>
      <c r="AH502" s="296"/>
      <c r="AI502" s="296"/>
      <c r="AJ502" s="296"/>
      <c r="AK502" s="296"/>
      <c r="AL502" s="296"/>
      <c r="AM502" s="296"/>
      <c r="AN502" s="296"/>
      <c r="AO502" s="296"/>
      <c r="AP502" s="41"/>
      <c r="AQ502" s="86"/>
      <c r="AR502" s="86"/>
      <c r="AS502" s="86"/>
    </row>
    <row r="503" spans="2:45" ht="18" customHeight="1" thickBot="1" x14ac:dyDescent="0.2">
      <c r="B503" s="42">
        <v>29</v>
      </c>
      <c r="C503" s="46"/>
      <c r="D503" s="46"/>
      <c r="E503" s="48" t="s">
        <v>73</v>
      </c>
      <c r="F503" s="80"/>
      <c r="G503" s="47"/>
      <c r="H503" s="109"/>
      <c r="I503" s="255"/>
      <c r="J503" s="366" t="str">
        <f>IFERROR(VLOOKUP($F503,補助対象機器一覧20220831!$A$2:$K$200,2,FALSE),"")</f>
        <v/>
      </c>
      <c r="K503" s="367"/>
      <c r="L503" s="368"/>
      <c r="M503" s="245"/>
      <c r="N503" s="366" t="str">
        <f>IFERROR(VLOOKUP($F503,補助対象機器一覧20220831!$A$2:$K$200,7,FALSE),"")</f>
        <v/>
      </c>
      <c r="O503" s="367"/>
      <c r="P503" s="368"/>
      <c r="Q503" s="245"/>
      <c r="R503" s="366" t="str">
        <f>IFERROR(VLOOKUP($F503,補助対象機器一覧20220831!$A$2:$K$200,8,FALSE),"")</f>
        <v/>
      </c>
      <c r="S503" s="367"/>
      <c r="T503" s="368"/>
      <c r="U503" s="245"/>
      <c r="V503" s="244" t="str">
        <f>IFERROR(VLOOKUP($F503,補助対象機器一覧20220831!$A$2:$K$200,9,FALSE),"")</f>
        <v/>
      </c>
      <c r="W503" s="46"/>
      <c r="X503" s="402" t="str">
        <f>IF($B503&lt;=入力シート!$F$85,""&amp;中間シート!X599,"")</f>
        <v/>
      </c>
      <c r="Y503" s="402"/>
      <c r="Z503" s="402"/>
      <c r="AA503" s="402"/>
      <c r="AB503" s="402"/>
      <c r="AC503" s="402"/>
      <c r="AD503" s="402"/>
      <c r="AE503" s="402"/>
      <c r="AF503" s="402"/>
      <c r="AG503" s="402"/>
      <c r="AH503" s="402"/>
      <c r="AI503" s="402"/>
      <c r="AJ503" s="402"/>
      <c r="AK503" s="402"/>
      <c r="AL503" s="402"/>
      <c r="AM503" s="402"/>
      <c r="AN503" s="402"/>
      <c r="AO503" s="402"/>
      <c r="AP503" s="41"/>
      <c r="AQ503" s="81">
        <f>IF(J503&lt;&gt;"",1,IF(H503="なし",2,0))</f>
        <v>0</v>
      </c>
      <c r="AR503" s="86"/>
      <c r="AS503" s="86"/>
    </row>
    <row r="504" spans="2:45" ht="5.0999999999999996" customHeight="1" thickBot="1" x14ac:dyDescent="0.2">
      <c r="C504" s="46"/>
      <c r="D504" s="46"/>
      <c r="E504" s="48"/>
      <c r="F504" s="246"/>
      <c r="G504" s="47"/>
      <c r="H504" s="47"/>
      <c r="I504" s="255"/>
      <c r="J504" s="246"/>
      <c r="K504" s="246"/>
      <c r="L504" s="246"/>
      <c r="M504" s="245"/>
      <c r="N504" s="246"/>
      <c r="O504" s="246"/>
      <c r="P504" s="246"/>
      <c r="Q504" s="245"/>
      <c r="R504" s="246"/>
      <c r="S504" s="246"/>
      <c r="T504" s="246"/>
      <c r="U504" s="245"/>
      <c r="V504" s="246"/>
      <c r="W504" s="46"/>
      <c r="X504" s="402"/>
      <c r="Y504" s="402"/>
      <c r="Z504" s="402"/>
      <c r="AA504" s="402"/>
      <c r="AB504" s="402"/>
      <c r="AC504" s="402"/>
      <c r="AD504" s="402"/>
      <c r="AE504" s="402"/>
      <c r="AF504" s="402"/>
      <c r="AG504" s="402"/>
      <c r="AH504" s="402"/>
      <c r="AI504" s="402"/>
      <c r="AJ504" s="402"/>
      <c r="AK504" s="402"/>
      <c r="AL504" s="402"/>
      <c r="AM504" s="402"/>
      <c r="AN504" s="402"/>
      <c r="AO504" s="402"/>
      <c r="AP504" s="41"/>
      <c r="AQ504" s="86"/>
      <c r="AR504" s="86"/>
      <c r="AS504" s="86"/>
    </row>
    <row r="505" spans="2:45" ht="18" customHeight="1" thickBot="1" x14ac:dyDescent="0.2">
      <c r="B505" s="42">
        <v>29</v>
      </c>
      <c r="C505" s="46"/>
      <c r="D505" s="46"/>
      <c r="E505" s="48"/>
      <c r="F505" s="246"/>
      <c r="G505" s="47"/>
      <c r="H505" s="47"/>
      <c r="I505" s="261" t="str">
        <f>IF(AQ503=2,"入力してください→",IF(AQ503=1,"入力不要です→",""))</f>
        <v/>
      </c>
      <c r="J505" s="387"/>
      <c r="K505" s="388"/>
      <c r="L505" s="389"/>
      <c r="M505" s="245"/>
      <c r="N505" s="387"/>
      <c r="O505" s="388"/>
      <c r="P505" s="389"/>
      <c r="Q505" s="245"/>
      <c r="R505" s="387"/>
      <c r="S505" s="388"/>
      <c r="T505" s="389"/>
      <c r="U505" s="245"/>
      <c r="V505" s="249"/>
      <c r="W505" s="46"/>
      <c r="X505" s="402"/>
      <c r="Y505" s="402"/>
      <c r="Z505" s="402"/>
      <c r="AA505" s="402"/>
      <c r="AB505" s="402"/>
      <c r="AC505" s="402"/>
      <c r="AD505" s="402"/>
      <c r="AE505" s="402"/>
      <c r="AF505" s="402"/>
      <c r="AG505" s="402"/>
      <c r="AH505" s="402"/>
      <c r="AI505" s="402"/>
      <c r="AJ505" s="402"/>
      <c r="AK505" s="402"/>
      <c r="AL505" s="402"/>
      <c r="AM505" s="402"/>
      <c r="AN505" s="402"/>
      <c r="AO505" s="402"/>
      <c r="AP505" s="41"/>
      <c r="AQ505" s="86"/>
      <c r="AR505" s="86"/>
      <c r="AS505" s="86"/>
    </row>
    <row r="506" spans="2:45" ht="5.0999999999999996" customHeight="1" thickBot="1" x14ac:dyDescent="0.2">
      <c r="C506" s="46"/>
      <c r="D506" s="46"/>
      <c r="E506" s="48"/>
      <c r="F506" s="246"/>
      <c r="G506" s="47"/>
      <c r="H506" s="47"/>
      <c r="I506" s="255"/>
      <c r="J506" s="246"/>
      <c r="K506" s="246"/>
      <c r="L506" s="246"/>
      <c r="M506" s="245"/>
      <c r="N506" s="246"/>
      <c r="O506" s="246"/>
      <c r="P506" s="246"/>
      <c r="Q506" s="245"/>
      <c r="R506" s="246"/>
      <c r="S506" s="246"/>
      <c r="T506" s="246"/>
      <c r="U506" s="245"/>
      <c r="V506" s="246"/>
      <c r="W506" s="46"/>
      <c r="X506" s="296" t="s">
        <v>212</v>
      </c>
      <c r="Y506" s="296"/>
      <c r="Z506" s="296"/>
      <c r="AA506" s="296"/>
      <c r="AB506" s="296"/>
      <c r="AC506" s="296"/>
      <c r="AD506" s="296"/>
      <c r="AE506" s="296"/>
      <c r="AF506" s="296"/>
      <c r="AG506" s="296"/>
      <c r="AH506" s="296"/>
      <c r="AI506" s="296"/>
      <c r="AJ506" s="296"/>
      <c r="AK506" s="296"/>
      <c r="AL506" s="296"/>
      <c r="AM506" s="296"/>
      <c r="AN506" s="296"/>
      <c r="AO506" s="296"/>
      <c r="AP506" s="41"/>
      <c r="AQ506" s="86"/>
      <c r="AR506" s="86"/>
      <c r="AS506" s="86"/>
    </row>
    <row r="507" spans="2:45" ht="18" customHeight="1" thickBot="1" x14ac:dyDescent="0.2">
      <c r="B507" s="42">
        <v>29</v>
      </c>
      <c r="C507" s="46"/>
      <c r="D507" s="46"/>
      <c r="E507" s="48" t="s">
        <v>74</v>
      </c>
      <c r="F507" s="80"/>
      <c r="G507" s="47"/>
      <c r="H507" s="109"/>
      <c r="I507" s="255"/>
      <c r="J507" s="366" t="str">
        <f>IFERROR(VLOOKUP($F507,補助対象機器一覧20220831!$A$2:$K$200,2,FALSE),"")</f>
        <v/>
      </c>
      <c r="K507" s="367"/>
      <c r="L507" s="368"/>
      <c r="M507" s="245"/>
      <c r="N507" s="366" t="str">
        <f>IFERROR(VLOOKUP($F507,補助対象機器一覧20220831!$A$2:$K$200,7,FALSE),"")</f>
        <v/>
      </c>
      <c r="O507" s="367"/>
      <c r="P507" s="368"/>
      <c r="Q507" s="245"/>
      <c r="R507" s="366" t="str">
        <f>IFERROR(VLOOKUP($F507,補助対象機器一覧20220831!$A$2:$K$200,8,FALSE),"")</f>
        <v/>
      </c>
      <c r="S507" s="367"/>
      <c r="T507" s="368"/>
      <c r="U507" s="245"/>
      <c r="V507" s="244" t="str">
        <f>IFERROR(VLOOKUP($F507,補助対象機器一覧20220831!$A$2:$K$200,9,FALSE),"")</f>
        <v/>
      </c>
      <c r="W507" s="46"/>
      <c r="X507" s="402" t="str">
        <f>IF($B507&lt;=入力シート!$F$85,""&amp;中間シート!X600,"")</f>
        <v/>
      </c>
      <c r="Y507" s="402"/>
      <c r="Z507" s="402"/>
      <c r="AA507" s="402"/>
      <c r="AB507" s="402"/>
      <c r="AC507" s="402"/>
      <c r="AD507" s="402"/>
      <c r="AE507" s="402"/>
      <c r="AF507" s="402"/>
      <c r="AG507" s="402"/>
      <c r="AH507" s="402"/>
      <c r="AI507" s="402"/>
      <c r="AJ507" s="402"/>
      <c r="AK507" s="402"/>
      <c r="AL507" s="402"/>
      <c r="AM507" s="402"/>
      <c r="AN507" s="402"/>
      <c r="AO507" s="402"/>
      <c r="AP507" s="41"/>
      <c r="AQ507" s="81">
        <f>IF(J507&lt;&gt;"",1,IF(H507="なし",2,0))</f>
        <v>0</v>
      </c>
      <c r="AR507" s="86"/>
      <c r="AS507" s="86"/>
    </row>
    <row r="508" spans="2:45" ht="5.0999999999999996" customHeight="1" thickBot="1" x14ac:dyDescent="0.2">
      <c r="C508" s="46"/>
      <c r="D508" s="46"/>
      <c r="E508" s="48"/>
      <c r="F508" s="246"/>
      <c r="G508" s="47"/>
      <c r="H508" s="47"/>
      <c r="I508" s="255"/>
      <c r="J508" s="246"/>
      <c r="K508" s="246"/>
      <c r="L508" s="246"/>
      <c r="M508" s="245"/>
      <c r="N508" s="246"/>
      <c r="O508" s="246"/>
      <c r="P508" s="246"/>
      <c r="Q508" s="245"/>
      <c r="R508" s="246"/>
      <c r="S508" s="246"/>
      <c r="T508" s="246"/>
      <c r="U508" s="245"/>
      <c r="V508" s="246"/>
      <c r="W508" s="46"/>
      <c r="X508" s="402"/>
      <c r="Y508" s="402"/>
      <c r="Z508" s="402"/>
      <c r="AA508" s="402"/>
      <c r="AB508" s="402"/>
      <c r="AC508" s="402"/>
      <c r="AD508" s="402"/>
      <c r="AE508" s="402"/>
      <c r="AF508" s="402"/>
      <c r="AG508" s="402"/>
      <c r="AH508" s="402"/>
      <c r="AI508" s="402"/>
      <c r="AJ508" s="402"/>
      <c r="AK508" s="402"/>
      <c r="AL508" s="402"/>
      <c r="AM508" s="402"/>
      <c r="AN508" s="402"/>
      <c r="AO508" s="402"/>
      <c r="AP508" s="41"/>
      <c r="AQ508" s="86"/>
      <c r="AR508" s="86"/>
      <c r="AS508" s="86"/>
    </row>
    <row r="509" spans="2:45" ht="18" customHeight="1" thickBot="1" x14ac:dyDescent="0.2">
      <c r="B509" s="42">
        <v>29</v>
      </c>
      <c r="C509" s="46"/>
      <c r="D509" s="46"/>
      <c r="E509" s="47"/>
      <c r="F509" s="246"/>
      <c r="G509" s="47"/>
      <c r="H509" s="47"/>
      <c r="I509" s="261" t="str">
        <f>IF(AQ507=2,"入力してください→",IF(AQ507=1,"入力不要です→",""))</f>
        <v/>
      </c>
      <c r="J509" s="387"/>
      <c r="K509" s="388"/>
      <c r="L509" s="389"/>
      <c r="M509" s="245"/>
      <c r="N509" s="387"/>
      <c r="O509" s="388"/>
      <c r="P509" s="389"/>
      <c r="Q509" s="245"/>
      <c r="R509" s="387"/>
      <c r="S509" s="388"/>
      <c r="T509" s="389"/>
      <c r="U509" s="245"/>
      <c r="V509" s="249"/>
      <c r="W509" s="46"/>
      <c r="X509" s="402"/>
      <c r="Y509" s="402"/>
      <c r="Z509" s="402"/>
      <c r="AA509" s="402"/>
      <c r="AB509" s="402"/>
      <c r="AC509" s="402"/>
      <c r="AD509" s="402"/>
      <c r="AE509" s="402"/>
      <c r="AF509" s="402"/>
      <c r="AG509" s="402"/>
      <c r="AH509" s="402"/>
      <c r="AI509" s="402"/>
      <c r="AJ509" s="402"/>
      <c r="AK509" s="402"/>
      <c r="AL509" s="402"/>
      <c r="AM509" s="402"/>
      <c r="AN509" s="402"/>
      <c r="AO509" s="402"/>
      <c r="AP509" s="41"/>
      <c r="AQ509" s="86"/>
      <c r="AR509" s="86"/>
      <c r="AS509" s="86"/>
    </row>
    <row r="510" spans="2:45" x14ac:dyDescent="0.15">
      <c r="C510" s="46"/>
      <c r="D510" s="46"/>
      <c r="E510" s="47"/>
      <c r="F510" s="246"/>
      <c r="G510" s="47"/>
      <c r="H510" s="47"/>
      <c r="I510" s="257"/>
      <c r="J510" s="245"/>
      <c r="K510" s="245"/>
      <c r="L510" s="245"/>
      <c r="M510" s="245"/>
      <c r="N510" s="245"/>
      <c r="O510" s="245"/>
      <c r="P510" s="245"/>
      <c r="Q510" s="245"/>
      <c r="R510" s="245"/>
      <c r="S510" s="245"/>
      <c r="T510" s="245"/>
      <c r="U510" s="245"/>
      <c r="V510" s="245"/>
      <c r="W510" s="46"/>
      <c r="X510" s="296" t="s">
        <v>212</v>
      </c>
      <c r="Y510" s="296"/>
      <c r="Z510" s="296"/>
      <c r="AA510" s="296"/>
      <c r="AB510" s="296"/>
      <c r="AC510" s="296"/>
      <c r="AD510" s="296"/>
      <c r="AE510" s="296"/>
      <c r="AF510" s="296"/>
      <c r="AG510" s="296"/>
      <c r="AH510" s="296"/>
      <c r="AI510" s="296"/>
      <c r="AJ510" s="296"/>
      <c r="AK510" s="296"/>
      <c r="AL510" s="296"/>
      <c r="AM510" s="296"/>
      <c r="AN510" s="296"/>
      <c r="AO510" s="296"/>
      <c r="AQ510" s="86"/>
      <c r="AR510" s="86"/>
      <c r="AS510" s="86"/>
    </row>
    <row r="511" spans="2:45" ht="14.25" thickBot="1" x14ac:dyDescent="0.2">
      <c r="C511" s="86"/>
      <c r="D511" s="86"/>
      <c r="E511" s="93"/>
      <c r="F511" s="247"/>
      <c r="G511" s="93"/>
      <c r="H511" s="93"/>
      <c r="I511" s="258"/>
      <c r="J511" s="248"/>
      <c r="K511" s="248"/>
      <c r="L511" s="248"/>
      <c r="M511" s="248"/>
      <c r="N511" s="248"/>
      <c r="O511" s="248"/>
      <c r="P511" s="248"/>
      <c r="Q511" s="248"/>
      <c r="R511" s="248"/>
      <c r="S511" s="248"/>
      <c r="T511" s="248"/>
      <c r="U511" s="248"/>
      <c r="V511" s="248"/>
      <c r="W511" s="86"/>
      <c r="X511" s="296" t="s">
        <v>212</v>
      </c>
      <c r="Y511" s="296"/>
      <c r="Z511" s="296"/>
      <c r="AA511" s="296"/>
      <c r="AB511" s="296"/>
      <c r="AC511" s="296"/>
      <c r="AD511" s="296"/>
      <c r="AE511" s="296"/>
      <c r="AF511" s="296"/>
      <c r="AG511" s="296"/>
      <c r="AH511" s="296"/>
      <c r="AI511" s="296"/>
      <c r="AJ511" s="296"/>
      <c r="AK511" s="296"/>
      <c r="AL511" s="296"/>
      <c r="AM511" s="296"/>
      <c r="AN511" s="296"/>
      <c r="AO511" s="296"/>
      <c r="AQ511" s="86"/>
      <c r="AR511" s="86"/>
      <c r="AS511" s="86"/>
    </row>
    <row r="512" spans="2:45" ht="18" customHeight="1" thickBot="1" x14ac:dyDescent="0.2">
      <c r="B512" s="42">
        <v>30</v>
      </c>
      <c r="C512" s="86"/>
      <c r="D512" s="94" t="s">
        <v>185</v>
      </c>
      <c r="E512" s="95" t="s">
        <v>72</v>
      </c>
      <c r="F512" s="80"/>
      <c r="G512" s="86"/>
      <c r="H512" s="80"/>
      <c r="I512" s="259"/>
      <c r="J512" s="366" t="str">
        <f>IFERROR(VLOOKUP($F512,補助対象機器一覧20220831!$A$2:$K$200,2,FALSE),"")</f>
        <v/>
      </c>
      <c r="K512" s="367"/>
      <c r="L512" s="368"/>
      <c r="M512" s="248"/>
      <c r="N512" s="366" t="str">
        <f>IFERROR(VLOOKUP($F512,補助対象機器一覧20220831!$A$2:$K$200,7,FALSE),"")</f>
        <v/>
      </c>
      <c r="O512" s="367"/>
      <c r="P512" s="368"/>
      <c r="Q512" s="248"/>
      <c r="R512" s="366" t="str">
        <f>IFERROR(VLOOKUP($F512,補助対象機器一覧20220831!$A$2:$K$200,8,FALSE),"")</f>
        <v/>
      </c>
      <c r="S512" s="367"/>
      <c r="T512" s="368"/>
      <c r="U512" s="248"/>
      <c r="V512" s="244" t="str">
        <f>IFERROR(VLOOKUP($F512,補助対象機器一覧20220831!$A$2:$K$200,9,FALSE),"")</f>
        <v/>
      </c>
      <c r="W512" s="86"/>
      <c r="X512" s="402" t="str">
        <f>IF($B512&lt;=入力シート!$F$85,""&amp;中間シート!X601,"")</f>
        <v/>
      </c>
      <c r="Y512" s="402"/>
      <c r="Z512" s="402"/>
      <c r="AA512" s="402"/>
      <c r="AB512" s="402"/>
      <c r="AC512" s="402"/>
      <c r="AD512" s="402"/>
      <c r="AE512" s="402"/>
      <c r="AF512" s="402"/>
      <c r="AG512" s="402"/>
      <c r="AH512" s="402"/>
      <c r="AI512" s="402"/>
      <c r="AJ512" s="402"/>
      <c r="AK512" s="402"/>
      <c r="AL512" s="402"/>
      <c r="AM512" s="402"/>
      <c r="AN512" s="402"/>
      <c r="AO512" s="402"/>
      <c r="AQ512" s="81">
        <f>IF(J512&lt;&gt;"",1,IF(H512="なし",2,0))</f>
        <v>0</v>
      </c>
      <c r="AR512" s="86"/>
      <c r="AS512" s="86"/>
    </row>
    <row r="513" spans="2:45" ht="5.0999999999999996" customHeight="1" thickBot="1" x14ac:dyDescent="0.2">
      <c r="C513" s="86"/>
      <c r="D513" s="94"/>
      <c r="E513" s="95"/>
      <c r="F513" s="248"/>
      <c r="G513" s="86"/>
      <c r="H513" s="86"/>
      <c r="I513" s="259"/>
      <c r="J513" s="248"/>
      <c r="K513" s="248"/>
      <c r="L513" s="248"/>
      <c r="M513" s="248"/>
      <c r="N513" s="248"/>
      <c r="O513" s="248"/>
      <c r="P513" s="248"/>
      <c r="Q513" s="248"/>
      <c r="R513" s="248"/>
      <c r="S513" s="248"/>
      <c r="T513" s="248"/>
      <c r="U513" s="248"/>
      <c r="V513" s="248"/>
      <c r="W513" s="86"/>
      <c r="X513" s="402"/>
      <c r="Y513" s="402"/>
      <c r="Z513" s="402"/>
      <c r="AA513" s="402"/>
      <c r="AB513" s="402"/>
      <c r="AC513" s="402"/>
      <c r="AD513" s="402"/>
      <c r="AE513" s="402"/>
      <c r="AF513" s="402"/>
      <c r="AG513" s="402"/>
      <c r="AH513" s="402"/>
      <c r="AI513" s="402"/>
      <c r="AJ513" s="402"/>
      <c r="AK513" s="402"/>
      <c r="AL513" s="402"/>
      <c r="AM513" s="402"/>
      <c r="AN513" s="402"/>
      <c r="AO513" s="402"/>
      <c r="AP513" s="41"/>
      <c r="AQ513" s="86"/>
      <c r="AR513" s="86"/>
      <c r="AS513" s="86"/>
    </row>
    <row r="514" spans="2:45" ht="18" customHeight="1" thickBot="1" x14ac:dyDescent="0.2">
      <c r="B514" s="42">
        <v>30</v>
      </c>
      <c r="C514" s="86"/>
      <c r="D514" s="94"/>
      <c r="E514" s="95"/>
      <c r="F514" s="247"/>
      <c r="G514" s="86"/>
      <c r="H514" s="86"/>
      <c r="I514" s="260" t="str">
        <f>IF(AQ512=2,"入力してください→",IF(AQ512=1,"入力不要です→",""))</f>
        <v/>
      </c>
      <c r="J514" s="387"/>
      <c r="K514" s="388"/>
      <c r="L514" s="389"/>
      <c r="M514" s="248"/>
      <c r="N514" s="387"/>
      <c r="O514" s="388"/>
      <c r="P514" s="389"/>
      <c r="Q514" s="248"/>
      <c r="R514" s="387"/>
      <c r="S514" s="388"/>
      <c r="T514" s="389"/>
      <c r="U514" s="248"/>
      <c r="V514" s="249"/>
      <c r="W514" s="86"/>
      <c r="X514" s="402"/>
      <c r="Y514" s="402"/>
      <c r="Z514" s="402"/>
      <c r="AA514" s="402"/>
      <c r="AB514" s="402"/>
      <c r="AC514" s="402"/>
      <c r="AD514" s="402"/>
      <c r="AE514" s="402"/>
      <c r="AF514" s="402"/>
      <c r="AG514" s="402"/>
      <c r="AH514" s="402"/>
      <c r="AI514" s="402"/>
      <c r="AJ514" s="402"/>
      <c r="AK514" s="402"/>
      <c r="AL514" s="402"/>
      <c r="AM514" s="402"/>
      <c r="AN514" s="402"/>
      <c r="AO514" s="402"/>
      <c r="AP514" s="41"/>
      <c r="AQ514" s="86"/>
      <c r="AR514" s="86"/>
      <c r="AS514" s="86"/>
    </row>
    <row r="515" spans="2:45" ht="5.0999999999999996" customHeight="1" thickBot="1" x14ac:dyDescent="0.2">
      <c r="C515" s="86"/>
      <c r="D515" s="86"/>
      <c r="E515" s="93"/>
      <c r="F515" s="248"/>
      <c r="G515" s="93"/>
      <c r="H515" s="93"/>
      <c r="I515" s="259"/>
      <c r="J515" s="248"/>
      <c r="K515" s="248"/>
      <c r="L515" s="248"/>
      <c r="M515" s="248"/>
      <c r="N515" s="248"/>
      <c r="O515" s="248"/>
      <c r="P515" s="248"/>
      <c r="Q515" s="248"/>
      <c r="R515" s="248"/>
      <c r="S515" s="248"/>
      <c r="T515" s="248"/>
      <c r="U515" s="248"/>
      <c r="V515" s="248"/>
      <c r="W515" s="86"/>
      <c r="X515" s="296" t="s">
        <v>212</v>
      </c>
      <c r="Y515" s="296"/>
      <c r="Z515" s="296"/>
      <c r="AA515" s="296"/>
      <c r="AB515" s="296"/>
      <c r="AC515" s="296"/>
      <c r="AD515" s="296"/>
      <c r="AE515" s="296"/>
      <c r="AF515" s="296"/>
      <c r="AG515" s="296"/>
      <c r="AH515" s="296"/>
      <c r="AI515" s="296"/>
      <c r="AJ515" s="296"/>
      <c r="AK515" s="296"/>
      <c r="AL515" s="296"/>
      <c r="AM515" s="296"/>
      <c r="AN515" s="296"/>
      <c r="AO515" s="296"/>
      <c r="AP515" s="41"/>
      <c r="AQ515" s="86"/>
      <c r="AR515" s="86"/>
      <c r="AS515" s="86"/>
    </row>
    <row r="516" spans="2:45" ht="18" customHeight="1" thickBot="1" x14ac:dyDescent="0.2">
      <c r="B516" s="42">
        <v>30</v>
      </c>
      <c r="C516" s="86"/>
      <c r="D516" s="86"/>
      <c r="E516" s="95" t="s">
        <v>73</v>
      </c>
      <c r="F516" s="80"/>
      <c r="G516" s="93"/>
      <c r="H516" s="80"/>
      <c r="I516" s="259"/>
      <c r="J516" s="366" t="str">
        <f>IFERROR(VLOOKUP($F516,補助対象機器一覧20220831!$A$2:$K$200,2,FALSE),"")</f>
        <v/>
      </c>
      <c r="K516" s="367"/>
      <c r="L516" s="368"/>
      <c r="M516" s="248"/>
      <c r="N516" s="366" t="str">
        <f>IFERROR(VLOOKUP($F516,補助対象機器一覧20220831!$A$2:$K$200,7,FALSE),"")</f>
        <v/>
      </c>
      <c r="O516" s="367"/>
      <c r="P516" s="368"/>
      <c r="Q516" s="248"/>
      <c r="R516" s="366" t="str">
        <f>IFERROR(VLOOKUP($F516,補助対象機器一覧20220831!$A$2:$K$200,8,FALSE),"")</f>
        <v/>
      </c>
      <c r="S516" s="367"/>
      <c r="T516" s="368"/>
      <c r="U516" s="248"/>
      <c r="V516" s="244" t="str">
        <f>IFERROR(VLOOKUP($F516,補助対象機器一覧20220831!$A$2:$K$200,9,FALSE),"")</f>
        <v/>
      </c>
      <c r="W516" s="86"/>
      <c r="X516" s="402" t="str">
        <f>IF($B516&lt;=入力シート!$F$85,""&amp;中間シート!X602,"")</f>
        <v/>
      </c>
      <c r="Y516" s="402"/>
      <c r="Z516" s="402"/>
      <c r="AA516" s="402"/>
      <c r="AB516" s="402"/>
      <c r="AC516" s="402"/>
      <c r="AD516" s="402"/>
      <c r="AE516" s="402"/>
      <c r="AF516" s="402"/>
      <c r="AG516" s="402"/>
      <c r="AH516" s="402"/>
      <c r="AI516" s="402"/>
      <c r="AJ516" s="402"/>
      <c r="AK516" s="402"/>
      <c r="AL516" s="402"/>
      <c r="AM516" s="402"/>
      <c r="AN516" s="402"/>
      <c r="AO516" s="402"/>
      <c r="AP516" s="41"/>
      <c r="AQ516" s="81">
        <f>IF(J516&lt;&gt;"",1,IF(H516="なし",2,0))</f>
        <v>0</v>
      </c>
      <c r="AR516" s="86"/>
      <c r="AS516" s="86"/>
    </row>
    <row r="517" spans="2:45" ht="5.0999999999999996" customHeight="1" thickBot="1" x14ac:dyDescent="0.2">
      <c r="C517" s="86"/>
      <c r="D517" s="86"/>
      <c r="E517" s="95"/>
      <c r="F517" s="247"/>
      <c r="G517" s="93"/>
      <c r="H517" s="93"/>
      <c r="I517" s="259"/>
      <c r="J517" s="247"/>
      <c r="K517" s="247"/>
      <c r="L517" s="247"/>
      <c r="M517" s="248"/>
      <c r="N517" s="247"/>
      <c r="O517" s="247"/>
      <c r="P517" s="247"/>
      <c r="Q517" s="248"/>
      <c r="R517" s="247"/>
      <c r="S517" s="247"/>
      <c r="T517" s="247"/>
      <c r="U517" s="248"/>
      <c r="V517" s="247"/>
      <c r="W517" s="86"/>
      <c r="X517" s="402"/>
      <c r="Y517" s="402"/>
      <c r="Z517" s="402"/>
      <c r="AA517" s="402"/>
      <c r="AB517" s="402"/>
      <c r="AC517" s="402"/>
      <c r="AD517" s="402"/>
      <c r="AE517" s="402"/>
      <c r="AF517" s="402"/>
      <c r="AG517" s="402"/>
      <c r="AH517" s="402"/>
      <c r="AI517" s="402"/>
      <c r="AJ517" s="402"/>
      <c r="AK517" s="402"/>
      <c r="AL517" s="402"/>
      <c r="AM517" s="402"/>
      <c r="AN517" s="402"/>
      <c r="AO517" s="402"/>
      <c r="AP517" s="41"/>
      <c r="AQ517" s="86"/>
      <c r="AR517" s="86"/>
      <c r="AS517" s="86"/>
    </row>
    <row r="518" spans="2:45" ht="18" customHeight="1" thickBot="1" x14ac:dyDescent="0.2">
      <c r="B518" s="42">
        <v>30</v>
      </c>
      <c r="C518" s="86"/>
      <c r="D518" s="86"/>
      <c r="E518" s="95"/>
      <c r="F518" s="247"/>
      <c r="G518" s="93"/>
      <c r="H518" s="93"/>
      <c r="I518" s="260" t="str">
        <f>IF(AQ516=2,"入力してください→",IF(AQ516=1,"入力不要です→",""))</f>
        <v/>
      </c>
      <c r="J518" s="387"/>
      <c r="K518" s="388"/>
      <c r="L518" s="389"/>
      <c r="M518" s="248"/>
      <c r="N518" s="387"/>
      <c r="O518" s="388"/>
      <c r="P518" s="389"/>
      <c r="Q518" s="248"/>
      <c r="R518" s="387"/>
      <c r="S518" s="388"/>
      <c r="T518" s="389"/>
      <c r="U518" s="248"/>
      <c r="V518" s="249"/>
      <c r="W518" s="86"/>
      <c r="X518" s="402"/>
      <c r="Y518" s="402"/>
      <c r="Z518" s="402"/>
      <c r="AA518" s="402"/>
      <c r="AB518" s="402"/>
      <c r="AC518" s="402"/>
      <c r="AD518" s="402"/>
      <c r="AE518" s="402"/>
      <c r="AF518" s="402"/>
      <c r="AG518" s="402"/>
      <c r="AH518" s="402"/>
      <c r="AI518" s="402"/>
      <c r="AJ518" s="402"/>
      <c r="AK518" s="402"/>
      <c r="AL518" s="402"/>
      <c r="AM518" s="402"/>
      <c r="AN518" s="402"/>
      <c r="AO518" s="402"/>
      <c r="AP518" s="41"/>
      <c r="AQ518" s="86"/>
      <c r="AR518" s="86"/>
      <c r="AS518" s="86"/>
    </row>
    <row r="519" spans="2:45" ht="5.0999999999999996" customHeight="1" thickBot="1" x14ac:dyDescent="0.2">
      <c r="C519" s="86"/>
      <c r="D519" s="86"/>
      <c r="E519" s="95"/>
      <c r="F519" s="247"/>
      <c r="G519" s="93"/>
      <c r="H519" s="93"/>
      <c r="I519" s="259"/>
      <c r="J519" s="247"/>
      <c r="K519" s="247"/>
      <c r="L519" s="247"/>
      <c r="M519" s="248"/>
      <c r="N519" s="247"/>
      <c r="O519" s="247"/>
      <c r="P519" s="247"/>
      <c r="Q519" s="248"/>
      <c r="R519" s="247"/>
      <c r="S519" s="247"/>
      <c r="T519" s="247"/>
      <c r="U519" s="248"/>
      <c r="V519" s="247"/>
      <c r="W519" s="86"/>
      <c r="X519" s="296" t="s">
        <v>212</v>
      </c>
      <c r="Y519" s="296"/>
      <c r="Z519" s="296"/>
      <c r="AA519" s="296"/>
      <c r="AB519" s="296"/>
      <c r="AC519" s="296"/>
      <c r="AD519" s="296"/>
      <c r="AE519" s="296"/>
      <c r="AF519" s="296"/>
      <c r="AG519" s="296"/>
      <c r="AH519" s="296"/>
      <c r="AI519" s="296"/>
      <c r="AJ519" s="296"/>
      <c r="AK519" s="296"/>
      <c r="AL519" s="296"/>
      <c r="AM519" s="296"/>
      <c r="AN519" s="296"/>
      <c r="AO519" s="296"/>
      <c r="AP519" s="41"/>
      <c r="AQ519" s="86"/>
      <c r="AR519" s="86"/>
      <c r="AS519" s="86"/>
    </row>
    <row r="520" spans="2:45" ht="18" customHeight="1" thickBot="1" x14ac:dyDescent="0.2">
      <c r="B520" s="42">
        <v>30</v>
      </c>
      <c r="C520" s="86"/>
      <c r="D520" s="86"/>
      <c r="E520" s="95" t="s">
        <v>74</v>
      </c>
      <c r="F520" s="80"/>
      <c r="G520" s="93"/>
      <c r="H520" s="80"/>
      <c r="I520" s="259"/>
      <c r="J520" s="366" t="str">
        <f>IFERROR(VLOOKUP($F520,補助対象機器一覧20220831!$A$2:$K$200,2,FALSE),"")</f>
        <v/>
      </c>
      <c r="K520" s="367"/>
      <c r="L520" s="368"/>
      <c r="M520" s="248"/>
      <c r="N520" s="366" t="str">
        <f>IFERROR(VLOOKUP($F520,補助対象機器一覧20220831!$A$2:$K$200,7,FALSE),"")</f>
        <v/>
      </c>
      <c r="O520" s="367"/>
      <c r="P520" s="368"/>
      <c r="Q520" s="248"/>
      <c r="R520" s="366" t="str">
        <f>IFERROR(VLOOKUP($F520,補助対象機器一覧20220831!$A$2:$K$200,8,FALSE),"")</f>
        <v/>
      </c>
      <c r="S520" s="367"/>
      <c r="T520" s="368"/>
      <c r="U520" s="248"/>
      <c r="V520" s="244" t="str">
        <f>IFERROR(VLOOKUP($F520,補助対象機器一覧20220831!$A$2:$K$200,9,FALSE),"")</f>
        <v/>
      </c>
      <c r="W520" s="86"/>
      <c r="X520" s="402" t="str">
        <f>IF($B520&lt;=入力シート!$F$85,""&amp;中間シート!X603,"")</f>
        <v/>
      </c>
      <c r="Y520" s="402"/>
      <c r="Z520" s="402"/>
      <c r="AA520" s="402"/>
      <c r="AB520" s="402"/>
      <c r="AC520" s="402"/>
      <c r="AD520" s="402"/>
      <c r="AE520" s="402"/>
      <c r="AF520" s="402"/>
      <c r="AG520" s="402"/>
      <c r="AH520" s="402"/>
      <c r="AI520" s="402"/>
      <c r="AJ520" s="402"/>
      <c r="AK520" s="402"/>
      <c r="AL520" s="402"/>
      <c r="AM520" s="402"/>
      <c r="AN520" s="402"/>
      <c r="AO520" s="402"/>
      <c r="AP520" s="41"/>
      <c r="AQ520" s="81">
        <f>IF(J520&lt;&gt;"",1,IF(H520="なし",2,0))</f>
        <v>0</v>
      </c>
      <c r="AR520" s="86"/>
      <c r="AS520" s="86"/>
    </row>
    <row r="521" spans="2:45" ht="5.0999999999999996" customHeight="1" thickBot="1" x14ac:dyDescent="0.2">
      <c r="C521" s="86"/>
      <c r="D521" s="86"/>
      <c r="E521" s="95"/>
      <c r="F521" s="247"/>
      <c r="G521" s="93"/>
      <c r="H521" s="93"/>
      <c r="I521" s="259"/>
      <c r="J521" s="247"/>
      <c r="K521" s="247"/>
      <c r="L521" s="247"/>
      <c r="M521" s="248"/>
      <c r="N521" s="247"/>
      <c r="O521" s="247"/>
      <c r="P521" s="247"/>
      <c r="Q521" s="248"/>
      <c r="R521" s="247"/>
      <c r="S521" s="247"/>
      <c r="T521" s="247"/>
      <c r="U521" s="248"/>
      <c r="V521" s="247"/>
      <c r="W521" s="86"/>
      <c r="X521" s="402"/>
      <c r="Y521" s="402"/>
      <c r="Z521" s="402"/>
      <c r="AA521" s="402"/>
      <c r="AB521" s="402"/>
      <c r="AC521" s="402"/>
      <c r="AD521" s="402"/>
      <c r="AE521" s="402"/>
      <c r="AF521" s="402"/>
      <c r="AG521" s="402"/>
      <c r="AH521" s="402"/>
      <c r="AI521" s="402"/>
      <c r="AJ521" s="402"/>
      <c r="AK521" s="402"/>
      <c r="AL521" s="402"/>
      <c r="AM521" s="402"/>
      <c r="AN521" s="402"/>
      <c r="AO521" s="402"/>
      <c r="AP521" s="41"/>
      <c r="AQ521" s="86"/>
      <c r="AR521" s="86"/>
      <c r="AS521" s="86"/>
    </row>
    <row r="522" spans="2:45" ht="18" customHeight="1" thickBot="1" x14ac:dyDescent="0.2">
      <c r="B522" s="42">
        <v>30</v>
      </c>
      <c r="C522" s="86"/>
      <c r="D522" s="86"/>
      <c r="E522" s="93"/>
      <c r="F522" s="247"/>
      <c r="G522" s="93"/>
      <c r="H522" s="93"/>
      <c r="I522" s="260" t="str">
        <f>IF(AQ520=2,"入力してください→",IF(AQ520=1,"入力不要です→",""))</f>
        <v/>
      </c>
      <c r="J522" s="387"/>
      <c r="K522" s="388"/>
      <c r="L522" s="389"/>
      <c r="M522" s="248"/>
      <c r="N522" s="387"/>
      <c r="O522" s="388"/>
      <c r="P522" s="389"/>
      <c r="Q522" s="248"/>
      <c r="R522" s="387"/>
      <c r="S522" s="388"/>
      <c r="T522" s="389"/>
      <c r="U522" s="248"/>
      <c r="V522" s="249"/>
      <c r="W522" s="86"/>
      <c r="X522" s="402"/>
      <c r="Y522" s="402"/>
      <c r="Z522" s="402"/>
      <c r="AA522" s="402"/>
      <c r="AB522" s="402"/>
      <c r="AC522" s="402"/>
      <c r="AD522" s="402"/>
      <c r="AE522" s="402"/>
      <c r="AF522" s="402"/>
      <c r="AG522" s="402"/>
      <c r="AH522" s="402"/>
      <c r="AI522" s="402"/>
      <c r="AJ522" s="402"/>
      <c r="AK522" s="402"/>
      <c r="AL522" s="402"/>
      <c r="AM522" s="402"/>
      <c r="AN522" s="402"/>
      <c r="AO522" s="402"/>
      <c r="AP522" s="41"/>
      <c r="AQ522" s="86"/>
      <c r="AR522" s="86"/>
      <c r="AS522" s="86"/>
    </row>
    <row r="523" spans="2:45" x14ac:dyDescent="0.15">
      <c r="C523" s="86"/>
      <c r="D523" s="86"/>
      <c r="E523" s="93"/>
      <c r="F523" s="247"/>
      <c r="G523" s="93"/>
      <c r="H523" s="93"/>
      <c r="I523" s="258"/>
      <c r="J523" s="248"/>
      <c r="K523" s="248"/>
      <c r="L523" s="248"/>
      <c r="M523" s="248"/>
      <c r="N523" s="248"/>
      <c r="O523" s="248"/>
      <c r="P523" s="248"/>
      <c r="Q523" s="248"/>
      <c r="R523" s="248"/>
      <c r="S523" s="248"/>
      <c r="T523" s="248"/>
      <c r="U523" s="248"/>
      <c r="V523" s="248"/>
      <c r="W523" s="86"/>
      <c r="X523" s="296" t="s">
        <v>212</v>
      </c>
      <c r="Y523" s="296"/>
      <c r="Z523" s="296"/>
      <c r="AA523" s="296"/>
      <c r="AB523" s="296"/>
      <c r="AC523" s="296"/>
      <c r="AD523" s="296"/>
      <c r="AE523" s="296"/>
      <c r="AF523" s="296"/>
      <c r="AG523" s="296"/>
      <c r="AH523" s="296"/>
      <c r="AI523" s="296"/>
      <c r="AJ523" s="296"/>
      <c r="AK523" s="296"/>
      <c r="AL523" s="296"/>
      <c r="AM523" s="296"/>
      <c r="AN523" s="296"/>
      <c r="AO523" s="296"/>
      <c r="AQ523" s="86"/>
      <c r="AR523" s="86"/>
      <c r="AS523" s="86"/>
    </row>
    <row r="524" spans="2:45" ht="14.25" thickBot="1" x14ac:dyDescent="0.2">
      <c r="C524" s="46"/>
      <c r="D524" s="46"/>
      <c r="E524" s="47"/>
      <c r="F524" s="246"/>
      <c r="G524" s="47"/>
      <c r="H524" s="47"/>
      <c r="I524" s="257"/>
      <c r="J524" s="245"/>
      <c r="K524" s="245"/>
      <c r="L524" s="245"/>
      <c r="M524" s="245"/>
      <c r="N524" s="245"/>
      <c r="O524" s="245"/>
      <c r="P524" s="245"/>
      <c r="Q524" s="245"/>
      <c r="R524" s="245"/>
      <c r="S524" s="245"/>
      <c r="T524" s="245"/>
      <c r="U524" s="245"/>
      <c r="V524" s="245"/>
      <c r="W524" s="46"/>
      <c r="X524" s="296" t="s">
        <v>212</v>
      </c>
      <c r="Y524" s="296"/>
      <c r="Z524" s="296"/>
      <c r="AA524" s="296"/>
      <c r="AB524" s="296"/>
      <c r="AC524" s="296"/>
      <c r="AD524" s="296"/>
      <c r="AE524" s="296"/>
      <c r="AF524" s="296"/>
      <c r="AG524" s="296"/>
      <c r="AH524" s="296"/>
      <c r="AI524" s="296"/>
      <c r="AJ524" s="296"/>
      <c r="AK524" s="296"/>
      <c r="AL524" s="296"/>
      <c r="AM524" s="296"/>
      <c r="AN524" s="296"/>
      <c r="AO524" s="296"/>
      <c r="AQ524" s="86"/>
      <c r="AR524" s="86"/>
      <c r="AS524" s="86"/>
    </row>
    <row r="525" spans="2:45" ht="18" customHeight="1" thickBot="1" x14ac:dyDescent="0.2">
      <c r="B525" s="42">
        <v>31</v>
      </c>
      <c r="C525" s="46"/>
      <c r="D525" s="82" t="s">
        <v>186</v>
      </c>
      <c r="E525" s="48" t="s">
        <v>72</v>
      </c>
      <c r="F525" s="80"/>
      <c r="G525" s="46"/>
      <c r="H525" s="109"/>
      <c r="I525" s="255"/>
      <c r="J525" s="366" t="str">
        <f>IFERROR(VLOOKUP($F525,補助対象機器一覧20220831!$A$2:$K$200,2,FALSE),"")</f>
        <v/>
      </c>
      <c r="K525" s="367"/>
      <c r="L525" s="368"/>
      <c r="M525" s="245"/>
      <c r="N525" s="366" t="str">
        <f>IFERROR(VLOOKUP($F525,補助対象機器一覧20220831!$A$2:$K$200,7,FALSE),"")</f>
        <v/>
      </c>
      <c r="O525" s="367"/>
      <c r="P525" s="368"/>
      <c r="Q525" s="245"/>
      <c r="R525" s="366" t="str">
        <f>IFERROR(VLOOKUP($F525,補助対象機器一覧20220831!$A$2:$K$200,8,FALSE),"")</f>
        <v/>
      </c>
      <c r="S525" s="367"/>
      <c r="T525" s="368"/>
      <c r="U525" s="245"/>
      <c r="V525" s="244" t="str">
        <f>IFERROR(VLOOKUP($F525,補助対象機器一覧20220831!$A$2:$K$200,9,FALSE),"")</f>
        <v/>
      </c>
      <c r="W525" s="46"/>
      <c r="X525" s="402" t="str">
        <f>IF($B525&lt;=入力シート!$F$85,""&amp;中間シート!X604,"")</f>
        <v/>
      </c>
      <c r="Y525" s="402"/>
      <c r="Z525" s="402"/>
      <c r="AA525" s="402"/>
      <c r="AB525" s="402"/>
      <c r="AC525" s="402"/>
      <c r="AD525" s="402"/>
      <c r="AE525" s="402"/>
      <c r="AF525" s="402"/>
      <c r="AG525" s="402"/>
      <c r="AH525" s="402"/>
      <c r="AI525" s="402"/>
      <c r="AJ525" s="402"/>
      <c r="AK525" s="402"/>
      <c r="AL525" s="402"/>
      <c r="AM525" s="402"/>
      <c r="AN525" s="402"/>
      <c r="AO525" s="402"/>
      <c r="AQ525" s="81">
        <f>IF(J525&lt;&gt;"",1,IF(H525="なし",2,0))</f>
        <v>0</v>
      </c>
      <c r="AR525" s="86"/>
      <c r="AS525" s="86"/>
    </row>
    <row r="526" spans="2:45" ht="5.0999999999999996" customHeight="1" thickBot="1" x14ac:dyDescent="0.2">
      <c r="C526" s="46"/>
      <c r="D526" s="82"/>
      <c r="E526" s="48"/>
      <c r="F526" s="245"/>
      <c r="G526" s="46"/>
      <c r="H526" s="46"/>
      <c r="I526" s="255"/>
      <c r="J526" s="245"/>
      <c r="K526" s="245"/>
      <c r="L526" s="245"/>
      <c r="M526" s="245"/>
      <c r="N526" s="245"/>
      <c r="O526" s="245"/>
      <c r="P526" s="245"/>
      <c r="Q526" s="245"/>
      <c r="R526" s="245"/>
      <c r="S526" s="245"/>
      <c r="T526" s="245"/>
      <c r="U526" s="245"/>
      <c r="V526" s="245"/>
      <c r="W526" s="46"/>
      <c r="X526" s="402"/>
      <c r="Y526" s="402"/>
      <c r="Z526" s="402"/>
      <c r="AA526" s="402"/>
      <c r="AB526" s="402"/>
      <c r="AC526" s="402"/>
      <c r="AD526" s="402"/>
      <c r="AE526" s="402"/>
      <c r="AF526" s="402"/>
      <c r="AG526" s="402"/>
      <c r="AH526" s="402"/>
      <c r="AI526" s="402"/>
      <c r="AJ526" s="402"/>
      <c r="AK526" s="402"/>
      <c r="AL526" s="402"/>
      <c r="AM526" s="402"/>
      <c r="AN526" s="402"/>
      <c r="AO526" s="402"/>
      <c r="AP526" s="41"/>
      <c r="AQ526" s="86"/>
      <c r="AR526" s="86"/>
      <c r="AS526" s="86"/>
    </row>
    <row r="527" spans="2:45" ht="18" customHeight="1" thickBot="1" x14ac:dyDescent="0.2">
      <c r="B527" s="42">
        <v>31</v>
      </c>
      <c r="C527" s="46"/>
      <c r="D527" s="82"/>
      <c r="E527" s="48"/>
      <c r="F527" s="246"/>
      <c r="G527" s="46"/>
      <c r="H527" s="46"/>
      <c r="I527" s="261" t="str">
        <f>IF(AQ525=2,"入力してください→",IF(AQ525=1,"入力不要です→",""))</f>
        <v/>
      </c>
      <c r="J527" s="387"/>
      <c r="K527" s="388"/>
      <c r="L527" s="389"/>
      <c r="M527" s="245"/>
      <c r="N527" s="387"/>
      <c r="O527" s="388"/>
      <c r="P527" s="389"/>
      <c r="Q527" s="245"/>
      <c r="R527" s="387"/>
      <c r="S527" s="388"/>
      <c r="T527" s="389"/>
      <c r="U527" s="245"/>
      <c r="V527" s="249"/>
      <c r="W527" s="46"/>
      <c r="X527" s="402"/>
      <c r="Y527" s="402"/>
      <c r="Z527" s="402"/>
      <c r="AA527" s="402"/>
      <c r="AB527" s="402"/>
      <c r="AC527" s="402"/>
      <c r="AD527" s="402"/>
      <c r="AE527" s="402"/>
      <c r="AF527" s="402"/>
      <c r="AG527" s="402"/>
      <c r="AH527" s="402"/>
      <c r="AI527" s="402"/>
      <c r="AJ527" s="402"/>
      <c r="AK527" s="402"/>
      <c r="AL527" s="402"/>
      <c r="AM527" s="402"/>
      <c r="AN527" s="402"/>
      <c r="AO527" s="402"/>
      <c r="AP527" s="41"/>
      <c r="AQ527" s="86"/>
      <c r="AR527" s="86"/>
      <c r="AS527" s="86"/>
    </row>
    <row r="528" spans="2:45" ht="5.0999999999999996" customHeight="1" thickBot="1" x14ac:dyDescent="0.2">
      <c r="C528" s="46"/>
      <c r="D528" s="46"/>
      <c r="E528" s="47"/>
      <c r="F528" s="245"/>
      <c r="G528" s="47"/>
      <c r="H528" s="47"/>
      <c r="I528" s="255"/>
      <c r="J528" s="245"/>
      <c r="K528" s="245"/>
      <c r="L528" s="245"/>
      <c r="M528" s="245"/>
      <c r="N528" s="245"/>
      <c r="O528" s="245"/>
      <c r="P528" s="245"/>
      <c r="Q528" s="245"/>
      <c r="R528" s="245"/>
      <c r="S528" s="245"/>
      <c r="T528" s="245"/>
      <c r="U528" s="245"/>
      <c r="V528" s="245"/>
      <c r="W528" s="46"/>
      <c r="X528" s="296" t="s">
        <v>212</v>
      </c>
      <c r="Y528" s="296"/>
      <c r="Z528" s="296"/>
      <c r="AA528" s="296"/>
      <c r="AB528" s="296"/>
      <c r="AC528" s="296"/>
      <c r="AD528" s="296"/>
      <c r="AE528" s="296"/>
      <c r="AF528" s="296"/>
      <c r="AG528" s="296"/>
      <c r="AH528" s="296"/>
      <c r="AI528" s="296"/>
      <c r="AJ528" s="296"/>
      <c r="AK528" s="296"/>
      <c r="AL528" s="296"/>
      <c r="AM528" s="296"/>
      <c r="AN528" s="296"/>
      <c r="AO528" s="296"/>
      <c r="AP528" s="41"/>
      <c r="AQ528" s="86"/>
      <c r="AR528" s="86"/>
      <c r="AS528" s="86"/>
    </row>
    <row r="529" spans="2:45" ht="18" customHeight="1" thickBot="1" x14ac:dyDescent="0.2">
      <c r="B529" s="42">
        <v>31</v>
      </c>
      <c r="C529" s="46"/>
      <c r="D529" s="46"/>
      <c r="E529" s="48" t="s">
        <v>73</v>
      </c>
      <c r="F529" s="80"/>
      <c r="G529" s="47"/>
      <c r="H529" s="109"/>
      <c r="I529" s="255"/>
      <c r="J529" s="366" t="str">
        <f>IFERROR(VLOOKUP($F529,補助対象機器一覧20220831!$A$2:$K$200,2,FALSE),"")</f>
        <v/>
      </c>
      <c r="K529" s="367"/>
      <c r="L529" s="368"/>
      <c r="M529" s="245"/>
      <c r="N529" s="366" t="str">
        <f>IFERROR(VLOOKUP($F529,補助対象機器一覧20220831!$A$2:$K$200,7,FALSE),"")</f>
        <v/>
      </c>
      <c r="O529" s="367"/>
      <c r="P529" s="368"/>
      <c r="Q529" s="245"/>
      <c r="R529" s="366" t="str">
        <f>IFERROR(VLOOKUP($F529,補助対象機器一覧20220831!$A$2:$K$200,8,FALSE),"")</f>
        <v/>
      </c>
      <c r="S529" s="367"/>
      <c r="T529" s="368"/>
      <c r="U529" s="245"/>
      <c r="V529" s="244" t="str">
        <f>IFERROR(VLOOKUP($F529,補助対象機器一覧20220831!$A$2:$K$200,9,FALSE),"")</f>
        <v/>
      </c>
      <c r="W529" s="46"/>
      <c r="X529" s="402" t="str">
        <f>IF($B529&lt;=入力シート!$F$85,""&amp;中間シート!X605,"")</f>
        <v/>
      </c>
      <c r="Y529" s="402"/>
      <c r="Z529" s="402"/>
      <c r="AA529" s="402"/>
      <c r="AB529" s="402"/>
      <c r="AC529" s="402"/>
      <c r="AD529" s="402"/>
      <c r="AE529" s="402"/>
      <c r="AF529" s="402"/>
      <c r="AG529" s="402"/>
      <c r="AH529" s="402"/>
      <c r="AI529" s="402"/>
      <c r="AJ529" s="402"/>
      <c r="AK529" s="402"/>
      <c r="AL529" s="402"/>
      <c r="AM529" s="402"/>
      <c r="AN529" s="402"/>
      <c r="AO529" s="402"/>
      <c r="AP529" s="41"/>
      <c r="AQ529" s="81">
        <f>IF(J529&lt;&gt;"",1,IF(H529="なし",2,0))</f>
        <v>0</v>
      </c>
      <c r="AR529" s="86"/>
      <c r="AS529" s="86"/>
    </row>
    <row r="530" spans="2:45" ht="5.0999999999999996" customHeight="1" thickBot="1" x14ac:dyDescent="0.2">
      <c r="C530" s="46"/>
      <c r="D530" s="46"/>
      <c r="E530" s="48"/>
      <c r="F530" s="246"/>
      <c r="G530" s="47"/>
      <c r="H530" s="47"/>
      <c r="I530" s="255"/>
      <c r="J530" s="246"/>
      <c r="K530" s="246"/>
      <c r="L530" s="246"/>
      <c r="M530" s="245"/>
      <c r="N530" s="246"/>
      <c r="O530" s="246"/>
      <c r="P530" s="246"/>
      <c r="Q530" s="245"/>
      <c r="R530" s="246"/>
      <c r="S530" s="246"/>
      <c r="T530" s="246"/>
      <c r="U530" s="245"/>
      <c r="V530" s="246"/>
      <c r="W530" s="46"/>
      <c r="X530" s="402"/>
      <c r="Y530" s="402"/>
      <c r="Z530" s="402"/>
      <c r="AA530" s="402"/>
      <c r="AB530" s="402"/>
      <c r="AC530" s="402"/>
      <c r="AD530" s="402"/>
      <c r="AE530" s="402"/>
      <c r="AF530" s="402"/>
      <c r="AG530" s="402"/>
      <c r="AH530" s="402"/>
      <c r="AI530" s="402"/>
      <c r="AJ530" s="402"/>
      <c r="AK530" s="402"/>
      <c r="AL530" s="402"/>
      <c r="AM530" s="402"/>
      <c r="AN530" s="402"/>
      <c r="AO530" s="402"/>
      <c r="AP530" s="41"/>
      <c r="AQ530" s="86"/>
      <c r="AR530" s="86"/>
      <c r="AS530" s="86"/>
    </row>
    <row r="531" spans="2:45" ht="18" customHeight="1" thickBot="1" x14ac:dyDescent="0.2">
      <c r="B531" s="42">
        <v>31</v>
      </c>
      <c r="C531" s="46"/>
      <c r="D531" s="46"/>
      <c r="E531" s="48"/>
      <c r="F531" s="246"/>
      <c r="G531" s="47"/>
      <c r="H531" s="47"/>
      <c r="I531" s="261" t="str">
        <f>IF(AQ529=2,"入力してください→",IF(AQ529=1,"入力不要です→",""))</f>
        <v/>
      </c>
      <c r="J531" s="387"/>
      <c r="K531" s="388"/>
      <c r="L531" s="389"/>
      <c r="M531" s="245"/>
      <c r="N531" s="387"/>
      <c r="O531" s="388"/>
      <c r="P531" s="389"/>
      <c r="Q531" s="245"/>
      <c r="R531" s="387"/>
      <c r="S531" s="388"/>
      <c r="T531" s="389"/>
      <c r="U531" s="245"/>
      <c r="V531" s="249"/>
      <c r="W531" s="46"/>
      <c r="X531" s="402"/>
      <c r="Y531" s="402"/>
      <c r="Z531" s="402"/>
      <c r="AA531" s="402"/>
      <c r="AB531" s="402"/>
      <c r="AC531" s="402"/>
      <c r="AD531" s="402"/>
      <c r="AE531" s="402"/>
      <c r="AF531" s="402"/>
      <c r="AG531" s="402"/>
      <c r="AH531" s="402"/>
      <c r="AI531" s="402"/>
      <c r="AJ531" s="402"/>
      <c r="AK531" s="402"/>
      <c r="AL531" s="402"/>
      <c r="AM531" s="402"/>
      <c r="AN531" s="402"/>
      <c r="AO531" s="402"/>
      <c r="AP531" s="41"/>
      <c r="AQ531" s="86"/>
      <c r="AR531" s="86"/>
      <c r="AS531" s="86"/>
    </row>
    <row r="532" spans="2:45" ht="5.0999999999999996" customHeight="1" thickBot="1" x14ac:dyDescent="0.2">
      <c r="C532" s="46"/>
      <c r="D532" s="46"/>
      <c r="E532" s="48"/>
      <c r="F532" s="246"/>
      <c r="G532" s="47"/>
      <c r="H532" s="47"/>
      <c r="I532" s="255"/>
      <c r="J532" s="246"/>
      <c r="K532" s="246"/>
      <c r="L532" s="246"/>
      <c r="M532" s="245"/>
      <c r="N532" s="246"/>
      <c r="O532" s="246"/>
      <c r="P532" s="246"/>
      <c r="Q532" s="245"/>
      <c r="R532" s="246"/>
      <c r="S532" s="246"/>
      <c r="T532" s="246"/>
      <c r="U532" s="245"/>
      <c r="V532" s="246"/>
      <c r="W532" s="46"/>
      <c r="X532" s="296" t="s">
        <v>212</v>
      </c>
      <c r="Y532" s="296"/>
      <c r="Z532" s="296"/>
      <c r="AA532" s="296"/>
      <c r="AB532" s="296"/>
      <c r="AC532" s="296"/>
      <c r="AD532" s="296"/>
      <c r="AE532" s="296"/>
      <c r="AF532" s="296"/>
      <c r="AG532" s="296"/>
      <c r="AH532" s="296"/>
      <c r="AI532" s="296"/>
      <c r="AJ532" s="296"/>
      <c r="AK532" s="296"/>
      <c r="AL532" s="296"/>
      <c r="AM532" s="296"/>
      <c r="AN532" s="296"/>
      <c r="AO532" s="296"/>
      <c r="AP532" s="41"/>
      <c r="AQ532" s="86"/>
      <c r="AR532" s="86"/>
      <c r="AS532" s="86"/>
    </row>
    <row r="533" spans="2:45" ht="18" customHeight="1" thickBot="1" x14ac:dyDescent="0.2">
      <c r="B533" s="42">
        <v>31</v>
      </c>
      <c r="C533" s="46"/>
      <c r="D533" s="46"/>
      <c r="E533" s="48" t="s">
        <v>74</v>
      </c>
      <c r="F533" s="80"/>
      <c r="G533" s="47"/>
      <c r="H533" s="109"/>
      <c r="I533" s="255"/>
      <c r="J533" s="366" t="str">
        <f>IFERROR(VLOOKUP($F533,補助対象機器一覧20220831!$A$2:$K$200,2,FALSE),"")</f>
        <v/>
      </c>
      <c r="K533" s="367"/>
      <c r="L533" s="368"/>
      <c r="M533" s="245"/>
      <c r="N533" s="366" t="str">
        <f>IFERROR(VLOOKUP($F533,補助対象機器一覧20220831!$A$2:$K$200,7,FALSE),"")</f>
        <v/>
      </c>
      <c r="O533" s="367"/>
      <c r="P533" s="368"/>
      <c r="Q533" s="245"/>
      <c r="R533" s="366" t="str">
        <f>IFERROR(VLOOKUP($F533,補助対象機器一覧20220831!$A$2:$K$200,8,FALSE),"")</f>
        <v/>
      </c>
      <c r="S533" s="367"/>
      <c r="T533" s="368"/>
      <c r="U533" s="245"/>
      <c r="V533" s="244" t="str">
        <f>IFERROR(VLOOKUP($F533,補助対象機器一覧20220831!$A$2:$K$200,9,FALSE),"")</f>
        <v/>
      </c>
      <c r="W533" s="46"/>
      <c r="X533" s="402" t="str">
        <f>IF($B533&lt;=入力シート!$F$85,""&amp;中間シート!X606,"")</f>
        <v/>
      </c>
      <c r="Y533" s="402"/>
      <c r="Z533" s="402"/>
      <c r="AA533" s="402"/>
      <c r="AB533" s="402"/>
      <c r="AC533" s="402"/>
      <c r="AD533" s="402"/>
      <c r="AE533" s="402"/>
      <c r="AF533" s="402"/>
      <c r="AG533" s="402"/>
      <c r="AH533" s="402"/>
      <c r="AI533" s="402"/>
      <c r="AJ533" s="402"/>
      <c r="AK533" s="402"/>
      <c r="AL533" s="402"/>
      <c r="AM533" s="402"/>
      <c r="AN533" s="402"/>
      <c r="AO533" s="402"/>
      <c r="AP533" s="41"/>
      <c r="AQ533" s="81">
        <f>IF(J533&lt;&gt;"",1,IF(H533="なし",2,0))</f>
        <v>0</v>
      </c>
      <c r="AR533" s="86"/>
      <c r="AS533" s="86"/>
    </row>
    <row r="534" spans="2:45" ht="5.0999999999999996" customHeight="1" thickBot="1" x14ac:dyDescent="0.2">
      <c r="C534" s="46"/>
      <c r="D534" s="46"/>
      <c r="E534" s="48"/>
      <c r="F534" s="246"/>
      <c r="G534" s="47"/>
      <c r="H534" s="47"/>
      <c r="I534" s="255"/>
      <c r="J534" s="246"/>
      <c r="K534" s="246"/>
      <c r="L534" s="246"/>
      <c r="M534" s="245"/>
      <c r="N534" s="246"/>
      <c r="O534" s="246"/>
      <c r="P534" s="246"/>
      <c r="Q534" s="245"/>
      <c r="R534" s="246"/>
      <c r="S534" s="246"/>
      <c r="T534" s="246"/>
      <c r="U534" s="245"/>
      <c r="V534" s="246"/>
      <c r="W534" s="46"/>
      <c r="X534" s="402"/>
      <c r="Y534" s="402"/>
      <c r="Z534" s="402"/>
      <c r="AA534" s="402"/>
      <c r="AB534" s="402"/>
      <c r="AC534" s="402"/>
      <c r="AD534" s="402"/>
      <c r="AE534" s="402"/>
      <c r="AF534" s="402"/>
      <c r="AG534" s="402"/>
      <c r="AH534" s="402"/>
      <c r="AI534" s="402"/>
      <c r="AJ534" s="402"/>
      <c r="AK534" s="402"/>
      <c r="AL534" s="402"/>
      <c r="AM534" s="402"/>
      <c r="AN534" s="402"/>
      <c r="AO534" s="402"/>
      <c r="AP534" s="41"/>
      <c r="AQ534" s="86"/>
      <c r="AR534" s="86"/>
      <c r="AS534" s="86"/>
    </row>
    <row r="535" spans="2:45" ht="18" customHeight="1" thickBot="1" x14ac:dyDescent="0.2">
      <c r="B535" s="42">
        <v>31</v>
      </c>
      <c r="C535" s="46"/>
      <c r="D535" s="46"/>
      <c r="E535" s="47"/>
      <c r="F535" s="246"/>
      <c r="G535" s="47"/>
      <c r="H535" s="47"/>
      <c r="I535" s="261" t="str">
        <f>IF(AQ533=2,"入力してください→",IF(AQ533=1,"入力不要です→",""))</f>
        <v/>
      </c>
      <c r="J535" s="387"/>
      <c r="K535" s="388"/>
      <c r="L535" s="389"/>
      <c r="M535" s="245"/>
      <c r="N535" s="387"/>
      <c r="O535" s="388"/>
      <c r="P535" s="389"/>
      <c r="Q535" s="245"/>
      <c r="R535" s="387"/>
      <c r="S535" s="388"/>
      <c r="T535" s="389"/>
      <c r="U535" s="245"/>
      <c r="V535" s="249"/>
      <c r="W535" s="46"/>
      <c r="X535" s="402"/>
      <c r="Y535" s="402"/>
      <c r="Z535" s="402"/>
      <c r="AA535" s="402"/>
      <c r="AB535" s="402"/>
      <c r="AC535" s="402"/>
      <c r="AD535" s="402"/>
      <c r="AE535" s="402"/>
      <c r="AF535" s="402"/>
      <c r="AG535" s="402"/>
      <c r="AH535" s="402"/>
      <c r="AI535" s="402"/>
      <c r="AJ535" s="402"/>
      <c r="AK535" s="402"/>
      <c r="AL535" s="402"/>
      <c r="AM535" s="402"/>
      <c r="AN535" s="402"/>
      <c r="AO535" s="402"/>
      <c r="AP535" s="41"/>
      <c r="AQ535" s="86"/>
      <c r="AR535" s="86"/>
      <c r="AS535" s="86"/>
    </row>
    <row r="536" spans="2:45" x14ac:dyDescent="0.15">
      <c r="C536" s="46"/>
      <c r="D536" s="46"/>
      <c r="E536" s="47"/>
      <c r="F536" s="246"/>
      <c r="G536" s="47"/>
      <c r="H536" s="47"/>
      <c r="I536" s="257"/>
      <c r="J536" s="245"/>
      <c r="K536" s="245"/>
      <c r="L536" s="245"/>
      <c r="M536" s="245"/>
      <c r="N536" s="245"/>
      <c r="O536" s="245"/>
      <c r="P536" s="245"/>
      <c r="Q536" s="245"/>
      <c r="R536" s="245"/>
      <c r="S536" s="245"/>
      <c r="T536" s="245"/>
      <c r="U536" s="245"/>
      <c r="V536" s="245"/>
      <c r="W536" s="46"/>
      <c r="X536" s="296" t="s">
        <v>212</v>
      </c>
      <c r="Y536" s="296"/>
      <c r="Z536" s="296"/>
      <c r="AA536" s="296"/>
      <c r="AB536" s="296"/>
      <c r="AC536" s="296"/>
      <c r="AD536" s="296"/>
      <c r="AE536" s="296"/>
      <c r="AF536" s="296"/>
      <c r="AG536" s="296"/>
      <c r="AH536" s="296"/>
      <c r="AI536" s="296"/>
      <c r="AJ536" s="296"/>
      <c r="AK536" s="296"/>
      <c r="AL536" s="296"/>
      <c r="AM536" s="296"/>
      <c r="AN536" s="296"/>
      <c r="AO536" s="296"/>
      <c r="AQ536" s="86"/>
      <c r="AR536" s="86"/>
      <c r="AS536" s="86"/>
    </row>
    <row r="537" spans="2:45" ht="14.25" thickBot="1" x14ac:dyDescent="0.2">
      <c r="C537" s="86"/>
      <c r="D537" s="86"/>
      <c r="E537" s="93"/>
      <c r="F537" s="247"/>
      <c r="G537" s="93"/>
      <c r="H537" s="93"/>
      <c r="I537" s="258"/>
      <c r="J537" s="248"/>
      <c r="K537" s="248"/>
      <c r="L537" s="248"/>
      <c r="M537" s="248"/>
      <c r="N537" s="248"/>
      <c r="O537" s="248"/>
      <c r="P537" s="248"/>
      <c r="Q537" s="248"/>
      <c r="R537" s="248"/>
      <c r="S537" s="248"/>
      <c r="T537" s="248"/>
      <c r="U537" s="248"/>
      <c r="V537" s="248"/>
      <c r="W537" s="86"/>
      <c r="X537" s="296" t="s">
        <v>212</v>
      </c>
      <c r="Y537" s="296"/>
      <c r="Z537" s="296"/>
      <c r="AA537" s="296"/>
      <c r="AB537" s="296"/>
      <c r="AC537" s="296"/>
      <c r="AD537" s="296"/>
      <c r="AE537" s="296"/>
      <c r="AF537" s="296"/>
      <c r="AG537" s="296"/>
      <c r="AH537" s="296"/>
      <c r="AI537" s="296"/>
      <c r="AJ537" s="296"/>
      <c r="AK537" s="296"/>
      <c r="AL537" s="296"/>
      <c r="AM537" s="296"/>
      <c r="AN537" s="296"/>
      <c r="AO537" s="296"/>
      <c r="AQ537" s="86"/>
      <c r="AR537" s="86"/>
      <c r="AS537" s="86"/>
    </row>
    <row r="538" spans="2:45" ht="18" customHeight="1" thickBot="1" x14ac:dyDescent="0.2">
      <c r="B538" s="42">
        <v>32</v>
      </c>
      <c r="C538" s="86"/>
      <c r="D538" s="94" t="s">
        <v>187</v>
      </c>
      <c r="E538" s="95" t="s">
        <v>72</v>
      </c>
      <c r="F538" s="80"/>
      <c r="G538" s="86"/>
      <c r="H538" s="80"/>
      <c r="I538" s="259"/>
      <c r="J538" s="366" t="str">
        <f>IFERROR(VLOOKUP($F538,補助対象機器一覧20220831!$A$2:$K$200,2,FALSE),"")</f>
        <v/>
      </c>
      <c r="K538" s="367"/>
      <c r="L538" s="368"/>
      <c r="M538" s="248"/>
      <c r="N538" s="366" t="str">
        <f>IFERROR(VLOOKUP($F538,補助対象機器一覧20220831!$A$2:$K$200,7,FALSE),"")</f>
        <v/>
      </c>
      <c r="O538" s="367"/>
      <c r="P538" s="368"/>
      <c r="Q538" s="248"/>
      <c r="R538" s="366" t="str">
        <f>IFERROR(VLOOKUP($F538,補助対象機器一覧20220831!$A$2:$K$200,8,FALSE),"")</f>
        <v/>
      </c>
      <c r="S538" s="367"/>
      <c r="T538" s="368"/>
      <c r="U538" s="248"/>
      <c r="V538" s="244" t="str">
        <f>IFERROR(VLOOKUP($F538,補助対象機器一覧20220831!$A$2:$K$200,9,FALSE),"")</f>
        <v/>
      </c>
      <c r="W538" s="86"/>
      <c r="X538" s="402" t="str">
        <f>IF($B538&lt;=入力シート!$F$85,""&amp;中間シート!X607,"")</f>
        <v/>
      </c>
      <c r="Y538" s="402"/>
      <c r="Z538" s="402"/>
      <c r="AA538" s="402"/>
      <c r="AB538" s="402"/>
      <c r="AC538" s="402"/>
      <c r="AD538" s="402"/>
      <c r="AE538" s="402"/>
      <c r="AF538" s="402"/>
      <c r="AG538" s="402"/>
      <c r="AH538" s="402"/>
      <c r="AI538" s="402"/>
      <c r="AJ538" s="402"/>
      <c r="AK538" s="402"/>
      <c r="AL538" s="402"/>
      <c r="AM538" s="402"/>
      <c r="AN538" s="402"/>
      <c r="AO538" s="402"/>
      <c r="AQ538" s="81">
        <f>IF(J538&lt;&gt;"",1,IF(H538="なし",2,0))</f>
        <v>0</v>
      </c>
      <c r="AR538" s="86"/>
      <c r="AS538" s="86"/>
    </row>
    <row r="539" spans="2:45" ht="5.0999999999999996" customHeight="1" thickBot="1" x14ac:dyDescent="0.2">
      <c r="C539" s="86"/>
      <c r="D539" s="94"/>
      <c r="E539" s="95"/>
      <c r="F539" s="248"/>
      <c r="G539" s="86"/>
      <c r="H539" s="86"/>
      <c r="I539" s="259"/>
      <c r="J539" s="248"/>
      <c r="K539" s="248"/>
      <c r="L539" s="248"/>
      <c r="M539" s="248"/>
      <c r="N539" s="248"/>
      <c r="O539" s="248"/>
      <c r="P539" s="248"/>
      <c r="Q539" s="248"/>
      <c r="R539" s="248"/>
      <c r="S539" s="248"/>
      <c r="T539" s="248"/>
      <c r="U539" s="248"/>
      <c r="V539" s="248"/>
      <c r="W539" s="86"/>
      <c r="X539" s="402"/>
      <c r="Y539" s="402"/>
      <c r="Z539" s="402"/>
      <c r="AA539" s="402"/>
      <c r="AB539" s="402"/>
      <c r="AC539" s="402"/>
      <c r="AD539" s="402"/>
      <c r="AE539" s="402"/>
      <c r="AF539" s="402"/>
      <c r="AG539" s="402"/>
      <c r="AH539" s="402"/>
      <c r="AI539" s="402"/>
      <c r="AJ539" s="402"/>
      <c r="AK539" s="402"/>
      <c r="AL539" s="402"/>
      <c r="AM539" s="402"/>
      <c r="AN539" s="402"/>
      <c r="AO539" s="402"/>
      <c r="AP539" s="41"/>
      <c r="AQ539" s="86"/>
      <c r="AR539" s="86"/>
      <c r="AS539" s="86"/>
    </row>
    <row r="540" spans="2:45" ht="18" customHeight="1" thickBot="1" x14ac:dyDescent="0.2">
      <c r="B540" s="42">
        <v>32</v>
      </c>
      <c r="C540" s="86"/>
      <c r="D540" s="94"/>
      <c r="E540" s="95"/>
      <c r="F540" s="247"/>
      <c r="G540" s="86"/>
      <c r="H540" s="86"/>
      <c r="I540" s="260" t="str">
        <f>IF(AQ538=2,"入力してください→",IF(AQ538=1,"入力不要です→",""))</f>
        <v/>
      </c>
      <c r="J540" s="387"/>
      <c r="K540" s="388"/>
      <c r="L540" s="389"/>
      <c r="M540" s="248"/>
      <c r="N540" s="387"/>
      <c r="O540" s="388"/>
      <c r="P540" s="389"/>
      <c r="Q540" s="248"/>
      <c r="R540" s="387"/>
      <c r="S540" s="388"/>
      <c r="T540" s="389"/>
      <c r="U540" s="248"/>
      <c r="V540" s="249"/>
      <c r="W540" s="86"/>
      <c r="X540" s="402"/>
      <c r="Y540" s="402"/>
      <c r="Z540" s="402"/>
      <c r="AA540" s="402"/>
      <c r="AB540" s="402"/>
      <c r="AC540" s="402"/>
      <c r="AD540" s="402"/>
      <c r="AE540" s="402"/>
      <c r="AF540" s="402"/>
      <c r="AG540" s="402"/>
      <c r="AH540" s="402"/>
      <c r="AI540" s="402"/>
      <c r="AJ540" s="402"/>
      <c r="AK540" s="402"/>
      <c r="AL540" s="402"/>
      <c r="AM540" s="402"/>
      <c r="AN540" s="402"/>
      <c r="AO540" s="402"/>
      <c r="AP540" s="41"/>
      <c r="AQ540" s="86"/>
      <c r="AR540" s="86"/>
      <c r="AS540" s="86"/>
    </row>
    <row r="541" spans="2:45" ht="5.0999999999999996" customHeight="1" thickBot="1" x14ac:dyDescent="0.2">
      <c r="C541" s="86"/>
      <c r="D541" s="86"/>
      <c r="E541" s="93"/>
      <c r="F541" s="248"/>
      <c r="G541" s="93"/>
      <c r="H541" s="93"/>
      <c r="I541" s="259"/>
      <c r="J541" s="248"/>
      <c r="K541" s="248"/>
      <c r="L541" s="248"/>
      <c r="M541" s="248"/>
      <c r="N541" s="248"/>
      <c r="O541" s="248"/>
      <c r="P541" s="248"/>
      <c r="Q541" s="248"/>
      <c r="R541" s="248"/>
      <c r="S541" s="248"/>
      <c r="T541" s="248"/>
      <c r="U541" s="248"/>
      <c r="V541" s="248"/>
      <c r="W541" s="86"/>
      <c r="X541" s="296" t="s">
        <v>212</v>
      </c>
      <c r="Y541" s="296"/>
      <c r="Z541" s="296"/>
      <c r="AA541" s="296"/>
      <c r="AB541" s="296"/>
      <c r="AC541" s="296"/>
      <c r="AD541" s="296"/>
      <c r="AE541" s="296"/>
      <c r="AF541" s="296"/>
      <c r="AG541" s="296"/>
      <c r="AH541" s="296"/>
      <c r="AI541" s="296"/>
      <c r="AJ541" s="296"/>
      <c r="AK541" s="296"/>
      <c r="AL541" s="296"/>
      <c r="AM541" s="296"/>
      <c r="AN541" s="296"/>
      <c r="AO541" s="296"/>
      <c r="AP541" s="41"/>
      <c r="AQ541" s="86"/>
      <c r="AR541" s="86"/>
      <c r="AS541" s="86"/>
    </row>
    <row r="542" spans="2:45" ht="18" customHeight="1" thickBot="1" x14ac:dyDescent="0.2">
      <c r="B542" s="42">
        <v>32</v>
      </c>
      <c r="C542" s="86"/>
      <c r="D542" s="86"/>
      <c r="E542" s="95" t="s">
        <v>73</v>
      </c>
      <c r="F542" s="80"/>
      <c r="G542" s="93"/>
      <c r="H542" s="80"/>
      <c r="I542" s="259"/>
      <c r="J542" s="366" t="str">
        <f>IFERROR(VLOOKUP($F542,補助対象機器一覧20220831!$A$2:$K$200,2,FALSE),"")</f>
        <v/>
      </c>
      <c r="K542" s="367"/>
      <c r="L542" s="368"/>
      <c r="M542" s="248"/>
      <c r="N542" s="366" t="str">
        <f>IFERROR(VLOOKUP($F542,補助対象機器一覧20220831!$A$2:$K$200,7,FALSE),"")</f>
        <v/>
      </c>
      <c r="O542" s="367"/>
      <c r="P542" s="368"/>
      <c r="Q542" s="248"/>
      <c r="R542" s="366" t="str">
        <f>IFERROR(VLOOKUP($F542,補助対象機器一覧20220831!$A$2:$K$200,8,FALSE),"")</f>
        <v/>
      </c>
      <c r="S542" s="367"/>
      <c r="T542" s="368"/>
      <c r="U542" s="248"/>
      <c r="V542" s="244" t="str">
        <f>IFERROR(VLOOKUP($F542,補助対象機器一覧20220831!$A$2:$K$200,9,FALSE),"")</f>
        <v/>
      </c>
      <c r="W542" s="86"/>
      <c r="X542" s="402" t="str">
        <f>IF($B542&lt;=入力シート!$F$85,""&amp;中間シート!X608,"")</f>
        <v/>
      </c>
      <c r="Y542" s="402"/>
      <c r="Z542" s="402"/>
      <c r="AA542" s="402"/>
      <c r="AB542" s="402"/>
      <c r="AC542" s="402"/>
      <c r="AD542" s="402"/>
      <c r="AE542" s="402"/>
      <c r="AF542" s="402"/>
      <c r="AG542" s="402"/>
      <c r="AH542" s="402"/>
      <c r="AI542" s="402"/>
      <c r="AJ542" s="402"/>
      <c r="AK542" s="402"/>
      <c r="AL542" s="402"/>
      <c r="AM542" s="402"/>
      <c r="AN542" s="402"/>
      <c r="AO542" s="402"/>
      <c r="AP542" s="41"/>
      <c r="AQ542" s="81">
        <f>IF(J542&lt;&gt;"",1,IF(H542="なし",2,0))</f>
        <v>0</v>
      </c>
      <c r="AR542" s="86"/>
      <c r="AS542" s="86"/>
    </row>
    <row r="543" spans="2:45" ht="5.0999999999999996" customHeight="1" thickBot="1" x14ac:dyDescent="0.2">
      <c r="C543" s="86"/>
      <c r="D543" s="86"/>
      <c r="E543" s="95"/>
      <c r="F543" s="247"/>
      <c r="G543" s="93"/>
      <c r="H543" s="93"/>
      <c r="I543" s="259"/>
      <c r="J543" s="247"/>
      <c r="K543" s="247"/>
      <c r="L543" s="247"/>
      <c r="M543" s="248"/>
      <c r="N543" s="247"/>
      <c r="O543" s="247"/>
      <c r="P543" s="247"/>
      <c r="Q543" s="248"/>
      <c r="R543" s="247"/>
      <c r="S543" s="247"/>
      <c r="T543" s="247"/>
      <c r="U543" s="248"/>
      <c r="V543" s="247"/>
      <c r="W543" s="86"/>
      <c r="X543" s="402"/>
      <c r="Y543" s="402"/>
      <c r="Z543" s="402"/>
      <c r="AA543" s="402"/>
      <c r="AB543" s="402"/>
      <c r="AC543" s="402"/>
      <c r="AD543" s="402"/>
      <c r="AE543" s="402"/>
      <c r="AF543" s="402"/>
      <c r="AG543" s="402"/>
      <c r="AH543" s="402"/>
      <c r="AI543" s="402"/>
      <c r="AJ543" s="402"/>
      <c r="AK543" s="402"/>
      <c r="AL543" s="402"/>
      <c r="AM543" s="402"/>
      <c r="AN543" s="402"/>
      <c r="AO543" s="402"/>
      <c r="AP543" s="41"/>
      <c r="AQ543" s="86"/>
      <c r="AR543" s="86"/>
      <c r="AS543" s="86"/>
    </row>
    <row r="544" spans="2:45" ht="18" customHeight="1" thickBot="1" x14ac:dyDescent="0.2">
      <c r="B544" s="42">
        <v>32</v>
      </c>
      <c r="C544" s="86"/>
      <c r="D544" s="86"/>
      <c r="E544" s="95"/>
      <c r="F544" s="247"/>
      <c r="G544" s="93"/>
      <c r="H544" s="93"/>
      <c r="I544" s="260" t="str">
        <f>IF(AQ542=2,"入力してください→",IF(AQ542=1,"入力不要です→",""))</f>
        <v/>
      </c>
      <c r="J544" s="387"/>
      <c r="K544" s="388"/>
      <c r="L544" s="389"/>
      <c r="M544" s="248"/>
      <c r="N544" s="387"/>
      <c r="O544" s="388"/>
      <c r="P544" s="389"/>
      <c r="Q544" s="248"/>
      <c r="R544" s="387"/>
      <c r="S544" s="388"/>
      <c r="T544" s="389"/>
      <c r="U544" s="248"/>
      <c r="V544" s="249"/>
      <c r="W544" s="86"/>
      <c r="X544" s="402"/>
      <c r="Y544" s="402"/>
      <c r="Z544" s="402"/>
      <c r="AA544" s="402"/>
      <c r="AB544" s="402"/>
      <c r="AC544" s="402"/>
      <c r="AD544" s="402"/>
      <c r="AE544" s="402"/>
      <c r="AF544" s="402"/>
      <c r="AG544" s="402"/>
      <c r="AH544" s="402"/>
      <c r="AI544" s="402"/>
      <c r="AJ544" s="402"/>
      <c r="AK544" s="402"/>
      <c r="AL544" s="402"/>
      <c r="AM544" s="402"/>
      <c r="AN544" s="402"/>
      <c r="AO544" s="402"/>
      <c r="AP544" s="41"/>
      <c r="AQ544" s="86"/>
      <c r="AR544" s="86"/>
      <c r="AS544" s="86"/>
    </row>
    <row r="545" spans="2:45" ht="5.0999999999999996" customHeight="1" thickBot="1" x14ac:dyDescent="0.2">
      <c r="C545" s="86"/>
      <c r="D545" s="86"/>
      <c r="E545" s="95"/>
      <c r="F545" s="247"/>
      <c r="G545" s="93"/>
      <c r="H545" s="93"/>
      <c r="I545" s="259"/>
      <c r="J545" s="247"/>
      <c r="K545" s="247"/>
      <c r="L545" s="247"/>
      <c r="M545" s="248"/>
      <c r="N545" s="247"/>
      <c r="O545" s="247"/>
      <c r="P545" s="247"/>
      <c r="Q545" s="248"/>
      <c r="R545" s="247"/>
      <c r="S545" s="247"/>
      <c r="T545" s="247"/>
      <c r="U545" s="248"/>
      <c r="V545" s="247"/>
      <c r="W545" s="86"/>
      <c r="X545" s="296" t="s">
        <v>212</v>
      </c>
      <c r="Y545" s="296"/>
      <c r="Z545" s="296"/>
      <c r="AA545" s="296"/>
      <c r="AB545" s="296"/>
      <c r="AC545" s="296"/>
      <c r="AD545" s="296"/>
      <c r="AE545" s="296"/>
      <c r="AF545" s="296"/>
      <c r="AG545" s="296"/>
      <c r="AH545" s="296"/>
      <c r="AI545" s="296"/>
      <c r="AJ545" s="296"/>
      <c r="AK545" s="296"/>
      <c r="AL545" s="296"/>
      <c r="AM545" s="296"/>
      <c r="AN545" s="296"/>
      <c r="AO545" s="296"/>
      <c r="AP545" s="41"/>
      <c r="AQ545" s="86"/>
      <c r="AR545" s="86"/>
      <c r="AS545" s="86"/>
    </row>
    <row r="546" spans="2:45" ht="18" customHeight="1" thickBot="1" x14ac:dyDescent="0.2">
      <c r="B546" s="42">
        <v>32</v>
      </c>
      <c r="C546" s="86"/>
      <c r="D546" s="86"/>
      <c r="E546" s="95" t="s">
        <v>74</v>
      </c>
      <c r="F546" s="80"/>
      <c r="G546" s="93"/>
      <c r="H546" s="80"/>
      <c r="I546" s="259"/>
      <c r="J546" s="366" t="str">
        <f>IFERROR(VLOOKUP($F546,補助対象機器一覧20220831!$A$2:$K$200,2,FALSE),"")</f>
        <v/>
      </c>
      <c r="K546" s="367"/>
      <c r="L546" s="368"/>
      <c r="M546" s="248"/>
      <c r="N546" s="366" t="str">
        <f>IFERROR(VLOOKUP($F546,補助対象機器一覧20220831!$A$2:$K$200,7,FALSE),"")</f>
        <v/>
      </c>
      <c r="O546" s="367"/>
      <c r="P546" s="368"/>
      <c r="Q546" s="248"/>
      <c r="R546" s="366" t="str">
        <f>IFERROR(VLOOKUP($F546,補助対象機器一覧20220831!$A$2:$K$200,8,FALSE),"")</f>
        <v/>
      </c>
      <c r="S546" s="367"/>
      <c r="T546" s="368"/>
      <c r="U546" s="248"/>
      <c r="V546" s="244" t="str">
        <f>IFERROR(VLOOKUP($F546,補助対象機器一覧20220831!$A$2:$K$200,9,FALSE),"")</f>
        <v/>
      </c>
      <c r="W546" s="86"/>
      <c r="X546" s="402" t="str">
        <f>IF($B546&lt;=入力シート!$F$85,""&amp;中間シート!X609,"")</f>
        <v/>
      </c>
      <c r="Y546" s="402"/>
      <c r="Z546" s="402"/>
      <c r="AA546" s="402"/>
      <c r="AB546" s="402"/>
      <c r="AC546" s="402"/>
      <c r="AD546" s="402"/>
      <c r="AE546" s="402"/>
      <c r="AF546" s="402"/>
      <c r="AG546" s="402"/>
      <c r="AH546" s="402"/>
      <c r="AI546" s="402"/>
      <c r="AJ546" s="402"/>
      <c r="AK546" s="402"/>
      <c r="AL546" s="402"/>
      <c r="AM546" s="402"/>
      <c r="AN546" s="402"/>
      <c r="AO546" s="402"/>
      <c r="AP546" s="41"/>
      <c r="AQ546" s="81">
        <f>IF(J546&lt;&gt;"",1,IF(H546="なし",2,0))</f>
        <v>0</v>
      </c>
      <c r="AR546" s="86"/>
      <c r="AS546" s="86"/>
    </row>
    <row r="547" spans="2:45" ht="5.0999999999999996" customHeight="1" thickBot="1" x14ac:dyDescent="0.2">
      <c r="C547" s="86"/>
      <c r="D547" s="86"/>
      <c r="E547" s="95"/>
      <c r="F547" s="247"/>
      <c r="G547" s="93"/>
      <c r="H547" s="93"/>
      <c r="I547" s="259"/>
      <c r="J547" s="247"/>
      <c r="K547" s="247"/>
      <c r="L547" s="247"/>
      <c r="M547" s="248"/>
      <c r="N547" s="247"/>
      <c r="O547" s="247"/>
      <c r="P547" s="247"/>
      <c r="Q547" s="248"/>
      <c r="R547" s="247"/>
      <c r="S547" s="247"/>
      <c r="T547" s="247"/>
      <c r="U547" s="248"/>
      <c r="V547" s="247"/>
      <c r="W547" s="86"/>
      <c r="X547" s="402"/>
      <c r="Y547" s="402"/>
      <c r="Z547" s="402"/>
      <c r="AA547" s="402"/>
      <c r="AB547" s="402"/>
      <c r="AC547" s="402"/>
      <c r="AD547" s="402"/>
      <c r="AE547" s="402"/>
      <c r="AF547" s="402"/>
      <c r="AG547" s="402"/>
      <c r="AH547" s="402"/>
      <c r="AI547" s="402"/>
      <c r="AJ547" s="402"/>
      <c r="AK547" s="402"/>
      <c r="AL547" s="402"/>
      <c r="AM547" s="402"/>
      <c r="AN547" s="402"/>
      <c r="AO547" s="402"/>
      <c r="AP547" s="41"/>
      <c r="AQ547" s="86"/>
      <c r="AR547" s="86"/>
      <c r="AS547" s="86"/>
    </row>
    <row r="548" spans="2:45" ht="18" customHeight="1" thickBot="1" x14ac:dyDescent="0.2">
      <c r="B548" s="42">
        <v>32</v>
      </c>
      <c r="C548" s="86"/>
      <c r="D548" s="86"/>
      <c r="E548" s="93"/>
      <c r="F548" s="247"/>
      <c r="G548" s="93"/>
      <c r="H548" s="93"/>
      <c r="I548" s="260" t="str">
        <f>IF(AQ546=2,"入力してください→",IF(AQ546=1,"入力不要です→",""))</f>
        <v/>
      </c>
      <c r="J548" s="387"/>
      <c r="K548" s="388"/>
      <c r="L548" s="389"/>
      <c r="M548" s="248"/>
      <c r="N548" s="387"/>
      <c r="O548" s="388"/>
      <c r="P548" s="389"/>
      <c r="Q548" s="248"/>
      <c r="R548" s="387"/>
      <c r="S548" s="388"/>
      <c r="T548" s="389"/>
      <c r="U548" s="248"/>
      <c r="V548" s="249"/>
      <c r="W548" s="86"/>
      <c r="X548" s="402"/>
      <c r="Y548" s="402"/>
      <c r="Z548" s="402"/>
      <c r="AA548" s="402"/>
      <c r="AB548" s="402"/>
      <c r="AC548" s="402"/>
      <c r="AD548" s="402"/>
      <c r="AE548" s="402"/>
      <c r="AF548" s="402"/>
      <c r="AG548" s="402"/>
      <c r="AH548" s="402"/>
      <c r="AI548" s="402"/>
      <c r="AJ548" s="402"/>
      <c r="AK548" s="402"/>
      <c r="AL548" s="402"/>
      <c r="AM548" s="402"/>
      <c r="AN548" s="402"/>
      <c r="AO548" s="402"/>
      <c r="AP548" s="41"/>
      <c r="AQ548" s="86"/>
      <c r="AR548" s="86"/>
      <c r="AS548" s="86"/>
    </row>
    <row r="549" spans="2:45" x14ac:dyDescent="0.15">
      <c r="C549" s="86"/>
      <c r="D549" s="86"/>
      <c r="E549" s="93"/>
      <c r="F549" s="247"/>
      <c r="G549" s="93"/>
      <c r="H549" s="93"/>
      <c r="I549" s="258"/>
      <c r="J549" s="248"/>
      <c r="K549" s="248"/>
      <c r="L549" s="248"/>
      <c r="M549" s="248"/>
      <c r="N549" s="248"/>
      <c r="O549" s="248"/>
      <c r="P549" s="248"/>
      <c r="Q549" s="248"/>
      <c r="R549" s="248"/>
      <c r="S549" s="248"/>
      <c r="T549" s="248"/>
      <c r="U549" s="248"/>
      <c r="V549" s="248"/>
      <c r="W549" s="86"/>
      <c r="X549" s="296" t="s">
        <v>212</v>
      </c>
      <c r="Y549" s="296"/>
      <c r="Z549" s="296"/>
      <c r="AA549" s="296"/>
      <c r="AB549" s="296"/>
      <c r="AC549" s="296"/>
      <c r="AD549" s="296"/>
      <c r="AE549" s="296"/>
      <c r="AF549" s="296"/>
      <c r="AG549" s="296"/>
      <c r="AH549" s="296"/>
      <c r="AI549" s="296"/>
      <c r="AJ549" s="296"/>
      <c r="AK549" s="296"/>
      <c r="AL549" s="296"/>
      <c r="AM549" s="296"/>
      <c r="AN549" s="296"/>
      <c r="AO549" s="296"/>
      <c r="AQ549" s="86"/>
      <c r="AR549" s="86"/>
      <c r="AS549" s="86"/>
    </row>
    <row r="550" spans="2:45" ht="14.25" thickBot="1" x14ac:dyDescent="0.2">
      <c r="C550" s="46"/>
      <c r="D550" s="46"/>
      <c r="E550" s="47"/>
      <c r="F550" s="246"/>
      <c r="G550" s="47"/>
      <c r="H550" s="47"/>
      <c r="I550" s="257"/>
      <c r="J550" s="245"/>
      <c r="K550" s="245"/>
      <c r="L550" s="245"/>
      <c r="M550" s="245"/>
      <c r="N550" s="245"/>
      <c r="O550" s="245"/>
      <c r="P550" s="245"/>
      <c r="Q550" s="245"/>
      <c r="R550" s="245"/>
      <c r="S550" s="245"/>
      <c r="T550" s="245"/>
      <c r="U550" s="245"/>
      <c r="V550" s="245"/>
      <c r="W550" s="46"/>
      <c r="X550" s="296" t="s">
        <v>212</v>
      </c>
      <c r="Y550" s="296"/>
      <c r="Z550" s="296"/>
      <c r="AA550" s="296"/>
      <c r="AB550" s="296"/>
      <c r="AC550" s="296"/>
      <c r="AD550" s="296"/>
      <c r="AE550" s="296"/>
      <c r="AF550" s="296"/>
      <c r="AG550" s="296"/>
      <c r="AH550" s="296"/>
      <c r="AI550" s="296"/>
      <c r="AJ550" s="296"/>
      <c r="AK550" s="296"/>
      <c r="AL550" s="296"/>
      <c r="AM550" s="296"/>
      <c r="AN550" s="296"/>
      <c r="AO550" s="296"/>
      <c r="AQ550" s="86"/>
      <c r="AR550" s="86"/>
      <c r="AS550" s="86"/>
    </row>
    <row r="551" spans="2:45" ht="18" customHeight="1" thickBot="1" x14ac:dyDescent="0.2">
      <c r="B551" s="42">
        <v>33</v>
      </c>
      <c r="C551" s="46"/>
      <c r="D551" s="82" t="s">
        <v>188</v>
      </c>
      <c r="E551" s="48" t="s">
        <v>72</v>
      </c>
      <c r="F551" s="80"/>
      <c r="G551" s="46"/>
      <c r="H551" s="109"/>
      <c r="I551" s="255"/>
      <c r="J551" s="366" t="str">
        <f>IFERROR(VLOOKUP($F551,補助対象機器一覧20220831!$A$2:$K$200,2,FALSE),"")</f>
        <v/>
      </c>
      <c r="K551" s="367"/>
      <c r="L551" s="368"/>
      <c r="M551" s="245"/>
      <c r="N551" s="366" t="str">
        <f>IFERROR(VLOOKUP($F551,補助対象機器一覧20220831!$A$2:$K$200,7,FALSE),"")</f>
        <v/>
      </c>
      <c r="O551" s="367"/>
      <c r="P551" s="368"/>
      <c r="Q551" s="245"/>
      <c r="R551" s="366" t="str">
        <f>IFERROR(VLOOKUP($F551,補助対象機器一覧20220831!$A$2:$K$200,8,FALSE),"")</f>
        <v/>
      </c>
      <c r="S551" s="367"/>
      <c r="T551" s="368"/>
      <c r="U551" s="245"/>
      <c r="V551" s="244" t="str">
        <f>IFERROR(VLOOKUP($F551,補助対象機器一覧20220831!$A$2:$K$200,9,FALSE),"")</f>
        <v/>
      </c>
      <c r="W551" s="46"/>
      <c r="X551" s="402" t="str">
        <f>IF($B551&lt;=入力シート!$F$85,""&amp;中間シート!X610,"")</f>
        <v/>
      </c>
      <c r="Y551" s="402"/>
      <c r="Z551" s="402"/>
      <c r="AA551" s="402"/>
      <c r="AB551" s="402"/>
      <c r="AC551" s="402"/>
      <c r="AD551" s="402"/>
      <c r="AE551" s="402"/>
      <c r="AF551" s="402"/>
      <c r="AG551" s="402"/>
      <c r="AH551" s="402"/>
      <c r="AI551" s="402"/>
      <c r="AJ551" s="402"/>
      <c r="AK551" s="402"/>
      <c r="AL551" s="402"/>
      <c r="AM551" s="402"/>
      <c r="AN551" s="402"/>
      <c r="AO551" s="402"/>
      <c r="AQ551" s="81">
        <f>IF(J551&lt;&gt;"",1,IF(H551="なし",2,0))</f>
        <v>0</v>
      </c>
      <c r="AR551" s="86"/>
      <c r="AS551" s="86"/>
    </row>
    <row r="552" spans="2:45" ht="5.0999999999999996" customHeight="1" thickBot="1" x14ac:dyDescent="0.2">
      <c r="C552" s="46"/>
      <c r="D552" s="46"/>
      <c r="E552" s="48"/>
      <c r="F552" s="245"/>
      <c r="G552" s="46"/>
      <c r="H552" s="46"/>
      <c r="I552" s="255"/>
      <c r="J552" s="245"/>
      <c r="K552" s="245"/>
      <c r="L552" s="245"/>
      <c r="M552" s="245"/>
      <c r="N552" s="245"/>
      <c r="O552" s="245"/>
      <c r="P552" s="245"/>
      <c r="Q552" s="245"/>
      <c r="R552" s="245"/>
      <c r="S552" s="245"/>
      <c r="T552" s="245"/>
      <c r="U552" s="245"/>
      <c r="V552" s="245"/>
      <c r="W552" s="46"/>
      <c r="X552" s="402"/>
      <c r="Y552" s="402"/>
      <c r="Z552" s="402"/>
      <c r="AA552" s="402"/>
      <c r="AB552" s="402"/>
      <c r="AC552" s="402"/>
      <c r="AD552" s="402"/>
      <c r="AE552" s="402"/>
      <c r="AF552" s="402"/>
      <c r="AG552" s="402"/>
      <c r="AH552" s="402"/>
      <c r="AI552" s="402"/>
      <c r="AJ552" s="402"/>
      <c r="AK552" s="402"/>
      <c r="AL552" s="402"/>
      <c r="AM552" s="402"/>
      <c r="AN552" s="402"/>
      <c r="AO552" s="402"/>
      <c r="AP552" s="41"/>
      <c r="AQ552" s="86"/>
      <c r="AR552" s="86"/>
      <c r="AS552" s="86"/>
    </row>
    <row r="553" spans="2:45" ht="18" customHeight="1" thickBot="1" x14ac:dyDescent="0.2">
      <c r="B553" s="42">
        <v>33</v>
      </c>
      <c r="C553" s="46"/>
      <c r="D553" s="82"/>
      <c r="E553" s="48"/>
      <c r="F553" s="246"/>
      <c r="G553" s="46"/>
      <c r="H553" s="46"/>
      <c r="I553" s="261" t="str">
        <f>IF(AQ551=2,"入力してください→",IF(AQ551=1,"入力不要です→",""))</f>
        <v/>
      </c>
      <c r="J553" s="387"/>
      <c r="K553" s="388"/>
      <c r="L553" s="389"/>
      <c r="M553" s="245"/>
      <c r="N553" s="387"/>
      <c r="O553" s="388"/>
      <c r="P553" s="389"/>
      <c r="Q553" s="245"/>
      <c r="R553" s="387"/>
      <c r="S553" s="388"/>
      <c r="T553" s="389"/>
      <c r="U553" s="245"/>
      <c r="V553" s="249"/>
      <c r="W553" s="46"/>
      <c r="X553" s="402"/>
      <c r="Y553" s="402"/>
      <c r="Z553" s="402"/>
      <c r="AA553" s="402"/>
      <c r="AB553" s="402"/>
      <c r="AC553" s="402"/>
      <c r="AD553" s="402"/>
      <c r="AE553" s="402"/>
      <c r="AF553" s="402"/>
      <c r="AG553" s="402"/>
      <c r="AH553" s="402"/>
      <c r="AI553" s="402"/>
      <c r="AJ553" s="402"/>
      <c r="AK553" s="402"/>
      <c r="AL553" s="402"/>
      <c r="AM553" s="402"/>
      <c r="AN553" s="402"/>
      <c r="AO553" s="402"/>
      <c r="AP553" s="41"/>
      <c r="AQ553" s="86"/>
      <c r="AR553" s="86"/>
      <c r="AS553" s="86"/>
    </row>
    <row r="554" spans="2:45" ht="5.0999999999999996" customHeight="1" thickBot="1" x14ac:dyDescent="0.2">
      <c r="C554" s="46"/>
      <c r="D554" s="46"/>
      <c r="E554" s="48"/>
      <c r="F554" s="245"/>
      <c r="G554" s="47"/>
      <c r="H554" s="47"/>
      <c r="I554" s="255"/>
      <c r="J554" s="245"/>
      <c r="K554" s="245"/>
      <c r="L554" s="245"/>
      <c r="M554" s="245"/>
      <c r="N554" s="245"/>
      <c r="O554" s="245"/>
      <c r="P554" s="245"/>
      <c r="Q554" s="245"/>
      <c r="R554" s="245"/>
      <c r="S554" s="245"/>
      <c r="T554" s="245"/>
      <c r="U554" s="245"/>
      <c r="V554" s="245"/>
      <c r="W554" s="46"/>
      <c r="X554" s="296" t="s">
        <v>212</v>
      </c>
      <c r="Y554" s="296"/>
      <c r="Z554" s="296"/>
      <c r="AA554" s="296"/>
      <c r="AB554" s="296"/>
      <c r="AC554" s="296"/>
      <c r="AD554" s="296"/>
      <c r="AE554" s="296"/>
      <c r="AF554" s="296"/>
      <c r="AG554" s="296"/>
      <c r="AH554" s="296"/>
      <c r="AI554" s="296"/>
      <c r="AJ554" s="296"/>
      <c r="AK554" s="296"/>
      <c r="AL554" s="296"/>
      <c r="AM554" s="296"/>
      <c r="AN554" s="296"/>
      <c r="AO554" s="296"/>
      <c r="AP554" s="41"/>
      <c r="AQ554" s="86"/>
      <c r="AR554" s="86"/>
      <c r="AS554" s="86"/>
    </row>
    <row r="555" spans="2:45" ht="18" customHeight="1" thickBot="1" x14ac:dyDescent="0.2">
      <c r="B555" s="42">
        <v>33</v>
      </c>
      <c r="C555" s="46"/>
      <c r="D555" s="46"/>
      <c r="E555" s="48" t="s">
        <v>73</v>
      </c>
      <c r="F555" s="80"/>
      <c r="G555" s="47"/>
      <c r="H555" s="109"/>
      <c r="I555" s="255"/>
      <c r="J555" s="366" t="str">
        <f>IFERROR(VLOOKUP($F555,補助対象機器一覧20220831!$A$2:$K$200,2,FALSE),"")</f>
        <v/>
      </c>
      <c r="K555" s="367"/>
      <c r="L555" s="368"/>
      <c r="M555" s="245"/>
      <c r="N555" s="366" t="str">
        <f>IFERROR(VLOOKUP($F555,補助対象機器一覧20220831!$A$2:$K$200,7,FALSE),"")</f>
        <v/>
      </c>
      <c r="O555" s="367"/>
      <c r="P555" s="368"/>
      <c r="Q555" s="245"/>
      <c r="R555" s="366" t="str">
        <f>IFERROR(VLOOKUP($F555,補助対象機器一覧20220831!$A$2:$K$200,8,FALSE),"")</f>
        <v/>
      </c>
      <c r="S555" s="367"/>
      <c r="T555" s="368"/>
      <c r="U555" s="245"/>
      <c r="V555" s="244" t="str">
        <f>IFERROR(VLOOKUP($F555,補助対象機器一覧20220831!$A$2:$K$200,9,FALSE),"")</f>
        <v/>
      </c>
      <c r="W555" s="46"/>
      <c r="X555" s="402" t="str">
        <f>IF($B555&lt;=入力シート!$F$85,""&amp;中間シート!X611,"")</f>
        <v/>
      </c>
      <c r="Y555" s="402"/>
      <c r="Z555" s="402"/>
      <c r="AA555" s="402"/>
      <c r="AB555" s="402"/>
      <c r="AC555" s="402"/>
      <c r="AD555" s="402"/>
      <c r="AE555" s="402"/>
      <c r="AF555" s="402"/>
      <c r="AG555" s="402"/>
      <c r="AH555" s="402"/>
      <c r="AI555" s="402"/>
      <c r="AJ555" s="402"/>
      <c r="AK555" s="402"/>
      <c r="AL555" s="402"/>
      <c r="AM555" s="402"/>
      <c r="AN555" s="402"/>
      <c r="AO555" s="402"/>
      <c r="AP555" s="41"/>
      <c r="AQ555" s="81">
        <f>IF(J555&lt;&gt;"",1,IF(H555="なし",2,0))</f>
        <v>0</v>
      </c>
      <c r="AR555" s="86"/>
      <c r="AS555" s="86"/>
    </row>
    <row r="556" spans="2:45" ht="5.0999999999999996" customHeight="1" thickBot="1" x14ac:dyDescent="0.2">
      <c r="C556" s="46"/>
      <c r="D556" s="46"/>
      <c r="E556" s="48"/>
      <c r="F556" s="246"/>
      <c r="G556" s="47"/>
      <c r="H556" s="47"/>
      <c r="I556" s="255"/>
      <c r="J556" s="246"/>
      <c r="K556" s="246"/>
      <c r="L556" s="246"/>
      <c r="M556" s="245"/>
      <c r="N556" s="246"/>
      <c r="O556" s="246"/>
      <c r="P556" s="246"/>
      <c r="Q556" s="245"/>
      <c r="R556" s="246"/>
      <c r="S556" s="246"/>
      <c r="T556" s="246"/>
      <c r="U556" s="245"/>
      <c r="V556" s="246"/>
      <c r="W556" s="46"/>
      <c r="X556" s="402"/>
      <c r="Y556" s="402"/>
      <c r="Z556" s="402"/>
      <c r="AA556" s="402"/>
      <c r="AB556" s="402"/>
      <c r="AC556" s="402"/>
      <c r="AD556" s="402"/>
      <c r="AE556" s="402"/>
      <c r="AF556" s="402"/>
      <c r="AG556" s="402"/>
      <c r="AH556" s="402"/>
      <c r="AI556" s="402"/>
      <c r="AJ556" s="402"/>
      <c r="AK556" s="402"/>
      <c r="AL556" s="402"/>
      <c r="AM556" s="402"/>
      <c r="AN556" s="402"/>
      <c r="AO556" s="402"/>
      <c r="AP556" s="41"/>
      <c r="AQ556" s="86"/>
      <c r="AR556" s="86"/>
      <c r="AS556" s="86"/>
    </row>
    <row r="557" spans="2:45" ht="18" customHeight="1" thickBot="1" x14ac:dyDescent="0.2">
      <c r="B557" s="42">
        <v>33</v>
      </c>
      <c r="C557" s="46"/>
      <c r="D557" s="46"/>
      <c r="E557" s="48"/>
      <c r="F557" s="246"/>
      <c r="G557" s="47"/>
      <c r="H557" s="47"/>
      <c r="I557" s="261" t="str">
        <f>IF(AQ555=2,"入力してください→",IF(AQ555=1,"入力不要です→",""))</f>
        <v/>
      </c>
      <c r="J557" s="387"/>
      <c r="K557" s="388"/>
      <c r="L557" s="389"/>
      <c r="M557" s="245"/>
      <c r="N557" s="387"/>
      <c r="O557" s="388"/>
      <c r="P557" s="389"/>
      <c r="Q557" s="245"/>
      <c r="R557" s="387"/>
      <c r="S557" s="388"/>
      <c r="T557" s="389"/>
      <c r="U557" s="245"/>
      <c r="V557" s="249"/>
      <c r="W557" s="46"/>
      <c r="X557" s="402"/>
      <c r="Y557" s="402"/>
      <c r="Z557" s="402"/>
      <c r="AA557" s="402"/>
      <c r="AB557" s="402"/>
      <c r="AC557" s="402"/>
      <c r="AD557" s="402"/>
      <c r="AE557" s="402"/>
      <c r="AF557" s="402"/>
      <c r="AG557" s="402"/>
      <c r="AH557" s="402"/>
      <c r="AI557" s="402"/>
      <c r="AJ557" s="402"/>
      <c r="AK557" s="402"/>
      <c r="AL557" s="402"/>
      <c r="AM557" s="402"/>
      <c r="AN557" s="402"/>
      <c r="AO557" s="402"/>
      <c r="AP557" s="41"/>
      <c r="AQ557" s="86"/>
      <c r="AR557" s="86"/>
      <c r="AS557" s="86"/>
    </row>
    <row r="558" spans="2:45" ht="5.0999999999999996" customHeight="1" thickBot="1" x14ac:dyDescent="0.2">
      <c r="C558" s="46"/>
      <c r="D558" s="46"/>
      <c r="E558" s="48"/>
      <c r="F558" s="246"/>
      <c r="G558" s="47"/>
      <c r="H558" s="47"/>
      <c r="I558" s="255"/>
      <c r="J558" s="246"/>
      <c r="K558" s="246"/>
      <c r="L558" s="246"/>
      <c r="M558" s="245"/>
      <c r="N558" s="246"/>
      <c r="O558" s="246"/>
      <c r="P558" s="246"/>
      <c r="Q558" s="245"/>
      <c r="R558" s="246"/>
      <c r="S558" s="246"/>
      <c r="T558" s="246"/>
      <c r="U558" s="245"/>
      <c r="V558" s="246"/>
      <c r="W558" s="46"/>
      <c r="X558" s="296" t="s">
        <v>212</v>
      </c>
      <c r="Y558" s="296"/>
      <c r="Z558" s="296"/>
      <c r="AA558" s="296"/>
      <c r="AB558" s="296"/>
      <c r="AC558" s="296"/>
      <c r="AD558" s="296"/>
      <c r="AE558" s="296"/>
      <c r="AF558" s="296"/>
      <c r="AG558" s="296"/>
      <c r="AH558" s="296"/>
      <c r="AI558" s="296"/>
      <c r="AJ558" s="296"/>
      <c r="AK558" s="296"/>
      <c r="AL558" s="296"/>
      <c r="AM558" s="296"/>
      <c r="AN558" s="296"/>
      <c r="AO558" s="296"/>
      <c r="AP558" s="41"/>
      <c r="AQ558" s="86"/>
      <c r="AR558" s="86"/>
      <c r="AS558" s="86"/>
    </row>
    <row r="559" spans="2:45" ht="18" customHeight="1" thickBot="1" x14ac:dyDescent="0.2">
      <c r="B559" s="42">
        <v>33</v>
      </c>
      <c r="C559" s="46"/>
      <c r="D559" s="46"/>
      <c r="E559" s="48" t="s">
        <v>74</v>
      </c>
      <c r="F559" s="80"/>
      <c r="G559" s="47"/>
      <c r="H559" s="109"/>
      <c r="I559" s="255"/>
      <c r="J559" s="366" t="str">
        <f>IFERROR(VLOOKUP($F559,補助対象機器一覧20220831!$A$2:$K$200,2,FALSE),"")</f>
        <v/>
      </c>
      <c r="K559" s="367"/>
      <c r="L559" s="368"/>
      <c r="M559" s="245"/>
      <c r="N559" s="366" t="str">
        <f>IFERROR(VLOOKUP($F559,補助対象機器一覧20220831!$A$2:$K$200,7,FALSE),"")</f>
        <v/>
      </c>
      <c r="O559" s="367"/>
      <c r="P559" s="368"/>
      <c r="Q559" s="245"/>
      <c r="R559" s="366" t="str">
        <f>IFERROR(VLOOKUP($F559,補助対象機器一覧20220831!$A$2:$K$200,8,FALSE),"")</f>
        <v/>
      </c>
      <c r="S559" s="367"/>
      <c r="T559" s="368"/>
      <c r="U559" s="245"/>
      <c r="V559" s="244" t="str">
        <f>IFERROR(VLOOKUP($F559,補助対象機器一覧20220831!$A$2:$K$200,9,FALSE),"")</f>
        <v/>
      </c>
      <c r="W559" s="46"/>
      <c r="X559" s="402" t="str">
        <f>IF($B559&lt;=入力シート!$F$85,""&amp;中間シート!X612,"")</f>
        <v/>
      </c>
      <c r="Y559" s="402"/>
      <c r="Z559" s="402"/>
      <c r="AA559" s="402"/>
      <c r="AB559" s="402"/>
      <c r="AC559" s="402"/>
      <c r="AD559" s="402"/>
      <c r="AE559" s="402"/>
      <c r="AF559" s="402"/>
      <c r="AG559" s="402"/>
      <c r="AH559" s="402"/>
      <c r="AI559" s="402"/>
      <c r="AJ559" s="402"/>
      <c r="AK559" s="402"/>
      <c r="AL559" s="402"/>
      <c r="AM559" s="402"/>
      <c r="AN559" s="402"/>
      <c r="AO559" s="402"/>
      <c r="AP559" s="41"/>
      <c r="AQ559" s="81">
        <f>IF(J559&lt;&gt;"",1,IF(H559="なし",2,0))</f>
        <v>0</v>
      </c>
      <c r="AR559" s="86"/>
      <c r="AS559" s="86"/>
    </row>
    <row r="560" spans="2:45" ht="5.0999999999999996" customHeight="1" thickBot="1" x14ac:dyDescent="0.2">
      <c r="C560" s="46"/>
      <c r="D560" s="46"/>
      <c r="E560" s="48"/>
      <c r="F560" s="246"/>
      <c r="G560" s="47"/>
      <c r="H560" s="47"/>
      <c r="I560" s="255"/>
      <c r="J560" s="246"/>
      <c r="K560" s="246"/>
      <c r="L560" s="246"/>
      <c r="M560" s="245"/>
      <c r="N560" s="246"/>
      <c r="O560" s="246"/>
      <c r="P560" s="246"/>
      <c r="Q560" s="245"/>
      <c r="R560" s="246"/>
      <c r="S560" s="246"/>
      <c r="T560" s="246"/>
      <c r="U560" s="245"/>
      <c r="V560" s="246"/>
      <c r="W560" s="46"/>
      <c r="X560" s="402"/>
      <c r="Y560" s="402"/>
      <c r="Z560" s="402"/>
      <c r="AA560" s="402"/>
      <c r="AB560" s="402"/>
      <c r="AC560" s="402"/>
      <c r="AD560" s="402"/>
      <c r="AE560" s="402"/>
      <c r="AF560" s="402"/>
      <c r="AG560" s="402"/>
      <c r="AH560" s="402"/>
      <c r="AI560" s="402"/>
      <c r="AJ560" s="402"/>
      <c r="AK560" s="402"/>
      <c r="AL560" s="402"/>
      <c r="AM560" s="402"/>
      <c r="AN560" s="402"/>
      <c r="AO560" s="402"/>
      <c r="AP560" s="41"/>
      <c r="AQ560" s="86"/>
      <c r="AR560" s="86"/>
      <c r="AS560" s="86"/>
    </row>
    <row r="561" spans="2:45" ht="18" customHeight="1" thickBot="1" x14ac:dyDescent="0.2">
      <c r="B561" s="42">
        <v>33</v>
      </c>
      <c r="C561" s="46"/>
      <c r="D561" s="46"/>
      <c r="E561" s="47"/>
      <c r="F561" s="246"/>
      <c r="G561" s="47"/>
      <c r="H561" s="47"/>
      <c r="I561" s="261" t="str">
        <f>IF(AQ559=2,"入力してください→",IF(AQ559=1,"入力不要です→",""))</f>
        <v/>
      </c>
      <c r="J561" s="387"/>
      <c r="K561" s="388"/>
      <c r="L561" s="389"/>
      <c r="M561" s="245"/>
      <c r="N561" s="387"/>
      <c r="O561" s="388"/>
      <c r="P561" s="389"/>
      <c r="Q561" s="245"/>
      <c r="R561" s="387"/>
      <c r="S561" s="388"/>
      <c r="T561" s="389"/>
      <c r="U561" s="245"/>
      <c r="V561" s="249"/>
      <c r="W561" s="46"/>
      <c r="X561" s="402"/>
      <c r="Y561" s="402"/>
      <c r="Z561" s="402"/>
      <c r="AA561" s="402"/>
      <c r="AB561" s="402"/>
      <c r="AC561" s="402"/>
      <c r="AD561" s="402"/>
      <c r="AE561" s="402"/>
      <c r="AF561" s="402"/>
      <c r="AG561" s="402"/>
      <c r="AH561" s="402"/>
      <c r="AI561" s="402"/>
      <c r="AJ561" s="402"/>
      <c r="AK561" s="402"/>
      <c r="AL561" s="402"/>
      <c r="AM561" s="402"/>
      <c r="AN561" s="402"/>
      <c r="AO561" s="402"/>
      <c r="AP561" s="41"/>
      <c r="AQ561" s="86"/>
      <c r="AR561" s="86"/>
      <c r="AS561" s="86"/>
    </row>
    <row r="562" spans="2:45" x14ac:dyDescent="0.15">
      <c r="C562" s="46"/>
      <c r="D562" s="46"/>
      <c r="E562" s="47"/>
      <c r="F562" s="246"/>
      <c r="G562" s="47"/>
      <c r="H562" s="47"/>
      <c r="I562" s="257"/>
      <c r="J562" s="245"/>
      <c r="K562" s="245"/>
      <c r="L562" s="245"/>
      <c r="M562" s="245"/>
      <c r="N562" s="245"/>
      <c r="O562" s="245"/>
      <c r="P562" s="245"/>
      <c r="Q562" s="245"/>
      <c r="R562" s="245"/>
      <c r="S562" s="245"/>
      <c r="T562" s="245"/>
      <c r="U562" s="245"/>
      <c r="V562" s="245"/>
      <c r="W562" s="46"/>
      <c r="X562" s="296" t="s">
        <v>212</v>
      </c>
      <c r="Y562" s="296"/>
      <c r="Z562" s="296"/>
      <c r="AA562" s="296"/>
      <c r="AB562" s="296"/>
      <c r="AC562" s="296"/>
      <c r="AD562" s="296"/>
      <c r="AE562" s="296"/>
      <c r="AF562" s="296"/>
      <c r="AG562" s="296"/>
      <c r="AH562" s="296"/>
      <c r="AI562" s="296"/>
      <c r="AJ562" s="296"/>
      <c r="AK562" s="296"/>
      <c r="AL562" s="296"/>
      <c r="AM562" s="296"/>
      <c r="AN562" s="296"/>
      <c r="AO562" s="296"/>
      <c r="AQ562" s="86"/>
      <c r="AR562" s="86"/>
      <c r="AS562" s="86"/>
    </row>
    <row r="563" spans="2:45" ht="14.25" thickBot="1" x14ac:dyDescent="0.2">
      <c r="C563" s="86"/>
      <c r="D563" s="86"/>
      <c r="E563" s="93"/>
      <c r="F563" s="247"/>
      <c r="G563" s="93"/>
      <c r="H563" s="93"/>
      <c r="I563" s="258"/>
      <c r="J563" s="248"/>
      <c r="K563" s="248"/>
      <c r="L563" s="248"/>
      <c r="M563" s="248"/>
      <c r="N563" s="248"/>
      <c r="O563" s="248"/>
      <c r="P563" s="248"/>
      <c r="Q563" s="248"/>
      <c r="R563" s="248"/>
      <c r="S563" s="248"/>
      <c r="T563" s="248"/>
      <c r="U563" s="248"/>
      <c r="V563" s="248"/>
      <c r="W563" s="86"/>
      <c r="X563" s="296" t="s">
        <v>212</v>
      </c>
      <c r="Y563" s="296"/>
      <c r="Z563" s="296"/>
      <c r="AA563" s="296"/>
      <c r="AB563" s="296"/>
      <c r="AC563" s="296"/>
      <c r="AD563" s="296"/>
      <c r="AE563" s="296"/>
      <c r="AF563" s="296"/>
      <c r="AG563" s="296"/>
      <c r="AH563" s="296"/>
      <c r="AI563" s="296"/>
      <c r="AJ563" s="296"/>
      <c r="AK563" s="296"/>
      <c r="AL563" s="296"/>
      <c r="AM563" s="296"/>
      <c r="AN563" s="296"/>
      <c r="AO563" s="296"/>
      <c r="AQ563" s="86"/>
      <c r="AR563" s="86"/>
      <c r="AS563" s="86"/>
    </row>
    <row r="564" spans="2:45" ht="18" customHeight="1" thickBot="1" x14ac:dyDescent="0.2">
      <c r="B564" s="42">
        <v>34</v>
      </c>
      <c r="C564" s="86"/>
      <c r="D564" s="94" t="s">
        <v>189</v>
      </c>
      <c r="E564" s="95" t="s">
        <v>72</v>
      </c>
      <c r="F564" s="80"/>
      <c r="G564" s="86"/>
      <c r="H564" s="80"/>
      <c r="I564" s="259"/>
      <c r="J564" s="366" t="str">
        <f>IFERROR(VLOOKUP($F564,補助対象機器一覧20220831!$A$2:$K$200,2,FALSE),"")</f>
        <v/>
      </c>
      <c r="K564" s="367"/>
      <c r="L564" s="368"/>
      <c r="M564" s="248"/>
      <c r="N564" s="366" t="str">
        <f>IFERROR(VLOOKUP($F564,補助対象機器一覧20220831!$A$2:$K$200,7,FALSE),"")</f>
        <v/>
      </c>
      <c r="O564" s="367"/>
      <c r="P564" s="368"/>
      <c r="Q564" s="248"/>
      <c r="R564" s="366" t="str">
        <f>IFERROR(VLOOKUP($F564,補助対象機器一覧20220831!$A$2:$K$200,8,FALSE),"")</f>
        <v/>
      </c>
      <c r="S564" s="367"/>
      <c r="T564" s="368"/>
      <c r="U564" s="248"/>
      <c r="V564" s="244" t="str">
        <f>IFERROR(VLOOKUP($F564,補助対象機器一覧20220831!$A$2:$K$200,9,FALSE),"")</f>
        <v/>
      </c>
      <c r="W564" s="86"/>
      <c r="X564" s="402" t="str">
        <f>IF($B564&lt;=入力シート!$F$85,""&amp;中間シート!X613,"")</f>
        <v/>
      </c>
      <c r="Y564" s="402"/>
      <c r="Z564" s="402"/>
      <c r="AA564" s="402"/>
      <c r="AB564" s="402"/>
      <c r="AC564" s="402"/>
      <c r="AD564" s="402"/>
      <c r="AE564" s="402"/>
      <c r="AF564" s="402"/>
      <c r="AG564" s="402"/>
      <c r="AH564" s="402"/>
      <c r="AI564" s="402"/>
      <c r="AJ564" s="402"/>
      <c r="AK564" s="402"/>
      <c r="AL564" s="402"/>
      <c r="AM564" s="402"/>
      <c r="AN564" s="402"/>
      <c r="AO564" s="402"/>
      <c r="AQ564" s="81">
        <f>IF(J564&lt;&gt;"",1,IF(H564="なし",2,0))</f>
        <v>0</v>
      </c>
      <c r="AR564" s="86"/>
      <c r="AS564" s="86"/>
    </row>
    <row r="565" spans="2:45" ht="5.0999999999999996" customHeight="1" thickBot="1" x14ac:dyDescent="0.2">
      <c r="C565" s="86"/>
      <c r="D565" s="94"/>
      <c r="E565" s="95"/>
      <c r="F565" s="248"/>
      <c r="G565" s="86"/>
      <c r="H565" s="86"/>
      <c r="I565" s="259"/>
      <c r="J565" s="248"/>
      <c r="K565" s="248"/>
      <c r="L565" s="248"/>
      <c r="M565" s="248"/>
      <c r="N565" s="248"/>
      <c r="O565" s="248"/>
      <c r="P565" s="248"/>
      <c r="Q565" s="248"/>
      <c r="R565" s="248"/>
      <c r="S565" s="248"/>
      <c r="T565" s="248"/>
      <c r="U565" s="248"/>
      <c r="V565" s="248"/>
      <c r="W565" s="86"/>
      <c r="X565" s="402"/>
      <c r="Y565" s="402"/>
      <c r="Z565" s="402"/>
      <c r="AA565" s="402"/>
      <c r="AB565" s="402"/>
      <c r="AC565" s="402"/>
      <c r="AD565" s="402"/>
      <c r="AE565" s="402"/>
      <c r="AF565" s="402"/>
      <c r="AG565" s="402"/>
      <c r="AH565" s="402"/>
      <c r="AI565" s="402"/>
      <c r="AJ565" s="402"/>
      <c r="AK565" s="402"/>
      <c r="AL565" s="402"/>
      <c r="AM565" s="402"/>
      <c r="AN565" s="402"/>
      <c r="AO565" s="402"/>
      <c r="AP565" s="41"/>
      <c r="AQ565" s="86"/>
      <c r="AR565" s="86"/>
      <c r="AS565" s="86"/>
    </row>
    <row r="566" spans="2:45" ht="18" customHeight="1" thickBot="1" x14ac:dyDescent="0.2">
      <c r="B566" s="42">
        <v>34</v>
      </c>
      <c r="C566" s="86"/>
      <c r="D566" s="94"/>
      <c r="E566" s="95"/>
      <c r="F566" s="247"/>
      <c r="G566" s="86"/>
      <c r="H566" s="86"/>
      <c r="I566" s="260" t="str">
        <f>IF(AQ564=2,"入力してください→",IF(AQ564=1,"入力不要です→",""))</f>
        <v/>
      </c>
      <c r="J566" s="387"/>
      <c r="K566" s="388"/>
      <c r="L566" s="389"/>
      <c r="M566" s="248"/>
      <c r="N566" s="387"/>
      <c r="O566" s="388"/>
      <c r="P566" s="389"/>
      <c r="Q566" s="248"/>
      <c r="R566" s="387"/>
      <c r="S566" s="388"/>
      <c r="T566" s="389"/>
      <c r="U566" s="248"/>
      <c r="V566" s="249"/>
      <c r="W566" s="86"/>
      <c r="X566" s="402"/>
      <c r="Y566" s="402"/>
      <c r="Z566" s="402"/>
      <c r="AA566" s="402"/>
      <c r="AB566" s="402"/>
      <c r="AC566" s="402"/>
      <c r="AD566" s="402"/>
      <c r="AE566" s="402"/>
      <c r="AF566" s="402"/>
      <c r="AG566" s="402"/>
      <c r="AH566" s="402"/>
      <c r="AI566" s="402"/>
      <c r="AJ566" s="402"/>
      <c r="AK566" s="402"/>
      <c r="AL566" s="402"/>
      <c r="AM566" s="402"/>
      <c r="AN566" s="402"/>
      <c r="AO566" s="402"/>
      <c r="AP566" s="41"/>
      <c r="AQ566" s="86"/>
      <c r="AR566" s="86"/>
      <c r="AS566" s="86"/>
    </row>
    <row r="567" spans="2:45" ht="5.0999999999999996" customHeight="1" thickBot="1" x14ac:dyDescent="0.2">
      <c r="C567" s="86"/>
      <c r="D567" s="86"/>
      <c r="E567" s="93"/>
      <c r="F567" s="248"/>
      <c r="G567" s="93"/>
      <c r="H567" s="93"/>
      <c r="I567" s="259"/>
      <c r="J567" s="248"/>
      <c r="K567" s="248"/>
      <c r="L567" s="248"/>
      <c r="M567" s="248"/>
      <c r="N567" s="248"/>
      <c r="O567" s="248"/>
      <c r="P567" s="248"/>
      <c r="Q567" s="248"/>
      <c r="R567" s="248"/>
      <c r="S567" s="248"/>
      <c r="T567" s="248"/>
      <c r="U567" s="248"/>
      <c r="V567" s="248"/>
      <c r="W567" s="86"/>
      <c r="X567" s="296" t="s">
        <v>212</v>
      </c>
      <c r="Y567" s="296"/>
      <c r="Z567" s="296"/>
      <c r="AA567" s="296"/>
      <c r="AB567" s="296"/>
      <c r="AC567" s="296"/>
      <c r="AD567" s="296"/>
      <c r="AE567" s="296"/>
      <c r="AF567" s="296"/>
      <c r="AG567" s="296"/>
      <c r="AH567" s="296"/>
      <c r="AI567" s="296"/>
      <c r="AJ567" s="296"/>
      <c r="AK567" s="296"/>
      <c r="AL567" s="296"/>
      <c r="AM567" s="296"/>
      <c r="AN567" s="296"/>
      <c r="AO567" s="296"/>
      <c r="AP567" s="41"/>
      <c r="AQ567" s="86"/>
      <c r="AR567" s="86"/>
      <c r="AS567" s="86"/>
    </row>
    <row r="568" spans="2:45" ht="18" customHeight="1" thickBot="1" x14ac:dyDescent="0.2">
      <c r="B568" s="42">
        <v>34</v>
      </c>
      <c r="C568" s="86"/>
      <c r="D568" s="86"/>
      <c r="E568" s="95" t="s">
        <v>73</v>
      </c>
      <c r="F568" s="80"/>
      <c r="G568" s="93"/>
      <c r="H568" s="80"/>
      <c r="I568" s="259"/>
      <c r="J568" s="366" t="str">
        <f>IFERROR(VLOOKUP($F568,補助対象機器一覧20220831!$A$2:$K$200,2,FALSE),"")</f>
        <v/>
      </c>
      <c r="K568" s="367"/>
      <c r="L568" s="368"/>
      <c r="M568" s="248"/>
      <c r="N568" s="366" t="str">
        <f>IFERROR(VLOOKUP($F568,補助対象機器一覧20220831!$A$2:$K$200,7,FALSE),"")</f>
        <v/>
      </c>
      <c r="O568" s="367"/>
      <c r="P568" s="368"/>
      <c r="Q568" s="248"/>
      <c r="R568" s="366" t="str">
        <f>IFERROR(VLOOKUP($F568,補助対象機器一覧20220831!$A$2:$K$200,8,FALSE),"")</f>
        <v/>
      </c>
      <c r="S568" s="367"/>
      <c r="T568" s="368"/>
      <c r="U568" s="248"/>
      <c r="V568" s="244" t="str">
        <f>IFERROR(VLOOKUP($F568,補助対象機器一覧20220831!$A$2:$K$200,9,FALSE),"")</f>
        <v/>
      </c>
      <c r="W568" s="86"/>
      <c r="X568" s="402" t="str">
        <f>IF($B568&lt;=入力シート!$F$85,""&amp;中間シート!X614,"")</f>
        <v/>
      </c>
      <c r="Y568" s="402"/>
      <c r="Z568" s="402"/>
      <c r="AA568" s="402"/>
      <c r="AB568" s="402"/>
      <c r="AC568" s="402"/>
      <c r="AD568" s="402"/>
      <c r="AE568" s="402"/>
      <c r="AF568" s="402"/>
      <c r="AG568" s="402"/>
      <c r="AH568" s="402"/>
      <c r="AI568" s="402"/>
      <c r="AJ568" s="402"/>
      <c r="AK568" s="402"/>
      <c r="AL568" s="402"/>
      <c r="AM568" s="402"/>
      <c r="AN568" s="402"/>
      <c r="AO568" s="402"/>
      <c r="AP568" s="41"/>
      <c r="AQ568" s="81">
        <f>IF(J568&lt;&gt;"",1,IF(H568="なし",2,0))</f>
        <v>0</v>
      </c>
      <c r="AR568" s="86"/>
      <c r="AS568" s="86"/>
    </row>
    <row r="569" spans="2:45" ht="5.0999999999999996" customHeight="1" thickBot="1" x14ac:dyDescent="0.2">
      <c r="C569" s="86"/>
      <c r="D569" s="86"/>
      <c r="E569" s="95"/>
      <c r="F569" s="247"/>
      <c r="G569" s="93"/>
      <c r="H569" s="93"/>
      <c r="I569" s="259"/>
      <c r="J569" s="247"/>
      <c r="K569" s="247"/>
      <c r="L569" s="247"/>
      <c r="M569" s="248"/>
      <c r="N569" s="247"/>
      <c r="O569" s="247"/>
      <c r="P569" s="247"/>
      <c r="Q569" s="248"/>
      <c r="R569" s="247"/>
      <c r="S569" s="247"/>
      <c r="T569" s="247"/>
      <c r="U569" s="248"/>
      <c r="V569" s="247"/>
      <c r="W569" s="86"/>
      <c r="X569" s="402"/>
      <c r="Y569" s="402"/>
      <c r="Z569" s="402"/>
      <c r="AA569" s="402"/>
      <c r="AB569" s="402"/>
      <c r="AC569" s="402"/>
      <c r="AD569" s="402"/>
      <c r="AE569" s="402"/>
      <c r="AF569" s="402"/>
      <c r="AG569" s="402"/>
      <c r="AH569" s="402"/>
      <c r="AI569" s="402"/>
      <c r="AJ569" s="402"/>
      <c r="AK569" s="402"/>
      <c r="AL569" s="402"/>
      <c r="AM569" s="402"/>
      <c r="AN569" s="402"/>
      <c r="AO569" s="402"/>
      <c r="AP569" s="41"/>
      <c r="AQ569" s="86"/>
      <c r="AR569" s="86"/>
      <c r="AS569" s="86"/>
    </row>
    <row r="570" spans="2:45" ht="18" customHeight="1" thickBot="1" x14ac:dyDescent="0.2">
      <c r="B570" s="42">
        <v>34</v>
      </c>
      <c r="C570" s="86"/>
      <c r="D570" s="86"/>
      <c r="E570" s="95"/>
      <c r="F570" s="247"/>
      <c r="G570" s="93"/>
      <c r="H570" s="93"/>
      <c r="I570" s="260" t="str">
        <f>IF(AQ568=2,"入力してください→",IF(AQ568=1,"入力不要です→",""))</f>
        <v/>
      </c>
      <c r="J570" s="387"/>
      <c r="K570" s="388"/>
      <c r="L570" s="389"/>
      <c r="M570" s="248"/>
      <c r="N570" s="387"/>
      <c r="O570" s="388"/>
      <c r="P570" s="389"/>
      <c r="Q570" s="248"/>
      <c r="R570" s="387"/>
      <c r="S570" s="388"/>
      <c r="T570" s="389"/>
      <c r="U570" s="248"/>
      <c r="V570" s="249"/>
      <c r="W570" s="86"/>
      <c r="X570" s="402"/>
      <c r="Y570" s="402"/>
      <c r="Z570" s="402"/>
      <c r="AA570" s="402"/>
      <c r="AB570" s="402"/>
      <c r="AC570" s="402"/>
      <c r="AD570" s="402"/>
      <c r="AE570" s="402"/>
      <c r="AF570" s="402"/>
      <c r="AG570" s="402"/>
      <c r="AH570" s="402"/>
      <c r="AI570" s="402"/>
      <c r="AJ570" s="402"/>
      <c r="AK570" s="402"/>
      <c r="AL570" s="402"/>
      <c r="AM570" s="402"/>
      <c r="AN570" s="402"/>
      <c r="AO570" s="402"/>
      <c r="AP570" s="41"/>
      <c r="AQ570" s="86"/>
      <c r="AR570" s="86"/>
      <c r="AS570" s="86"/>
    </row>
    <row r="571" spans="2:45" ht="5.0999999999999996" customHeight="1" thickBot="1" x14ac:dyDescent="0.2">
      <c r="C571" s="86"/>
      <c r="D571" s="86"/>
      <c r="E571" s="95"/>
      <c r="F571" s="247"/>
      <c r="G571" s="93"/>
      <c r="H571" s="93"/>
      <c r="I571" s="259"/>
      <c r="J571" s="247"/>
      <c r="K571" s="247"/>
      <c r="L571" s="247"/>
      <c r="M571" s="248"/>
      <c r="N571" s="247"/>
      <c r="O571" s="247"/>
      <c r="P571" s="247"/>
      <c r="Q571" s="248"/>
      <c r="R571" s="247"/>
      <c r="S571" s="247"/>
      <c r="T571" s="247"/>
      <c r="U571" s="248"/>
      <c r="V571" s="247"/>
      <c r="W571" s="86"/>
      <c r="X571" s="296" t="s">
        <v>212</v>
      </c>
      <c r="Y571" s="296"/>
      <c r="Z571" s="296"/>
      <c r="AA571" s="296"/>
      <c r="AB571" s="296"/>
      <c r="AC571" s="296"/>
      <c r="AD571" s="296"/>
      <c r="AE571" s="296"/>
      <c r="AF571" s="296"/>
      <c r="AG571" s="296"/>
      <c r="AH571" s="296"/>
      <c r="AI571" s="296"/>
      <c r="AJ571" s="296"/>
      <c r="AK571" s="296"/>
      <c r="AL571" s="296"/>
      <c r="AM571" s="296"/>
      <c r="AN571" s="296"/>
      <c r="AO571" s="296"/>
      <c r="AP571" s="41"/>
      <c r="AQ571" s="86"/>
      <c r="AR571" s="86"/>
      <c r="AS571" s="86"/>
    </row>
    <row r="572" spans="2:45" ht="18" customHeight="1" thickBot="1" x14ac:dyDescent="0.2">
      <c r="B572" s="42">
        <v>34</v>
      </c>
      <c r="C572" s="86"/>
      <c r="D572" s="86"/>
      <c r="E572" s="95" t="s">
        <v>74</v>
      </c>
      <c r="F572" s="80"/>
      <c r="G572" s="93"/>
      <c r="H572" s="80"/>
      <c r="I572" s="259"/>
      <c r="J572" s="366" t="str">
        <f>IFERROR(VLOOKUP($F572,補助対象機器一覧20220831!$A$2:$K$200,2,FALSE),"")</f>
        <v/>
      </c>
      <c r="K572" s="367"/>
      <c r="L572" s="368"/>
      <c r="M572" s="248"/>
      <c r="N572" s="366" t="str">
        <f>IFERROR(VLOOKUP($F572,補助対象機器一覧20220831!$A$2:$K$200,7,FALSE),"")</f>
        <v/>
      </c>
      <c r="O572" s="367"/>
      <c r="P572" s="368"/>
      <c r="Q572" s="248"/>
      <c r="R572" s="366" t="str">
        <f>IFERROR(VLOOKUP($F572,補助対象機器一覧20220831!$A$2:$K$200,8,FALSE),"")</f>
        <v/>
      </c>
      <c r="S572" s="367"/>
      <c r="T572" s="368"/>
      <c r="U572" s="248"/>
      <c r="V572" s="244" t="str">
        <f>IFERROR(VLOOKUP($F572,補助対象機器一覧20220831!$A$2:$K$200,9,FALSE),"")</f>
        <v/>
      </c>
      <c r="W572" s="86"/>
      <c r="X572" s="402" t="str">
        <f>IF($B572&lt;=入力シート!$F$85,""&amp;中間シート!X615,"")</f>
        <v/>
      </c>
      <c r="Y572" s="402"/>
      <c r="Z572" s="402"/>
      <c r="AA572" s="402"/>
      <c r="AB572" s="402"/>
      <c r="AC572" s="402"/>
      <c r="AD572" s="402"/>
      <c r="AE572" s="402"/>
      <c r="AF572" s="402"/>
      <c r="AG572" s="402"/>
      <c r="AH572" s="402"/>
      <c r="AI572" s="402"/>
      <c r="AJ572" s="402"/>
      <c r="AK572" s="402"/>
      <c r="AL572" s="402"/>
      <c r="AM572" s="402"/>
      <c r="AN572" s="402"/>
      <c r="AO572" s="402"/>
      <c r="AP572" s="41"/>
      <c r="AQ572" s="81">
        <f>IF(J572&lt;&gt;"",1,IF(H572="なし",2,0))</f>
        <v>0</v>
      </c>
      <c r="AR572" s="86"/>
      <c r="AS572" s="86"/>
    </row>
    <row r="573" spans="2:45" ht="5.0999999999999996" customHeight="1" thickBot="1" x14ac:dyDescent="0.2">
      <c r="C573" s="86"/>
      <c r="D573" s="86"/>
      <c r="E573" s="95"/>
      <c r="F573" s="247"/>
      <c r="G573" s="93"/>
      <c r="H573" s="93"/>
      <c r="I573" s="259"/>
      <c r="J573" s="247"/>
      <c r="K573" s="247"/>
      <c r="L573" s="247"/>
      <c r="M573" s="248"/>
      <c r="N573" s="247"/>
      <c r="O573" s="247"/>
      <c r="P573" s="247"/>
      <c r="Q573" s="248"/>
      <c r="R573" s="247"/>
      <c r="S573" s="247"/>
      <c r="T573" s="247"/>
      <c r="U573" s="248"/>
      <c r="V573" s="247"/>
      <c r="W573" s="86"/>
      <c r="X573" s="402"/>
      <c r="Y573" s="402"/>
      <c r="Z573" s="402"/>
      <c r="AA573" s="402"/>
      <c r="AB573" s="402"/>
      <c r="AC573" s="402"/>
      <c r="AD573" s="402"/>
      <c r="AE573" s="402"/>
      <c r="AF573" s="402"/>
      <c r="AG573" s="402"/>
      <c r="AH573" s="402"/>
      <c r="AI573" s="402"/>
      <c r="AJ573" s="402"/>
      <c r="AK573" s="402"/>
      <c r="AL573" s="402"/>
      <c r="AM573" s="402"/>
      <c r="AN573" s="402"/>
      <c r="AO573" s="402"/>
      <c r="AP573" s="41"/>
      <c r="AQ573" s="86"/>
      <c r="AR573" s="86"/>
      <c r="AS573" s="86"/>
    </row>
    <row r="574" spans="2:45" ht="18" customHeight="1" thickBot="1" x14ac:dyDescent="0.2">
      <c r="B574" s="42">
        <v>34</v>
      </c>
      <c r="C574" s="86"/>
      <c r="D574" s="86"/>
      <c r="E574" s="93"/>
      <c r="F574" s="247"/>
      <c r="G574" s="93"/>
      <c r="H574" s="93"/>
      <c r="I574" s="260" t="str">
        <f>IF(AQ572=2,"入力してください→",IF(AQ572=1,"入力不要です→",""))</f>
        <v/>
      </c>
      <c r="J574" s="387"/>
      <c r="K574" s="388"/>
      <c r="L574" s="389"/>
      <c r="M574" s="248"/>
      <c r="N574" s="387"/>
      <c r="O574" s="388"/>
      <c r="P574" s="389"/>
      <c r="Q574" s="248"/>
      <c r="R574" s="387"/>
      <c r="S574" s="388"/>
      <c r="T574" s="389"/>
      <c r="U574" s="248"/>
      <c r="V574" s="249"/>
      <c r="W574" s="86"/>
      <c r="X574" s="402"/>
      <c r="Y574" s="402"/>
      <c r="Z574" s="402"/>
      <c r="AA574" s="402"/>
      <c r="AB574" s="402"/>
      <c r="AC574" s="402"/>
      <c r="AD574" s="402"/>
      <c r="AE574" s="402"/>
      <c r="AF574" s="402"/>
      <c r="AG574" s="402"/>
      <c r="AH574" s="402"/>
      <c r="AI574" s="402"/>
      <c r="AJ574" s="402"/>
      <c r="AK574" s="402"/>
      <c r="AL574" s="402"/>
      <c r="AM574" s="402"/>
      <c r="AN574" s="402"/>
      <c r="AO574" s="402"/>
      <c r="AP574" s="41"/>
      <c r="AQ574" s="86"/>
      <c r="AR574" s="86"/>
      <c r="AS574" s="86"/>
    </row>
    <row r="575" spans="2:45" x14ac:dyDescent="0.15">
      <c r="C575" s="86"/>
      <c r="D575" s="86"/>
      <c r="E575" s="93"/>
      <c r="F575" s="247"/>
      <c r="G575" s="93"/>
      <c r="H575" s="93"/>
      <c r="I575" s="258"/>
      <c r="J575" s="248"/>
      <c r="K575" s="248"/>
      <c r="L575" s="248"/>
      <c r="M575" s="248"/>
      <c r="N575" s="248"/>
      <c r="O575" s="248"/>
      <c r="P575" s="248"/>
      <c r="Q575" s="248"/>
      <c r="R575" s="248"/>
      <c r="S575" s="248"/>
      <c r="T575" s="248"/>
      <c r="U575" s="248"/>
      <c r="V575" s="248"/>
      <c r="W575" s="86"/>
      <c r="X575" s="296" t="s">
        <v>212</v>
      </c>
      <c r="Y575" s="296"/>
      <c r="Z575" s="296"/>
      <c r="AA575" s="296"/>
      <c r="AB575" s="296"/>
      <c r="AC575" s="296"/>
      <c r="AD575" s="296"/>
      <c r="AE575" s="296"/>
      <c r="AF575" s="296"/>
      <c r="AG575" s="296"/>
      <c r="AH575" s="296"/>
      <c r="AI575" s="296"/>
      <c r="AJ575" s="296"/>
      <c r="AK575" s="296"/>
      <c r="AL575" s="296"/>
      <c r="AM575" s="296"/>
      <c r="AN575" s="296"/>
      <c r="AO575" s="296"/>
      <c r="AQ575" s="86"/>
      <c r="AR575" s="86"/>
      <c r="AS575" s="86"/>
    </row>
    <row r="576" spans="2:45" ht="14.25" thickBot="1" x14ac:dyDescent="0.2">
      <c r="C576" s="46"/>
      <c r="D576" s="46"/>
      <c r="E576" s="47"/>
      <c r="F576" s="246"/>
      <c r="G576" s="47"/>
      <c r="H576" s="47"/>
      <c r="I576" s="257"/>
      <c r="J576" s="245"/>
      <c r="K576" s="245"/>
      <c r="L576" s="245"/>
      <c r="M576" s="245"/>
      <c r="N576" s="245"/>
      <c r="O576" s="245"/>
      <c r="P576" s="245"/>
      <c r="Q576" s="245"/>
      <c r="R576" s="245"/>
      <c r="S576" s="245"/>
      <c r="T576" s="245"/>
      <c r="U576" s="245"/>
      <c r="V576" s="245"/>
      <c r="W576" s="46"/>
      <c r="X576" s="296" t="s">
        <v>212</v>
      </c>
      <c r="Y576" s="296"/>
      <c r="Z576" s="296"/>
      <c r="AA576" s="296"/>
      <c r="AB576" s="296"/>
      <c r="AC576" s="296"/>
      <c r="AD576" s="296"/>
      <c r="AE576" s="296"/>
      <c r="AF576" s="296"/>
      <c r="AG576" s="296"/>
      <c r="AH576" s="296"/>
      <c r="AI576" s="296"/>
      <c r="AJ576" s="296"/>
      <c r="AK576" s="296"/>
      <c r="AL576" s="296"/>
      <c r="AM576" s="296"/>
      <c r="AN576" s="296"/>
      <c r="AO576" s="296"/>
      <c r="AQ576" s="86"/>
      <c r="AR576" s="86"/>
      <c r="AS576" s="86"/>
    </row>
    <row r="577" spans="2:45" ht="18" customHeight="1" thickBot="1" x14ac:dyDescent="0.2">
      <c r="B577" s="42">
        <v>35</v>
      </c>
      <c r="C577" s="46"/>
      <c r="D577" s="82" t="s">
        <v>190</v>
      </c>
      <c r="E577" s="48" t="s">
        <v>72</v>
      </c>
      <c r="F577" s="80"/>
      <c r="G577" s="46"/>
      <c r="H577" s="109"/>
      <c r="I577" s="255"/>
      <c r="J577" s="366" t="str">
        <f>IFERROR(VLOOKUP($F577,補助対象機器一覧20220831!$A$2:$K$200,2,FALSE),"")</f>
        <v/>
      </c>
      <c r="K577" s="367"/>
      <c r="L577" s="368"/>
      <c r="M577" s="245"/>
      <c r="N577" s="366" t="str">
        <f>IFERROR(VLOOKUP($F577,補助対象機器一覧20220831!$A$2:$K$200,7,FALSE),"")</f>
        <v/>
      </c>
      <c r="O577" s="367"/>
      <c r="P577" s="368"/>
      <c r="Q577" s="245"/>
      <c r="R577" s="366" t="str">
        <f>IFERROR(VLOOKUP($F577,補助対象機器一覧20220831!$A$2:$K$200,8,FALSE),"")</f>
        <v/>
      </c>
      <c r="S577" s="367"/>
      <c r="T577" s="368"/>
      <c r="U577" s="245"/>
      <c r="V577" s="244" t="str">
        <f>IFERROR(VLOOKUP($F577,補助対象機器一覧20220831!$A$2:$K$200,9,FALSE),"")</f>
        <v/>
      </c>
      <c r="W577" s="46"/>
      <c r="X577" s="402" t="str">
        <f>IF($B577&lt;=入力シート!$F$85,""&amp;中間シート!X616,"")</f>
        <v/>
      </c>
      <c r="Y577" s="402"/>
      <c r="Z577" s="402"/>
      <c r="AA577" s="402"/>
      <c r="AB577" s="402"/>
      <c r="AC577" s="402"/>
      <c r="AD577" s="402"/>
      <c r="AE577" s="402"/>
      <c r="AF577" s="402"/>
      <c r="AG577" s="402"/>
      <c r="AH577" s="402"/>
      <c r="AI577" s="402"/>
      <c r="AJ577" s="402"/>
      <c r="AK577" s="402"/>
      <c r="AL577" s="402"/>
      <c r="AM577" s="402"/>
      <c r="AN577" s="402"/>
      <c r="AO577" s="402"/>
      <c r="AQ577" s="81">
        <f>IF(J577&lt;&gt;"",1,IF(H577="なし",2,0))</f>
        <v>0</v>
      </c>
      <c r="AR577" s="86"/>
      <c r="AS577" s="86"/>
    </row>
    <row r="578" spans="2:45" ht="5.0999999999999996" customHeight="1" thickBot="1" x14ac:dyDescent="0.2">
      <c r="C578" s="46"/>
      <c r="D578" s="82"/>
      <c r="E578" s="48"/>
      <c r="F578" s="245"/>
      <c r="G578" s="46"/>
      <c r="H578" s="46"/>
      <c r="I578" s="255"/>
      <c r="J578" s="245"/>
      <c r="K578" s="245"/>
      <c r="L578" s="245"/>
      <c r="M578" s="245"/>
      <c r="N578" s="245"/>
      <c r="O578" s="245"/>
      <c r="P578" s="245"/>
      <c r="Q578" s="245"/>
      <c r="R578" s="245"/>
      <c r="S578" s="245"/>
      <c r="T578" s="245"/>
      <c r="U578" s="245"/>
      <c r="V578" s="245"/>
      <c r="W578" s="46"/>
      <c r="X578" s="402"/>
      <c r="Y578" s="402"/>
      <c r="Z578" s="402"/>
      <c r="AA578" s="402"/>
      <c r="AB578" s="402"/>
      <c r="AC578" s="402"/>
      <c r="AD578" s="402"/>
      <c r="AE578" s="402"/>
      <c r="AF578" s="402"/>
      <c r="AG578" s="402"/>
      <c r="AH578" s="402"/>
      <c r="AI578" s="402"/>
      <c r="AJ578" s="402"/>
      <c r="AK578" s="402"/>
      <c r="AL578" s="402"/>
      <c r="AM578" s="402"/>
      <c r="AN578" s="402"/>
      <c r="AO578" s="402"/>
      <c r="AP578" s="41"/>
      <c r="AQ578" s="86"/>
      <c r="AR578" s="86"/>
      <c r="AS578" s="86"/>
    </row>
    <row r="579" spans="2:45" ht="18" customHeight="1" thickBot="1" x14ac:dyDescent="0.2">
      <c r="B579" s="42">
        <v>35</v>
      </c>
      <c r="C579" s="46"/>
      <c r="D579" s="82"/>
      <c r="E579" s="48"/>
      <c r="F579" s="246"/>
      <c r="G579" s="46"/>
      <c r="H579" s="46"/>
      <c r="I579" s="261" t="str">
        <f>IF(AQ577=2,"入力してください→",IF(AQ577=1,"入力不要です→",""))</f>
        <v/>
      </c>
      <c r="J579" s="387"/>
      <c r="K579" s="388"/>
      <c r="L579" s="389"/>
      <c r="M579" s="245"/>
      <c r="N579" s="387"/>
      <c r="O579" s="388"/>
      <c r="P579" s="389"/>
      <c r="Q579" s="245"/>
      <c r="R579" s="387"/>
      <c r="S579" s="388"/>
      <c r="T579" s="389"/>
      <c r="U579" s="245"/>
      <c r="V579" s="249"/>
      <c r="W579" s="46"/>
      <c r="X579" s="402"/>
      <c r="Y579" s="402"/>
      <c r="Z579" s="402"/>
      <c r="AA579" s="402"/>
      <c r="AB579" s="402"/>
      <c r="AC579" s="402"/>
      <c r="AD579" s="402"/>
      <c r="AE579" s="402"/>
      <c r="AF579" s="402"/>
      <c r="AG579" s="402"/>
      <c r="AH579" s="402"/>
      <c r="AI579" s="402"/>
      <c r="AJ579" s="402"/>
      <c r="AK579" s="402"/>
      <c r="AL579" s="402"/>
      <c r="AM579" s="402"/>
      <c r="AN579" s="402"/>
      <c r="AO579" s="402"/>
      <c r="AP579" s="41"/>
      <c r="AQ579" s="86"/>
      <c r="AR579" s="86"/>
      <c r="AS579" s="86"/>
    </row>
    <row r="580" spans="2:45" ht="5.0999999999999996" customHeight="1" thickBot="1" x14ac:dyDescent="0.2">
      <c r="C580" s="46"/>
      <c r="D580" s="46"/>
      <c r="E580" s="47"/>
      <c r="F580" s="245"/>
      <c r="G580" s="47"/>
      <c r="H580" s="47"/>
      <c r="I580" s="255"/>
      <c r="J580" s="245"/>
      <c r="K580" s="245"/>
      <c r="L580" s="245"/>
      <c r="M580" s="245"/>
      <c r="N580" s="245"/>
      <c r="O580" s="245"/>
      <c r="P580" s="245"/>
      <c r="Q580" s="245"/>
      <c r="R580" s="245"/>
      <c r="S580" s="245"/>
      <c r="T580" s="245"/>
      <c r="U580" s="245"/>
      <c r="V580" s="245"/>
      <c r="W580" s="46"/>
      <c r="X580" s="296" t="s">
        <v>212</v>
      </c>
      <c r="Y580" s="296"/>
      <c r="Z580" s="296"/>
      <c r="AA580" s="296"/>
      <c r="AB580" s="296"/>
      <c r="AC580" s="296"/>
      <c r="AD580" s="296"/>
      <c r="AE580" s="296"/>
      <c r="AF580" s="296"/>
      <c r="AG580" s="296"/>
      <c r="AH580" s="296"/>
      <c r="AI580" s="296"/>
      <c r="AJ580" s="296"/>
      <c r="AK580" s="296"/>
      <c r="AL580" s="296"/>
      <c r="AM580" s="296"/>
      <c r="AN580" s="296"/>
      <c r="AO580" s="296"/>
      <c r="AP580" s="41"/>
      <c r="AQ580" s="86"/>
      <c r="AR580" s="86"/>
      <c r="AS580" s="86"/>
    </row>
    <row r="581" spans="2:45" ht="18" customHeight="1" thickBot="1" x14ac:dyDescent="0.2">
      <c r="B581" s="42">
        <v>35</v>
      </c>
      <c r="C581" s="46"/>
      <c r="D581" s="46"/>
      <c r="E581" s="48" t="s">
        <v>73</v>
      </c>
      <c r="F581" s="80"/>
      <c r="G581" s="47"/>
      <c r="H581" s="109"/>
      <c r="I581" s="255"/>
      <c r="J581" s="366" t="str">
        <f>IFERROR(VLOOKUP($F581,補助対象機器一覧20220831!$A$2:$K$200,2,FALSE),"")</f>
        <v/>
      </c>
      <c r="K581" s="367"/>
      <c r="L581" s="368"/>
      <c r="M581" s="245"/>
      <c r="N581" s="366" t="str">
        <f>IFERROR(VLOOKUP($F581,補助対象機器一覧20220831!$A$2:$K$200,7,FALSE),"")</f>
        <v/>
      </c>
      <c r="O581" s="367"/>
      <c r="P581" s="368"/>
      <c r="Q581" s="245"/>
      <c r="R581" s="366" t="str">
        <f>IFERROR(VLOOKUP($F581,補助対象機器一覧20220831!$A$2:$K$200,8,FALSE),"")</f>
        <v/>
      </c>
      <c r="S581" s="367"/>
      <c r="T581" s="368"/>
      <c r="U581" s="245"/>
      <c r="V581" s="244" t="str">
        <f>IFERROR(VLOOKUP($F581,補助対象機器一覧20220831!$A$2:$K$200,9,FALSE),"")</f>
        <v/>
      </c>
      <c r="W581" s="46"/>
      <c r="X581" s="402" t="str">
        <f>IF($B581&lt;=入力シート!$F$85,""&amp;中間シート!X617,"")</f>
        <v/>
      </c>
      <c r="Y581" s="402"/>
      <c r="Z581" s="402"/>
      <c r="AA581" s="402"/>
      <c r="AB581" s="402"/>
      <c r="AC581" s="402"/>
      <c r="AD581" s="402"/>
      <c r="AE581" s="402"/>
      <c r="AF581" s="402"/>
      <c r="AG581" s="402"/>
      <c r="AH581" s="402"/>
      <c r="AI581" s="402"/>
      <c r="AJ581" s="402"/>
      <c r="AK581" s="402"/>
      <c r="AL581" s="402"/>
      <c r="AM581" s="402"/>
      <c r="AN581" s="402"/>
      <c r="AO581" s="402"/>
      <c r="AP581" s="41"/>
      <c r="AQ581" s="81">
        <f>IF(J581&lt;&gt;"",1,IF(H581="なし",2,0))</f>
        <v>0</v>
      </c>
      <c r="AR581" s="86"/>
      <c r="AS581" s="86"/>
    </row>
    <row r="582" spans="2:45" ht="5.0999999999999996" customHeight="1" thickBot="1" x14ac:dyDescent="0.2">
      <c r="C582" s="46"/>
      <c r="D582" s="46"/>
      <c r="E582" s="48"/>
      <c r="F582" s="246"/>
      <c r="G582" s="47"/>
      <c r="H582" s="47"/>
      <c r="I582" s="255"/>
      <c r="J582" s="246"/>
      <c r="K582" s="246"/>
      <c r="L582" s="246"/>
      <c r="M582" s="245"/>
      <c r="N582" s="246"/>
      <c r="O582" s="246"/>
      <c r="P582" s="246"/>
      <c r="Q582" s="245"/>
      <c r="R582" s="246"/>
      <c r="S582" s="246"/>
      <c r="T582" s="246"/>
      <c r="U582" s="245"/>
      <c r="V582" s="246"/>
      <c r="W582" s="46"/>
      <c r="X582" s="402"/>
      <c r="Y582" s="402"/>
      <c r="Z582" s="402"/>
      <c r="AA582" s="402"/>
      <c r="AB582" s="402"/>
      <c r="AC582" s="402"/>
      <c r="AD582" s="402"/>
      <c r="AE582" s="402"/>
      <c r="AF582" s="402"/>
      <c r="AG582" s="402"/>
      <c r="AH582" s="402"/>
      <c r="AI582" s="402"/>
      <c r="AJ582" s="402"/>
      <c r="AK582" s="402"/>
      <c r="AL582" s="402"/>
      <c r="AM582" s="402"/>
      <c r="AN582" s="402"/>
      <c r="AO582" s="402"/>
      <c r="AP582" s="41"/>
      <c r="AQ582" s="86"/>
      <c r="AR582" s="86"/>
      <c r="AS582" s="86"/>
    </row>
    <row r="583" spans="2:45" ht="18" customHeight="1" thickBot="1" x14ac:dyDescent="0.2">
      <c r="B583" s="42">
        <v>35</v>
      </c>
      <c r="C583" s="46"/>
      <c r="D583" s="46"/>
      <c r="E583" s="48"/>
      <c r="F583" s="246"/>
      <c r="G583" s="47"/>
      <c r="H583" s="47"/>
      <c r="I583" s="261" t="str">
        <f>IF(AQ581=2,"入力してください→",IF(AQ581=1,"入力不要です→",""))</f>
        <v/>
      </c>
      <c r="J583" s="387"/>
      <c r="K583" s="388"/>
      <c r="L583" s="389"/>
      <c r="M583" s="245"/>
      <c r="N583" s="387"/>
      <c r="O583" s="388"/>
      <c r="P583" s="389"/>
      <c r="Q583" s="245"/>
      <c r="R583" s="387"/>
      <c r="S583" s="388"/>
      <c r="T583" s="389"/>
      <c r="U583" s="245"/>
      <c r="V583" s="249"/>
      <c r="W583" s="46"/>
      <c r="X583" s="402"/>
      <c r="Y583" s="402"/>
      <c r="Z583" s="402"/>
      <c r="AA583" s="402"/>
      <c r="AB583" s="402"/>
      <c r="AC583" s="402"/>
      <c r="AD583" s="402"/>
      <c r="AE583" s="402"/>
      <c r="AF583" s="402"/>
      <c r="AG583" s="402"/>
      <c r="AH583" s="402"/>
      <c r="AI583" s="402"/>
      <c r="AJ583" s="402"/>
      <c r="AK583" s="402"/>
      <c r="AL583" s="402"/>
      <c r="AM583" s="402"/>
      <c r="AN583" s="402"/>
      <c r="AO583" s="402"/>
      <c r="AP583" s="41"/>
      <c r="AQ583" s="86"/>
      <c r="AR583" s="86"/>
      <c r="AS583" s="86"/>
    </row>
    <row r="584" spans="2:45" ht="5.0999999999999996" customHeight="1" thickBot="1" x14ac:dyDescent="0.2">
      <c r="C584" s="46"/>
      <c r="D584" s="46"/>
      <c r="E584" s="48"/>
      <c r="F584" s="246"/>
      <c r="G584" s="47"/>
      <c r="H584" s="47"/>
      <c r="I584" s="255"/>
      <c r="J584" s="246"/>
      <c r="K584" s="246"/>
      <c r="L584" s="246"/>
      <c r="M584" s="245"/>
      <c r="N584" s="246"/>
      <c r="O584" s="246"/>
      <c r="P584" s="246"/>
      <c r="Q584" s="245"/>
      <c r="R584" s="246"/>
      <c r="S584" s="246"/>
      <c r="T584" s="246"/>
      <c r="U584" s="245"/>
      <c r="V584" s="246"/>
      <c r="W584" s="46"/>
      <c r="X584" s="296" t="s">
        <v>212</v>
      </c>
      <c r="Y584" s="296"/>
      <c r="Z584" s="296"/>
      <c r="AA584" s="296"/>
      <c r="AB584" s="296"/>
      <c r="AC584" s="296"/>
      <c r="AD584" s="296"/>
      <c r="AE584" s="296"/>
      <c r="AF584" s="296"/>
      <c r="AG584" s="296"/>
      <c r="AH584" s="296"/>
      <c r="AI584" s="296"/>
      <c r="AJ584" s="296"/>
      <c r="AK584" s="296"/>
      <c r="AL584" s="296"/>
      <c r="AM584" s="296"/>
      <c r="AN584" s="296"/>
      <c r="AO584" s="296"/>
      <c r="AP584" s="41"/>
      <c r="AQ584" s="86"/>
      <c r="AR584" s="86"/>
      <c r="AS584" s="86"/>
    </row>
    <row r="585" spans="2:45" ht="18" customHeight="1" thickBot="1" x14ac:dyDescent="0.2">
      <c r="B585" s="42">
        <v>35</v>
      </c>
      <c r="C585" s="46"/>
      <c r="D585" s="46"/>
      <c r="E585" s="48" t="s">
        <v>74</v>
      </c>
      <c r="F585" s="80"/>
      <c r="G585" s="47"/>
      <c r="H585" s="109"/>
      <c r="I585" s="255"/>
      <c r="J585" s="366" t="str">
        <f>IFERROR(VLOOKUP($F585,補助対象機器一覧20220831!$A$2:$K$200,2,FALSE),"")</f>
        <v/>
      </c>
      <c r="K585" s="367"/>
      <c r="L585" s="368"/>
      <c r="M585" s="245"/>
      <c r="N585" s="366" t="str">
        <f>IFERROR(VLOOKUP($F585,補助対象機器一覧20220831!$A$2:$K$200,7,FALSE),"")</f>
        <v/>
      </c>
      <c r="O585" s="367"/>
      <c r="P585" s="368"/>
      <c r="Q585" s="245"/>
      <c r="R585" s="366" t="str">
        <f>IFERROR(VLOOKUP($F585,補助対象機器一覧20220831!$A$2:$K$200,8,FALSE),"")</f>
        <v/>
      </c>
      <c r="S585" s="367"/>
      <c r="T585" s="368"/>
      <c r="U585" s="245"/>
      <c r="V585" s="244" t="str">
        <f>IFERROR(VLOOKUP($F585,補助対象機器一覧20220831!$A$2:$K$200,9,FALSE),"")</f>
        <v/>
      </c>
      <c r="W585" s="46"/>
      <c r="X585" s="402" t="str">
        <f>IF($B585&lt;=入力シート!$F$85,""&amp;中間シート!X618,"")</f>
        <v/>
      </c>
      <c r="Y585" s="402"/>
      <c r="Z585" s="402"/>
      <c r="AA585" s="402"/>
      <c r="AB585" s="402"/>
      <c r="AC585" s="402"/>
      <c r="AD585" s="402"/>
      <c r="AE585" s="402"/>
      <c r="AF585" s="402"/>
      <c r="AG585" s="402"/>
      <c r="AH585" s="402"/>
      <c r="AI585" s="402"/>
      <c r="AJ585" s="402"/>
      <c r="AK585" s="402"/>
      <c r="AL585" s="402"/>
      <c r="AM585" s="402"/>
      <c r="AN585" s="402"/>
      <c r="AO585" s="402"/>
      <c r="AP585" s="41"/>
      <c r="AQ585" s="81">
        <f>IF(J585&lt;&gt;"",1,IF(H585="なし",2,0))</f>
        <v>0</v>
      </c>
      <c r="AR585" s="86"/>
      <c r="AS585" s="86"/>
    </row>
    <row r="586" spans="2:45" ht="5.0999999999999996" customHeight="1" thickBot="1" x14ac:dyDescent="0.2">
      <c r="C586" s="46"/>
      <c r="D586" s="46"/>
      <c r="E586" s="48"/>
      <c r="F586" s="246"/>
      <c r="G586" s="47"/>
      <c r="H586" s="47"/>
      <c r="I586" s="255"/>
      <c r="J586" s="246"/>
      <c r="K586" s="246"/>
      <c r="L586" s="246"/>
      <c r="M586" s="245"/>
      <c r="N586" s="246"/>
      <c r="O586" s="246"/>
      <c r="P586" s="246"/>
      <c r="Q586" s="245"/>
      <c r="R586" s="246"/>
      <c r="S586" s="246"/>
      <c r="T586" s="246"/>
      <c r="U586" s="245"/>
      <c r="V586" s="246"/>
      <c r="W586" s="46"/>
      <c r="X586" s="402"/>
      <c r="Y586" s="402"/>
      <c r="Z586" s="402"/>
      <c r="AA586" s="402"/>
      <c r="AB586" s="402"/>
      <c r="AC586" s="402"/>
      <c r="AD586" s="402"/>
      <c r="AE586" s="402"/>
      <c r="AF586" s="402"/>
      <c r="AG586" s="402"/>
      <c r="AH586" s="402"/>
      <c r="AI586" s="402"/>
      <c r="AJ586" s="402"/>
      <c r="AK586" s="402"/>
      <c r="AL586" s="402"/>
      <c r="AM586" s="402"/>
      <c r="AN586" s="402"/>
      <c r="AO586" s="402"/>
      <c r="AP586" s="41"/>
      <c r="AQ586" s="86"/>
      <c r="AR586" s="86"/>
      <c r="AS586" s="86"/>
    </row>
    <row r="587" spans="2:45" ht="18" customHeight="1" thickBot="1" x14ac:dyDescent="0.2">
      <c r="B587" s="42">
        <v>35</v>
      </c>
      <c r="C587" s="46"/>
      <c r="D587" s="46"/>
      <c r="E587" s="47"/>
      <c r="F587" s="246"/>
      <c r="G587" s="47"/>
      <c r="H587" s="47"/>
      <c r="I587" s="261" t="str">
        <f>IF(AQ585=2,"入力してください→",IF(AQ585=1,"入力不要です→",""))</f>
        <v/>
      </c>
      <c r="J587" s="387"/>
      <c r="K587" s="388"/>
      <c r="L587" s="389"/>
      <c r="M587" s="245"/>
      <c r="N587" s="387"/>
      <c r="O587" s="388"/>
      <c r="P587" s="389"/>
      <c r="Q587" s="245"/>
      <c r="R587" s="387"/>
      <c r="S587" s="388"/>
      <c r="T587" s="389"/>
      <c r="U587" s="245"/>
      <c r="V587" s="249"/>
      <c r="W587" s="46"/>
      <c r="X587" s="402"/>
      <c r="Y587" s="402"/>
      <c r="Z587" s="402"/>
      <c r="AA587" s="402"/>
      <c r="AB587" s="402"/>
      <c r="AC587" s="402"/>
      <c r="AD587" s="402"/>
      <c r="AE587" s="402"/>
      <c r="AF587" s="402"/>
      <c r="AG587" s="402"/>
      <c r="AH587" s="402"/>
      <c r="AI587" s="402"/>
      <c r="AJ587" s="402"/>
      <c r="AK587" s="402"/>
      <c r="AL587" s="402"/>
      <c r="AM587" s="402"/>
      <c r="AN587" s="402"/>
      <c r="AO587" s="402"/>
      <c r="AP587" s="41"/>
      <c r="AQ587" s="86"/>
      <c r="AR587" s="86"/>
      <c r="AS587" s="86"/>
    </row>
    <row r="588" spans="2:45" x14ac:dyDescent="0.15">
      <c r="C588" s="46"/>
      <c r="D588" s="46"/>
      <c r="E588" s="47"/>
      <c r="F588" s="246"/>
      <c r="G588" s="47"/>
      <c r="H588" s="47"/>
      <c r="I588" s="257"/>
      <c r="J588" s="245"/>
      <c r="K588" s="245"/>
      <c r="L588" s="245"/>
      <c r="M588" s="245"/>
      <c r="N588" s="245"/>
      <c r="O588" s="245"/>
      <c r="P588" s="245"/>
      <c r="Q588" s="245"/>
      <c r="R588" s="245"/>
      <c r="S588" s="245"/>
      <c r="T588" s="245"/>
      <c r="U588" s="245"/>
      <c r="V588" s="245"/>
      <c r="W588" s="46"/>
      <c r="X588" s="296" t="s">
        <v>212</v>
      </c>
      <c r="Y588" s="296"/>
      <c r="Z588" s="296"/>
      <c r="AA588" s="296"/>
      <c r="AB588" s="296"/>
      <c r="AC588" s="296"/>
      <c r="AD588" s="296"/>
      <c r="AE588" s="296"/>
      <c r="AF588" s="296"/>
      <c r="AG588" s="296"/>
      <c r="AH588" s="296"/>
      <c r="AI588" s="296"/>
      <c r="AJ588" s="296"/>
      <c r="AK588" s="296"/>
      <c r="AL588" s="296"/>
      <c r="AM588" s="296"/>
      <c r="AN588" s="296"/>
      <c r="AO588" s="296"/>
      <c r="AQ588" s="86"/>
      <c r="AR588" s="86"/>
      <c r="AS588" s="86"/>
    </row>
    <row r="589" spans="2:45" ht="14.25" thickBot="1" x14ac:dyDescent="0.2">
      <c r="C589" s="86"/>
      <c r="D589" s="86"/>
      <c r="E589" s="93"/>
      <c r="F589" s="247"/>
      <c r="G589" s="93"/>
      <c r="H589" s="93"/>
      <c r="I589" s="258"/>
      <c r="J589" s="248"/>
      <c r="K589" s="248"/>
      <c r="L589" s="248"/>
      <c r="M589" s="248"/>
      <c r="N589" s="248"/>
      <c r="O589" s="248"/>
      <c r="P589" s="248"/>
      <c r="Q589" s="248"/>
      <c r="R589" s="248"/>
      <c r="S589" s="248"/>
      <c r="T589" s="248"/>
      <c r="U589" s="248"/>
      <c r="V589" s="248"/>
      <c r="W589" s="86"/>
      <c r="X589" s="296" t="s">
        <v>212</v>
      </c>
      <c r="Y589" s="296"/>
      <c r="Z589" s="296"/>
      <c r="AA589" s="296"/>
      <c r="AB589" s="296"/>
      <c r="AC589" s="296"/>
      <c r="AD589" s="296"/>
      <c r="AE589" s="296"/>
      <c r="AF589" s="296"/>
      <c r="AG589" s="296"/>
      <c r="AH589" s="296"/>
      <c r="AI589" s="296"/>
      <c r="AJ589" s="296"/>
      <c r="AK589" s="296"/>
      <c r="AL589" s="296"/>
      <c r="AM589" s="296"/>
      <c r="AN589" s="296"/>
      <c r="AO589" s="296"/>
      <c r="AQ589" s="86"/>
      <c r="AR589" s="86"/>
      <c r="AS589" s="86"/>
    </row>
    <row r="590" spans="2:45" ht="18" customHeight="1" thickBot="1" x14ac:dyDescent="0.2">
      <c r="B590" s="42">
        <v>36</v>
      </c>
      <c r="C590" s="86"/>
      <c r="D590" s="94" t="s">
        <v>191</v>
      </c>
      <c r="E590" s="95" t="s">
        <v>72</v>
      </c>
      <c r="F590" s="80"/>
      <c r="G590" s="86"/>
      <c r="H590" s="80"/>
      <c r="I590" s="259"/>
      <c r="J590" s="366" t="str">
        <f>IFERROR(VLOOKUP($F590,補助対象機器一覧20220831!$A$2:$K$200,2,FALSE),"")</f>
        <v/>
      </c>
      <c r="K590" s="367"/>
      <c r="L590" s="368"/>
      <c r="M590" s="248"/>
      <c r="N590" s="366" t="str">
        <f>IFERROR(VLOOKUP($F590,補助対象機器一覧20220831!$A$2:$K$200,7,FALSE),"")</f>
        <v/>
      </c>
      <c r="O590" s="367"/>
      <c r="P590" s="368"/>
      <c r="Q590" s="248"/>
      <c r="R590" s="366" t="str">
        <f>IFERROR(VLOOKUP($F590,補助対象機器一覧20220831!$A$2:$K$200,8,FALSE),"")</f>
        <v/>
      </c>
      <c r="S590" s="367"/>
      <c r="T590" s="368"/>
      <c r="U590" s="248"/>
      <c r="V590" s="244" t="str">
        <f>IFERROR(VLOOKUP($F590,補助対象機器一覧20220831!$A$2:$K$200,9,FALSE),"")</f>
        <v/>
      </c>
      <c r="W590" s="86"/>
      <c r="X590" s="402" t="str">
        <f>IF($B590&lt;=入力シート!$F$85,""&amp;中間シート!X619,"")</f>
        <v/>
      </c>
      <c r="Y590" s="402"/>
      <c r="Z590" s="402"/>
      <c r="AA590" s="402"/>
      <c r="AB590" s="402"/>
      <c r="AC590" s="402"/>
      <c r="AD590" s="402"/>
      <c r="AE590" s="402"/>
      <c r="AF590" s="402"/>
      <c r="AG590" s="402"/>
      <c r="AH590" s="402"/>
      <c r="AI590" s="402"/>
      <c r="AJ590" s="402"/>
      <c r="AK590" s="402"/>
      <c r="AL590" s="402"/>
      <c r="AM590" s="402"/>
      <c r="AN590" s="402"/>
      <c r="AO590" s="402"/>
      <c r="AQ590" s="81">
        <f>IF(J590&lt;&gt;"",1,IF(H590="なし",2,0))</f>
        <v>0</v>
      </c>
      <c r="AR590" s="86"/>
      <c r="AS590" s="86"/>
    </row>
    <row r="591" spans="2:45" ht="5.0999999999999996" customHeight="1" thickBot="1" x14ac:dyDescent="0.2">
      <c r="C591" s="86"/>
      <c r="D591" s="94"/>
      <c r="E591" s="95"/>
      <c r="F591" s="248"/>
      <c r="G591" s="86"/>
      <c r="H591" s="86"/>
      <c r="I591" s="259"/>
      <c r="J591" s="248"/>
      <c r="K591" s="248"/>
      <c r="L591" s="248"/>
      <c r="M591" s="248"/>
      <c r="N591" s="248"/>
      <c r="O591" s="248"/>
      <c r="P591" s="248"/>
      <c r="Q591" s="248"/>
      <c r="R591" s="248"/>
      <c r="S591" s="248"/>
      <c r="T591" s="248"/>
      <c r="U591" s="248"/>
      <c r="V591" s="248"/>
      <c r="W591" s="86"/>
      <c r="X591" s="402"/>
      <c r="Y591" s="402"/>
      <c r="Z591" s="402"/>
      <c r="AA591" s="402"/>
      <c r="AB591" s="402"/>
      <c r="AC591" s="402"/>
      <c r="AD591" s="402"/>
      <c r="AE591" s="402"/>
      <c r="AF591" s="402"/>
      <c r="AG591" s="402"/>
      <c r="AH591" s="402"/>
      <c r="AI591" s="402"/>
      <c r="AJ591" s="402"/>
      <c r="AK591" s="402"/>
      <c r="AL591" s="402"/>
      <c r="AM591" s="402"/>
      <c r="AN591" s="402"/>
      <c r="AO591" s="402"/>
      <c r="AP591" s="41"/>
      <c r="AQ591" s="86"/>
      <c r="AR591" s="86"/>
      <c r="AS591" s="86"/>
    </row>
    <row r="592" spans="2:45" ht="18" customHeight="1" thickBot="1" x14ac:dyDescent="0.2">
      <c r="B592" s="42">
        <v>36</v>
      </c>
      <c r="C592" s="86"/>
      <c r="D592" s="94"/>
      <c r="E592" s="95"/>
      <c r="F592" s="247"/>
      <c r="G592" s="86"/>
      <c r="H592" s="86"/>
      <c r="I592" s="260" t="str">
        <f>IF(AQ590=2,"入力してください→",IF(AQ590=1,"入力不要です→",""))</f>
        <v/>
      </c>
      <c r="J592" s="387"/>
      <c r="K592" s="388"/>
      <c r="L592" s="389"/>
      <c r="M592" s="248"/>
      <c r="N592" s="387"/>
      <c r="O592" s="388"/>
      <c r="P592" s="389"/>
      <c r="Q592" s="248"/>
      <c r="R592" s="387"/>
      <c r="S592" s="388"/>
      <c r="T592" s="389"/>
      <c r="U592" s="248"/>
      <c r="V592" s="249"/>
      <c r="W592" s="86"/>
      <c r="X592" s="402"/>
      <c r="Y592" s="402"/>
      <c r="Z592" s="402"/>
      <c r="AA592" s="402"/>
      <c r="AB592" s="402"/>
      <c r="AC592" s="402"/>
      <c r="AD592" s="402"/>
      <c r="AE592" s="402"/>
      <c r="AF592" s="402"/>
      <c r="AG592" s="402"/>
      <c r="AH592" s="402"/>
      <c r="AI592" s="402"/>
      <c r="AJ592" s="402"/>
      <c r="AK592" s="402"/>
      <c r="AL592" s="402"/>
      <c r="AM592" s="402"/>
      <c r="AN592" s="402"/>
      <c r="AO592" s="402"/>
      <c r="AP592" s="41"/>
      <c r="AQ592" s="86"/>
      <c r="AR592" s="86"/>
      <c r="AS592" s="86"/>
    </row>
    <row r="593" spans="2:45" ht="5.0999999999999996" customHeight="1" thickBot="1" x14ac:dyDescent="0.2">
      <c r="C593" s="86"/>
      <c r="D593" s="86"/>
      <c r="E593" s="93"/>
      <c r="F593" s="248"/>
      <c r="G593" s="93"/>
      <c r="H593" s="93"/>
      <c r="I593" s="259"/>
      <c r="J593" s="248"/>
      <c r="K593" s="248"/>
      <c r="L593" s="248"/>
      <c r="M593" s="248"/>
      <c r="N593" s="248"/>
      <c r="O593" s="248"/>
      <c r="P593" s="248"/>
      <c r="Q593" s="248"/>
      <c r="R593" s="248"/>
      <c r="S593" s="248"/>
      <c r="T593" s="248"/>
      <c r="U593" s="248"/>
      <c r="V593" s="248"/>
      <c r="W593" s="86"/>
      <c r="X593" s="296" t="s">
        <v>212</v>
      </c>
      <c r="Y593" s="296"/>
      <c r="Z593" s="296"/>
      <c r="AA593" s="296"/>
      <c r="AB593" s="296"/>
      <c r="AC593" s="296"/>
      <c r="AD593" s="296"/>
      <c r="AE593" s="296"/>
      <c r="AF593" s="296"/>
      <c r="AG593" s="296"/>
      <c r="AH593" s="296"/>
      <c r="AI593" s="296"/>
      <c r="AJ593" s="296"/>
      <c r="AK593" s="296"/>
      <c r="AL593" s="296"/>
      <c r="AM593" s="296"/>
      <c r="AN593" s="296"/>
      <c r="AO593" s="296"/>
      <c r="AP593" s="41"/>
      <c r="AQ593" s="86"/>
      <c r="AR593" s="86"/>
      <c r="AS593" s="86"/>
    </row>
    <row r="594" spans="2:45" ht="18" customHeight="1" thickBot="1" x14ac:dyDescent="0.2">
      <c r="B594" s="42">
        <v>36</v>
      </c>
      <c r="C594" s="86"/>
      <c r="D594" s="86"/>
      <c r="E594" s="95" t="s">
        <v>73</v>
      </c>
      <c r="F594" s="80"/>
      <c r="G594" s="93"/>
      <c r="H594" s="80"/>
      <c r="I594" s="259"/>
      <c r="J594" s="366" t="str">
        <f>IFERROR(VLOOKUP($F594,補助対象機器一覧20220831!$A$2:$K$200,2,FALSE),"")</f>
        <v/>
      </c>
      <c r="K594" s="367"/>
      <c r="L594" s="368"/>
      <c r="M594" s="248"/>
      <c r="N594" s="366" t="str">
        <f>IFERROR(VLOOKUP($F594,補助対象機器一覧20220831!$A$2:$K$200,7,FALSE),"")</f>
        <v/>
      </c>
      <c r="O594" s="367"/>
      <c r="P594" s="368"/>
      <c r="Q594" s="248"/>
      <c r="R594" s="366" t="str">
        <f>IFERROR(VLOOKUP($F594,補助対象機器一覧20220831!$A$2:$K$200,8,FALSE),"")</f>
        <v/>
      </c>
      <c r="S594" s="367"/>
      <c r="T594" s="368"/>
      <c r="U594" s="248"/>
      <c r="V594" s="244" t="str">
        <f>IFERROR(VLOOKUP($F594,補助対象機器一覧20220831!$A$2:$K$200,9,FALSE),"")</f>
        <v/>
      </c>
      <c r="W594" s="86"/>
      <c r="X594" s="402" t="str">
        <f>IF($B594&lt;=入力シート!$F$85,""&amp;中間シート!X620,"")</f>
        <v/>
      </c>
      <c r="Y594" s="402"/>
      <c r="Z594" s="402"/>
      <c r="AA594" s="402"/>
      <c r="AB594" s="402"/>
      <c r="AC594" s="402"/>
      <c r="AD594" s="402"/>
      <c r="AE594" s="402"/>
      <c r="AF594" s="402"/>
      <c r="AG594" s="402"/>
      <c r="AH594" s="402"/>
      <c r="AI594" s="402"/>
      <c r="AJ594" s="402"/>
      <c r="AK594" s="402"/>
      <c r="AL594" s="402"/>
      <c r="AM594" s="402"/>
      <c r="AN594" s="402"/>
      <c r="AO594" s="402"/>
      <c r="AP594" s="41"/>
      <c r="AQ594" s="81">
        <f>IF(J594&lt;&gt;"",1,IF(H594="なし",2,0))</f>
        <v>0</v>
      </c>
      <c r="AR594" s="86"/>
      <c r="AS594" s="86"/>
    </row>
    <row r="595" spans="2:45" ht="5.0999999999999996" customHeight="1" thickBot="1" x14ac:dyDescent="0.2">
      <c r="C595" s="86"/>
      <c r="D595" s="86"/>
      <c r="E595" s="95"/>
      <c r="F595" s="247"/>
      <c r="G595" s="93"/>
      <c r="H595" s="93"/>
      <c r="I595" s="259"/>
      <c r="J595" s="247"/>
      <c r="K595" s="247"/>
      <c r="L595" s="247"/>
      <c r="M595" s="248"/>
      <c r="N595" s="247"/>
      <c r="O595" s="247"/>
      <c r="P595" s="247"/>
      <c r="Q595" s="248"/>
      <c r="R595" s="247"/>
      <c r="S595" s="247"/>
      <c r="T595" s="247"/>
      <c r="U595" s="248"/>
      <c r="V595" s="247"/>
      <c r="W595" s="86"/>
      <c r="X595" s="402"/>
      <c r="Y595" s="402"/>
      <c r="Z595" s="402"/>
      <c r="AA595" s="402"/>
      <c r="AB595" s="402"/>
      <c r="AC595" s="402"/>
      <c r="AD595" s="402"/>
      <c r="AE595" s="402"/>
      <c r="AF595" s="402"/>
      <c r="AG595" s="402"/>
      <c r="AH595" s="402"/>
      <c r="AI595" s="402"/>
      <c r="AJ595" s="402"/>
      <c r="AK595" s="402"/>
      <c r="AL595" s="402"/>
      <c r="AM595" s="402"/>
      <c r="AN595" s="402"/>
      <c r="AO595" s="402"/>
      <c r="AP595" s="41"/>
      <c r="AQ595" s="86"/>
      <c r="AR595" s="86"/>
      <c r="AS595" s="86"/>
    </row>
    <row r="596" spans="2:45" ht="18" customHeight="1" thickBot="1" x14ac:dyDescent="0.2">
      <c r="B596" s="42">
        <v>36</v>
      </c>
      <c r="C596" s="86"/>
      <c r="D596" s="86"/>
      <c r="E596" s="95"/>
      <c r="F596" s="247"/>
      <c r="G596" s="93"/>
      <c r="H596" s="93"/>
      <c r="I596" s="260" t="str">
        <f>IF(AQ594=2,"入力してください→",IF(AQ594=1,"入力不要です→",""))</f>
        <v/>
      </c>
      <c r="J596" s="387"/>
      <c r="K596" s="388"/>
      <c r="L596" s="389"/>
      <c r="M596" s="248"/>
      <c r="N596" s="387"/>
      <c r="O596" s="388"/>
      <c r="P596" s="389"/>
      <c r="Q596" s="248"/>
      <c r="R596" s="387"/>
      <c r="S596" s="388"/>
      <c r="T596" s="389"/>
      <c r="U596" s="248"/>
      <c r="V596" s="249"/>
      <c r="W596" s="86"/>
      <c r="X596" s="402"/>
      <c r="Y596" s="402"/>
      <c r="Z596" s="402"/>
      <c r="AA596" s="402"/>
      <c r="AB596" s="402"/>
      <c r="AC596" s="402"/>
      <c r="AD596" s="402"/>
      <c r="AE596" s="402"/>
      <c r="AF596" s="402"/>
      <c r="AG596" s="402"/>
      <c r="AH596" s="402"/>
      <c r="AI596" s="402"/>
      <c r="AJ596" s="402"/>
      <c r="AK596" s="402"/>
      <c r="AL596" s="402"/>
      <c r="AM596" s="402"/>
      <c r="AN596" s="402"/>
      <c r="AO596" s="402"/>
      <c r="AP596" s="41"/>
      <c r="AQ596" s="86"/>
      <c r="AR596" s="86"/>
      <c r="AS596" s="86"/>
    </row>
    <row r="597" spans="2:45" ht="5.0999999999999996" customHeight="1" thickBot="1" x14ac:dyDescent="0.2">
      <c r="C597" s="86"/>
      <c r="D597" s="86"/>
      <c r="E597" s="95"/>
      <c r="F597" s="247"/>
      <c r="G597" s="93"/>
      <c r="H597" s="93"/>
      <c r="I597" s="259"/>
      <c r="J597" s="247"/>
      <c r="K597" s="247"/>
      <c r="L597" s="247"/>
      <c r="M597" s="248"/>
      <c r="N597" s="247"/>
      <c r="O597" s="247"/>
      <c r="P597" s="247"/>
      <c r="Q597" s="248"/>
      <c r="R597" s="247"/>
      <c r="S597" s="247"/>
      <c r="T597" s="247"/>
      <c r="U597" s="248"/>
      <c r="V597" s="247"/>
      <c r="W597" s="86"/>
      <c r="X597" s="296" t="s">
        <v>212</v>
      </c>
      <c r="Y597" s="296"/>
      <c r="Z597" s="296"/>
      <c r="AA597" s="296"/>
      <c r="AB597" s="296"/>
      <c r="AC597" s="296"/>
      <c r="AD597" s="296"/>
      <c r="AE597" s="296"/>
      <c r="AF597" s="296"/>
      <c r="AG597" s="296"/>
      <c r="AH597" s="296"/>
      <c r="AI597" s="296"/>
      <c r="AJ597" s="296"/>
      <c r="AK597" s="296"/>
      <c r="AL597" s="296"/>
      <c r="AM597" s="296"/>
      <c r="AN597" s="296"/>
      <c r="AO597" s="296"/>
      <c r="AP597" s="41"/>
      <c r="AQ597" s="86"/>
      <c r="AR597" s="86"/>
      <c r="AS597" s="86"/>
    </row>
    <row r="598" spans="2:45" ht="18" customHeight="1" thickBot="1" x14ac:dyDescent="0.2">
      <c r="B598" s="42">
        <v>36</v>
      </c>
      <c r="C598" s="86"/>
      <c r="D598" s="86"/>
      <c r="E598" s="95" t="s">
        <v>74</v>
      </c>
      <c r="F598" s="80"/>
      <c r="G598" s="93"/>
      <c r="H598" s="80"/>
      <c r="I598" s="259"/>
      <c r="J598" s="366" t="str">
        <f>IFERROR(VLOOKUP($F598,補助対象機器一覧20220831!$A$2:$K$200,2,FALSE),"")</f>
        <v/>
      </c>
      <c r="K598" s="367"/>
      <c r="L598" s="368"/>
      <c r="M598" s="248"/>
      <c r="N598" s="366" t="str">
        <f>IFERROR(VLOOKUP($F598,補助対象機器一覧20220831!$A$2:$K$200,7,FALSE),"")</f>
        <v/>
      </c>
      <c r="O598" s="367"/>
      <c r="P598" s="368"/>
      <c r="Q598" s="248"/>
      <c r="R598" s="366" t="str">
        <f>IFERROR(VLOOKUP($F598,補助対象機器一覧20220831!$A$2:$K$200,8,FALSE),"")</f>
        <v/>
      </c>
      <c r="S598" s="367"/>
      <c r="T598" s="368"/>
      <c r="U598" s="248"/>
      <c r="V598" s="244" t="str">
        <f>IFERROR(VLOOKUP($F598,補助対象機器一覧20220831!$A$2:$K$200,9,FALSE),"")</f>
        <v/>
      </c>
      <c r="W598" s="86"/>
      <c r="X598" s="402" t="str">
        <f>IF($B598&lt;=入力シート!$F$85,""&amp;中間シート!X621,"")</f>
        <v/>
      </c>
      <c r="Y598" s="402"/>
      <c r="Z598" s="402"/>
      <c r="AA598" s="402"/>
      <c r="AB598" s="402"/>
      <c r="AC598" s="402"/>
      <c r="AD598" s="402"/>
      <c r="AE598" s="402"/>
      <c r="AF598" s="402"/>
      <c r="AG598" s="402"/>
      <c r="AH598" s="402"/>
      <c r="AI598" s="402"/>
      <c r="AJ598" s="402"/>
      <c r="AK598" s="402"/>
      <c r="AL598" s="402"/>
      <c r="AM598" s="402"/>
      <c r="AN598" s="402"/>
      <c r="AO598" s="402"/>
      <c r="AP598" s="41"/>
      <c r="AQ598" s="81">
        <f>IF(J598&lt;&gt;"",1,IF(H598="なし",2,0))</f>
        <v>0</v>
      </c>
      <c r="AR598" s="86"/>
      <c r="AS598" s="86"/>
    </row>
    <row r="599" spans="2:45" ht="5.0999999999999996" customHeight="1" thickBot="1" x14ac:dyDescent="0.2">
      <c r="C599" s="86"/>
      <c r="D599" s="86"/>
      <c r="E599" s="95"/>
      <c r="F599" s="247"/>
      <c r="G599" s="93"/>
      <c r="H599" s="93"/>
      <c r="I599" s="259"/>
      <c r="J599" s="247"/>
      <c r="K599" s="247"/>
      <c r="L599" s="247"/>
      <c r="M599" s="248"/>
      <c r="N599" s="247"/>
      <c r="O599" s="247"/>
      <c r="P599" s="247"/>
      <c r="Q599" s="248"/>
      <c r="R599" s="247"/>
      <c r="S599" s="247"/>
      <c r="T599" s="247"/>
      <c r="U599" s="248"/>
      <c r="V599" s="247"/>
      <c r="W599" s="86"/>
      <c r="X599" s="402"/>
      <c r="Y599" s="402"/>
      <c r="Z599" s="402"/>
      <c r="AA599" s="402"/>
      <c r="AB599" s="402"/>
      <c r="AC599" s="402"/>
      <c r="AD599" s="402"/>
      <c r="AE599" s="402"/>
      <c r="AF599" s="402"/>
      <c r="AG599" s="402"/>
      <c r="AH599" s="402"/>
      <c r="AI599" s="402"/>
      <c r="AJ599" s="402"/>
      <c r="AK599" s="402"/>
      <c r="AL599" s="402"/>
      <c r="AM599" s="402"/>
      <c r="AN599" s="402"/>
      <c r="AO599" s="402"/>
      <c r="AP599" s="41"/>
      <c r="AQ599" s="86"/>
      <c r="AR599" s="86"/>
      <c r="AS599" s="86"/>
    </row>
    <row r="600" spans="2:45" ht="18" customHeight="1" thickBot="1" x14ac:dyDescent="0.2">
      <c r="B600" s="42">
        <v>36</v>
      </c>
      <c r="C600" s="86"/>
      <c r="D600" s="86"/>
      <c r="E600" s="93"/>
      <c r="F600" s="247"/>
      <c r="G600" s="93"/>
      <c r="H600" s="93"/>
      <c r="I600" s="260" t="str">
        <f>IF(AQ598=2,"入力してください→",IF(AQ598=1,"入力不要です→",""))</f>
        <v/>
      </c>
      <c r="J600" s="387"/>
      <c r="K600" s="388"/>
      <c r="L600" s="389"/>
      <c r="M600" s="248"/>
      <c r="N600" s="387"/>
      <c r="O600" s="388"/>
      <c r="P600" s="389"/>
      <c r="Q600" s="248"/>
      <c r="R600" s="387"/>
      <c r="S600" s="388"/>
      <c r="T600" s="389"/>
      <c r="U600" s="248"/>
      <c r="V600" s="249"/>
      <c r="W600" s="86"/>
      <c r="X600" s="402"/>
      <c r="Y600" s="402"/>
      <c r="Z600" s="402"/>
      <c r="AA600" s="402"/>
      <c r="AB600" s="402"/>
      <c r="AC600" s="402"/>
      <c r="AD600" s="402"/>
      <c r="AE600" s="402"/>
      <c r="AF600" s="402"/>
      <c r="AG600" s="402"/>
      <c r="AH600" s="402"/>
      <c r="AI600" s="402"/>
      <c r="AJ600" s="402"/>
      <c r="AK600" s="402"/>
      <c r="AL600" s="402"/>
      <c r="AM600" s="402"/>
      <c r="AN600" s="402"/>
      <c r="AO600" s="402"/>
      <c r="AP600" s="41"/>
      <c r="AQ600" s="86"/>
      <c r="AR600" s="86"/>
      <c r="AS600" s="86"/>
    </row>
    <row r="601" spans="2:45" x14ac:dyDescent="0.15">
      <c r="C601" s="86"/>
      <c r="D601" s="86"/>
      <c r="E601" s="93"/>
      <c r="F601" s="247"/>
      <c r="G601" s="93"/>
      <c r="H601" s="93"/>
      <c r="I601" s="258"/>
      <c r="J601" s="248"/>
      <c r="K601" s="248"/>
      <c r="L601" s="248"/>
      <c r="M601" s="248"/>
      <c r="N601" s="248"/>
      <c r="O601" s="248"/>
      <c r="P601" s="248"/>
      <c r="Q601" s="248"/>
      <c r="R601" s="248"/>
      <c r="S601" s="248"/>
      <c r="T601" s="248"/>
      <c r="U601" s="248"/>
      <c r="V601" s="248"/>
      <c r="W601" s="86"/>
      <c r="X601" s="296" t="s">
        <v>212</v>
      </c>
      <c r="Y601" s="296"/>
      <c r="Z601" s="296"/>
      <c r="AA601" s="296"/>
      <c r="AB601" s="296"/>
      <c r="AC601" s="296"/>
      <c r="AD601" s="296"/>
      <c r="AE601" s="296"/>
      <c r="AF601" s="296"/>
      <c r="AG601" s="296"/>
      <c r="AH601" s="296"/>
      <c r="AI601" s="296"/>
      <c r="AJ601" s="296"/>
      <c r="AK601" s="296"/>
      <c r="AL601" s="296"/>
      <c r="AM601" s="296"/>
      <c r="AN601" s="296"/>
      <c r="AO601" s="296"/>
      <c r="AQ601" s="86"/>
      <c r="AR601" s="86"/>
      <c r="AS601" s="86"/>
    </row>
    <row r="602" spans="2:45" ht="14.25" thickBot="1" x14ac:dyDescent="0.2">
      <c r="C602" s="46"/>
      <c r="D602" s="46"/>
      <c r="E602" s="47"/>
      <c r="F602" s="246"/>
      <c r="G602" s="47"/>
      <c r="H602" s="47"/>
      <c r="I602" s="257"/>
      <c r="J602" s="245"/>
      <c r="K602" s="245"/>
      <c r="L602" s="245"/>
      <c r="M602" s="245"/>
      <c r="N602" s="245"/>
      <c r="O602" s="245"/>
      <c r="P602" s="245"/>
      <c r="Q602" s="245"/>
      <c r="R602" s="245"/>
      <c r="S602" s="245"/>
      <c r="T602" s="245"/>
      <c r="U602" s="245"/>
      <c r="V602" s="245"/>
      <c r="W602" s="46"/>
      <c r="X602" s="296" t="s">
        <v>212</v>
      </c>
      <c r="Y602" s="296"/>
      <c r="Z602" s="296"/>
      <c r="AA602" s="296"/>
      <c r="AB602" s="296"/>
      <c r="AC602" s="296"/>
      <c r="AD602" s="296"/>
      <c r="AE602" s="296"/>
      <c r="AF602" s="296"/>
      <c r="AG602" s="296"/>
      <c r="AH602" s="296"/>
      <c r="AI602" s="296"/>
      <c r="AJ602" s="296"/>
      <c r="AK602" s="296"/>
      <c r="AL602" s="296"/>
      <c r="AM602" s="296"/>
      <c r="AN602" s="296"/>
      <c r="AO602" s="296"/>
      <c r="AQ602" s="86"/>
      <c r="AR602" s="86"/>
      <c r="AS602" s="86"/>
    </row>
    <row r="603" spans="2:45" ht="18" customHeight="1" thickBot="1" x14ac:dyDescent="0.2">
      <c r="B603" s="42">
        <v>37</v>
      </c>
      <c r="C603" s="46"/>
      <c r="D603" s="82" t="s">
        <v>192</v>
      </c>
      <c r="E603" s="48" t="s">
        <v>72</v>
      </c>
      <c r="F603" s="80"/>
      <c r="G603" s="46"/>
      <c r="H603" s="109"/>
      <c r="I603" s="255"/>
      <c r="J603" s="366" t="str">
        <f>IFERROR(VLOOKUP($F603,補助対象機器一覧20220831!$A$2:$K$200,2,FALSE),"")</f>
        <v/>
      </c>
      <c r="K603" s="367"/>
      <c r="L603" s="368"/>
      <c r="M603" s="245"/>
      <c r="N603" s="366" t="str">
        <f>IFERROR(VLOOKUP($F603,補助対象機器一覧20220831!$A$2:$K$200,7,FALSE),"")</f>
        <v/>
      </c>
      <c r="O603" s="367"/>
      <c r="P603" s="368"/>
      <c r="Q603" s="245"/>
      <c r="R603" s="366" t="str">
        <f>IFERROR(VLOOKUP($F603,補助対象機器一覧20220831!$A$2:$K$200,8,FALSE),"")</f>
        <v/>
      </c>
      <c r="S603" s="367"/>
      <c r="T603" s="368"/>
      <c r="U603" s="245"/>
      <c r="V603" s="244" t="str">
        <f>IFERROR(VLOOKUP($F603,補助対象機器一覧20220831!$A$2:$K$200,9,FALSE),"")</f>
        <v/>
      </c>
      <c r="W603" s="46"/>
      <c r="X603" s="402" t="str">
        <f>IF($B603&lt;=入力シート!$F$85,""&amp;中間シート!X622,"")</f>
        <v/>
      </c>
      <c r="Y603" s="402"/>
      <c r="Z603" s="402"/>
      <c r="AA603" s="402"/>
      <c r="AB603" s="402"/>
      <c r="AC603" s="402"/>
      <c r="AD603" s="402"/>
      <c r="AE603" s="402"/>
      <c r="AF603" s="402"/>
      <c r="AG603" s="402"/>
      <c r="AH603" s="402"/>
      <c r="AI603" s="402"/>
      <c r="AJ603" s="402"/>
      <c r="AK603" s="402"/>
      <c r="AL603" s="402"/>
      <c r="AM603" s="402"/>
      <c r="AN603" s="402"/>
      <c r="AO603" s="402"/>
      <c r="AQ603" s="81">
        <f>IF(J603&lt;&gt;"",1,IF(H603="なし",2,0))</f>
        <v>0</v>
      </c>
      <c r="AR603" s="86"/>
      <c r="AS603" s="86"/>
    </row>
    <row r="604" spans="2:45" ht="5.0999999999999996" customHeight="1" thickBot="1" x14ac:dyDescent="0.2">
      <c r="C604" s="46"/>
      <c r="D604" s="46"/>
      <c r="E604" s="48"/>
      <c r="F604" s="245"/>
      <c r="G604" s="46"/>
      <c r="H604" s="46"/>
      <c r="I604" s="255"/>
      <c r="J604" s="245"/>
      <c r="K604" s="245"/>
      <c r="L604" s="245"/>
      <c r="M604" s="245"/>
      <c r="N604" s="245"/>
      <c r="O604" s="245"/>
      <c r="P604" s="245"/>
      <c r="Q604" s="245"/>
      <c r="R604" s="245"/>
      <c r="S604" s="245"/>
      <c r="T604" s="245"/>
      <c r="U604" s="245"/>
      <c r="V604" s="245"/>
      <c r="W604" s="46"/>
      <c r="X604" s="402"/>
      <c r="Y604" s="402"/>
      <c r="Z604" s="402"/>
      <c r="AA604" s="402"/>
      <c r="AB604" s="402"/>
      <c r="AC604" s="402"/>
      <c r="AD604" s="402"/>
      <c r="AE604" s="402"/>
      <c r="AF604" s="402"/>
      <c r="AG604" s="402"/>
      <c r="AH604" s="402"/>
      <c r="AI604" s="402"/>
      <c r="AJ604" s="402"/>
      <c r="AK604" s="402"/>
      <c r="AL604" s="402"/>
      <c r="AM604" s="402"/>
      <c r="AN604" s="402"/>
      <c r="AO604" s="402"/>
      <c r="AP604" s="41"/>
      <c r="AQ604" s="86"/>
      <c r="AR604" s="86"/>
      <c r="AS604" s="86"/>
    </row>
    <row r="605" spans="2:45" ht="18" customHeight="1" thickBot="1" x14ac:dyDescent="0.2">
      <c r="B605" s="42">
        <v>37</v>
      </c>
      <c r="C605" s="46"/>
      <c r="D605" s="82"/>
      <c r="E605" s="48"/>
      <c r="F605" s="246"/>
      <c r="G605" s="46"/>
      <c r="H605" s="46"/>
      <c r="I605" s="261" t="str">
        <f>IF(AQ603=2,"入力してください→",IF(AQ603=1,"入力不要です→",""))</f>
        <v/>
      </c>
      <c r="J605" s="387"/>
      <c r="K605" s="388"/>
      <c r="L605" s="389"/>
      <c r="M605" s="245"/>
      <c r="N605" s="387"/>
      <c r="O605" s="388"/>
      <c r="P605" s="389"/>
      <c r="Q605" s="245"/>
      <c r="R605" s="387"/>
      <c r="S605" s="388"/>
      <c r="T605" s="389"/>
      <c r="U605" s="245"/>
      <c r="V605" s="249"/>
      <c r="W605" s="46"/>
      <c r="X605" s="402"/>
      <c r="Y605" s="402"/>
      <c r="Z605" s="402"/>
      <c r="AA605" s="402"/>
      <c r="AB605" s="402"/>
      <c r="AC605" s="402"/>
      <c r="AD605" s="402"/>
      <c r="AE605" s="402"/>
      <c r="AF605" s="402"/>
      <c r="AG605" s="402"/>
      <c r="AH605" s="402"/>
      <c r="AI605" s="402"/>
      <c r="AJ605" s="402"/>
      <c r="AK605" s="402"/>
      <c r="AL605" s="402"/>
      <c r="AM605" s="402"/>
      <c r="AN605" s="402"/>
      <c r="AO605" s="402"/>
      <c r="AP605" s="41"/>
      <c r="AQ605" s="86"/>
      <c r="AR605" s="86"/>
      <c r="AS605" s="86"/>
    </row>
    <row r="606" spans="2:45" ht="5.0999999999999996" customHeight="1" thickBot="1" x14ac:dyDescent="0.2">
      <c r="C606" s="46"/>
      <c r="D606" s="46"/>
      <c r="E606" s="48"/>
      <c r="F606" s="245"/>
      <c r="G606" s="47"/>
      <c r="H606" s="47"/>
      <c r="I606" s="255"/>
      <c r="J606" s="245"/>
      <c r="K606" s="245"/>
      <c r="L606" s="245"/>
      <c r="M606" s="245"/>
      <c r="N606" s="245"/>
      <c r="O606" s="245"/>
      <c r="P606" s="245"/>
      <c r="Q606" s="245"/>
      <c r="R606" s="245"/>
      <c r="S606" s="245"/>
      <c r="T606" s="245"/>
      <c r="U606" s="245"/>
      <c r="V606" s="245"/>
      <c r="W606" s="46"/>
      <c r="X606" s="296" t="s">
        <v>212</v>
      </c>
      <c r="Y606" s="296"/>
      <c r="Z606" s="296"/>
      <c r="AA606" s="296"/>
      <c r="AB606" s="296"/>
      <c r="AC606" s="296"/>
      <c r="AD606" s="296"/>
      <c r="AE606" s="296"/>
      <c r="AF606" s="296"/>
      <c r="AG606" s="296"/>
      <c r="AH606" s="296"/>
      <c r="AI606" s="296"/>
      <c r="AJ606" s="296"/>
      <c r="AK606" s="296"/>
      <c r="AL606" s="296"/>
      <c r="AM606" s="296"/>
      <c r="AN606" s="296"/>
      <c r="AO606" s="296"/>
      <c r="AP606" s="41"/>
      <c r="AQ606" s="86"/>
      <c r="AR606" s="86"/>
      <c r="AS606" s="86"/>
    </row>
    <row r="607" spans="2:45" ht="18" customHeight="1" thickBot="1" x14ac:dyDescent="0.2">
      <c r="B607" s="42">
        <v>37</v>
      </c>
      <c r="C607" s="46"/>
      <c r="D607" s="46"/>
      <c r="E607" s="48" t="s">
        <v>73</v>
      </c>
      <c r="F607" s="80"/>
      <c r="G607" s="47"/>
      <c r="H607" s="109"/>
      <c r="I607" s="255"/>
      <c r="J607" s="366" t="str">
        <f>IFERROR(VLOOKUP($F607,補助対象機器一覧20220831!$A$2:$K$200,2,FALSE),"")</f>
        <v/>
      </c>
      <c r="K607" s="367"/>
      <c r="L607" s="368"/>
      <c r="M607" s="245"/>
      <c r="N607" s="366" t="str">
        <f>IFERROR(VLOOKUP($F607,補助対象機器一覧20220831!$A$2:$K$200,7,FALSE),"")</f>
        <v/>
      </c>
      <c r="O607" s="367"/>
      <c r="P607" s="368"/>
      <c r="Q607" s="245"/>
      <c r="R607" s="366" t="str">
        <f>IFERROR(VLOOKUP($F607,補助対象機器一覧20220831!$A$2:$K$200,8,FALSE),"")</f>
        <v/>
      </c>
      <c r="S607" s="367"/>
      <c r="T607" s="368"/>
      <c r="U607" s="245"/>
      <c r="V607" s="244" t="str">
        <f>IFERROR(VLOOKUP($F607,補助対象機器一覧20220831!$A$2:$K$200,9,FALSE),"")</f>
        <v/>
      </c>
      <c r="W607" s="46"/>
      <c r="X607" s="402" t="str">
        <f>IF($B607&lt;=入力シート!$F$85,""&amp;中間シート!X623,"")</f>
        <v/>
      </c>
      <c r="Y607" s="402"/>
      <c r="Z607" s="402"/>
      <c r="AA607" s="402"/>
      <c r="AB607" s="402"/>
      <c r="AC607" s="402"/>
      <c r="AD607" s="402"/>
      <c r="AE607" s="402"/>
      <c r="AF607" s="402"/>
      <c r="AG607" s="402"/>
      <c r="AH607" s="402"/>
      <c r="AI607" s="402"/>
      <c r="AJ607" s="402"/>
      <c r="AK607" s="402"/>
      <c r="AL607" s="402"/>
      <c r="AM607" s="402"/>
      <c r="AN607" s="402"/>
      <c r="AO607" s="402"/>
      <c r="AP607" s="41"/>
      <c r="AQ607" s="81">
        <f>IF(J607&lt;&gt;"",1,IF(H607="なし",2,0))</f>
        <v>0</v>
      </c>
      <c r="AR607" s="86"/>
      <c r="AS607" s="86"/>
    </row>
    <row r="608" spans="2:45" ht="5.0999999999999996" customHeight="1" thickBot="1" x14ac:dyDescent="0.2">
      <c r="C608" s="46"/>
      <c r="D608" s="46"/>
      <c r="E608" s="48"/>
      <c r="F608" s="246"/>
      <c r="G608" s="47"/>
      <c r="H608" s="47"/>
      <c r="I608" s="255"/>
      <c r="J608" s="246"/>
      <c r="K608" s="246"/>
      <c r="L608" s="246"/>
      <c r="M608" s="245"/>
      <c r="N608" s="246"/>
      <c r="O608" s="246"/>
      <c r="P608" s="246"/>
      <c r="Q608" s="245"/>
      <c r="R608" s="246"/>
      <c r="S608" s="246"/>
      <c r="T608" s="246"/>
      <c r="U608" s="245"/>
      <c r="V608" s="246"/>
      <c r="W608" s="46"/>
      <c r="X608" s="402"/>
      <c r="Y608" s="402"/>
      <c r="Z608" s="402"/>
      <c r="AA608" s="402"/>
      <c r="AB608" s="402"/>
      <c r="AC608" s="402"/>
      <c r="AD608" s="402"/>
      <c r="AE608" s="402"/>
      <c r="AF608" s="402"/>
      <c r="AG608" s="402"/>
      <c r="AH608" s="402"/>
      <c r="AI608" s="402"/>
      <c r="AJ608" s="402"/>
      <c r="AK608" s="402"/>
      <c r="AL608" s="402"/>
      <c r="AM608" s="402"/>
      <c r="AN608" s="402"/>
      <c r="AO608" s="402"/>
      <c r="AP608" s="41"/>
      <c r="AQ608" s="86"/>
      <c r="AR608" s="86"/>
      <c r="AS608" s="86"/>
    </row>
    <row r="609" spans="2:45" ht="18" customHeight="1" thickBot="1" x14ac:dyDescent="0.2">
      <c r="B609" s="42">
        <v>37</v>
      </c>
      <c r="C609" s="46"/>
      <c r="D609" s="46"/>
      <c r="E609" s="48"/>
      <c r="F609" s="246"/>
      <c r="G609" s="47"/>
      <c r="H609" s="47"/>
      <c r="I609" s="261" t="str">
        <f>IF(AQ607=2,"入力してください→",IF(AQ607=1,"入力不要です→",""))</f>
        <v/>
      </c>
      <c r="J609" s="387"/>
      <c r="K609" s="388"/>
      <c r="L609" s="389"/>
      <c r="M609" s="245"/>
      <c r="N609" s="387"/>
      <c r="O609" s="388"/>
      <c r="P609" s="389"/>
      <c r="Q609" s="245"/>
      <c r="R609" s="387"/>
      <c r="S609" s="388"/>
      <c r="T609" s="389"/>
      <c r="U609" s="245"/>
      <c r="V609" s="249"/>
      <c r="W609" s="46"/>
      <c r="X609" s="402"/>
      <c r="Y609" s="402"/>
      <c r="Z609" s="402"/>
      <c r="AA609" s="402"/>
      <c r="AB609" s="402"/>
      <c r="AC609" s="402"/>
      <c r="AD609" s="402"/>
      <c r="AE609" s="402"/>
      <c r="AF609" s="402"/>
      <c r="AG609" s="402"/>
      <c r="AH609" s="402"/>
      <c r="AI609" s="402"/>
      <c r="AJ609" s="402"/>
      <c r="AK609" s="402"/>
      <c r="AL609" s="402"/>
      <c r="AM609" s="402"/>
      <c r="AN609" s="402"/>
      <c r="AO609" s="402"/>
      <c r="AP609" s="41"/>
      <c r="AQ609" s="86"/>
      <c r="AR609" s="86"/>
      <c r="AS609" s="86"/>
    </row>
    <row r="610" spans="2:45" ht="5.0999999999999996" customHeight="1" thickBot="1" x14ac:dyDescent="0.2">
      <c r="C610" s="46"/>
      <c r="D610" s="46"/>
      <c r="E610" s="48"/>
      <c r="F610" s="246"/>
      <c r="G610" s="47"/>
      <c r="H610" s="47"/>
      <c r="I610" s="255"/>
      <c r="J610" s="246"/>
      <c r="K610" s="246"/>
      <c r="L610" s="246"/>
      <c r="M610" s="245"/>
      <c r="N610" s="246"/>
      <c r="O610" s="246"/>
      <c r="P610" s="246"/>
      <c r="Q610" s="245"/>
      <c r="R610" s="246"/>
      <c r="S610" s="246"/>
      <c r="T610" s="246"/>
      <c r="U610" s="245"/>
      <c r="V610" s="246"/>
      <c r="W610" s="46"/>
      <c r="X610" s="296" t="s">
        <v>212</v>
      </c>
      <c r="Y610" s="296"/>
      <c r="Z610" s="296"/>
      <c r="AA610" s="296"/>
      <c r="AB610" s="296"/>
      <c r="AC610" s="296"/>
      <c r="AD610" s="296"/>
      <c r="AE610" s="296"/>
      <c r="AF610" s="296"/>
      <c r="AG610" s="296"/>
      <c r="AH610" s="296"/>
      <c r="AI610" s="296"/>
      <c r="AJ610" s="296"/>
      <c r="AK610" s="296"/>
      <c r="AL610" s="296"/>
      <c r="AM610" s="296"/>
      <c r="AN610" s="296"/>
      <c r="AO610" s="296"/>
      <c r="AP610" s="41"/>
      <c r="AQ610" s="86"/>
      <c r="AR610" s="86"/>
      <c r="AS610" s="86"/>
    </row>
    <row r="611" spans="2:45" ht="18" customHeight="1" thickBot="1" x14ac:dyDescent="0.2">
      <c r="B611" s="42">
        <v>37</v>
      </c>
      <c r="C611" s="46"/>
      <c r="D611" s="46"/>
      <c r="E611" s="48" t="s">
        <v>74</v>
      </c>
      <c r="F611" s="80"/>
      <c r="G611" s="47"/>
      <c r="H611" s="109"/>
      <c r="I611" s="255"/>
      <c r="J611" s="366" t="str">
        <f>IFERROR(VLOOKUP($F611,補助対象機器一覧20220831!$A$2:$K$200,2,FALSE),"")</f>
        <v/>
      </c>
      <c r="K611" s="367"/>
      <c r="L611" s="368"/>
      <c r="M611" s="245"/>
      <c r="N611" s="366" t="str">
        <f>IFERROR(VLOOKUP($F611,補助対象機器一覧20220831!$A$2:$K$200,7,FALSE),"")</f>
        <v/>
      </c>
      <c r="O611" s="367"/>
      <c r="P611" s="368"/>
      <c r="Q611" s="245"/>
      <c r="R611" s="366" t="str">
        <f>IFERROR(VLOOKUP($F611,補助対象機器一覧20220831!$A$2:$K$200,8,FALSE),"")</f>
        <v/>
      </c>
      <c r="S611" s="367"/>
      <c r="T611" s="368"/>
      <c r="U611" s="245"/>
      <c r="V611" s="244" t="str">
        <f>IFERROR(VLOOKUP($F611,補助対象機器一覧20220831!$A$2:$K$200,9,FALSE),"")</f>
        <v/>
      </c>
      <c r="W611" s="46"/>
      <c r="X611" s="402" t="str">
        <f>IF($B611&lt;=入力シート!$F$85,""&amp;中間シート!X624,"")</f>
        <v/>
      </c>
      <c r="Y611" s="402"/>
      <c r="Z611" s="402"/>
      <c r="AA611" s="402"/>
      <c r="AB611" s="402"/>
      <c r="AC611" s="402"/>
      <c r="AD611" s="402"/>
      <c r="AE611" s="402"/>
      <c r="AF611" s="402"/>
      <c r="AG611" s="402"/>
      <c r="AH611" s="402"/>
      <c r="AI611" s="402"/>
      <c r="AJ611" s="402"/>
      <c r="AK611" s="402"/>
      <c r="AL611" s="402"/>
      <c r="AM611" s="402"/>
      <c r="AN611" s="402"/>
      <c r="AO611" s="402"/>
      <c r="AP611" s="41"/>
      <c r="AQ611" s="81">
        <f>IF(J611&lt;&gt;"",1,IF(H611="なし",2,0))</f>
        <v>0</v>
      </c>
      <c r="AR611" s="86"/>
      <c r="AS611" s="86"/>
    </row>
    <row r="612" spans="2:45" ht="5.0999999999999996" customHeight="1" thickBot="1" x14ac:dyDescent="0.2">
      <c r="C612" s="46"/>
      <c r="D612" s="46"/>
      <c r="E612" s="48"/>
      <c r="F612" s="246"/>
      <c r="G612" s="47"/>
      <c r="H612" s="47"/>
      <c r="I612" s="255"/>
      <c r="J612" s="246"/>
      <c r="K612" s="246"/>
      <c r="L612" s="246"/>
      <c r="M612" s="245"/>
      <c r="N612" s="246"/>
      <c r="O612" s="246"/>
      <c r="P612" s="246"/>
      <c r="Q612" s="245"/>
      <c r="R612" s="246"/>
      <c r="S612" s="246"/>
      <c r="T612" s="246"/>
      <c r="U612" s="245"/>
      <c r="V612" s="246"/>
      <c r="W612" s="46"/>
      <c r="X612" s="402"/>
      <c r="Y612" s="402"/>
      <c r="Z612" s="402"/>
      <c r="AA612" s="402"/>
      <c r="AB612" s="402"/>
      <c r="AC612" s="402"/>
      <c r="AD612" s="402"/>
      <c r="AE612" s="402"/>
      <c r="AF612" s="402"/>
      <c r="AG612" s="402"/>
      <c r="AH612" s="402"/>
      <c r="AI612" s="402"/>
      <c r="AJ612" s="402"/>
      <c r="AK612" s="402"/>
      <c r="AL612" s="402"/>
      <c r="AM612" s="402"/>
      <c r="AN612" s="402"/>
      <c r="AO612" s="402"/>
      <c r="AP612" s="41"/>
      <c r="AQ612" s="86"/>
      <c r="AR612" s="86"/>
      <c r="AS612" s="86"/>
    </row>
    <row r="613" spans="2:45" ht="18" customHeight="1" thickBot="1" x14ac:dyDescent="0.2">
      <c r="B613" s="42">
        <v>37</v>
      </c>
      <c r="C613" s="46"/>
      <c r="D613" s="46"/>
      <c r="E613" s="47"/>
      <c r="F613" s="246"/>
      <c r="G613" s="47"/>
      <c r="H613" s="47"/>
      <c r="I613" s="261" t="str">
        <f>IF(AQ611=2,"入力してください→",IF(AQ611=1,"入力不要です→",""))</f>
        <v/>
      </c>
      <c r="J613" s="387"/>
      <c r="K613" s="388"/>
      <c r="L613" s="389"/>
      <c r="M613" s="245"/>
      <c r="N613" s="387"/>
      <c r="O613" s="388"/>
      <c r="P613" s="389"/>
      <c r="Q613" s="245"/>
      <c r="R613" s="387"/>
      <c r="S613" s="388"/>
      <c r="T613" s="389"/>
      <c r="U613" s="245"/>
      <c r="V613" s="249"/>
      <c r="W613" s="46"/>
      <c r="X613" s="402"/>
      <c r="Y613" s="402"/>
      <c r="Z613" s="402"/>
      <c r="AA613" s="402"/>
      <c r="AB613" s="402"/>
      <c r="AC613" s="402"/>
      <c r="AD613" s="402"/>
      <c r="AE613" s="402"/>
      <c r="AF613" s="402"/>
      <c r="AG613" s="402"/>
      <c r="AH613" s="402"/>
      <c r="AI613" s="402"/>
      <c r="AJ613" s="402"/>
      <c r="AK613" s="402"/>
      <c r="AL613" s="402"/>
      <c r="AM613" s="402"/>
      <c r="AN613" s="402"/>
      <c r="AO613" s="402"/>
      <c r="AP613" s="41"/>
      <c r="AQ613" s="86"/>
      <c r="AR613" s="86"/>
      <c r="AS613" s="86"/>
    </row>
    <row r="614" spans="2:45" x14ac:dyDescent="0.15">
      <c r="C614" s="46"/>
      <c r="D614" s="46"/>
      <c r="E614" s="47"/>
      <c r="F614" s="246"/>
      <c r="G614" s="47"/>
      <c r="H614" s="47"/>
      <c r="I614" s="257"/>
      <c r="J614" s="245"/>
      <c r="K614" s="245"/>
      <c r="L614" s="245"/>
      <c r="M614" s="245"/>
      <c r="N614" s="245"/>
      <c r="O614" s="245"/>
      <c r="P614" s="245"/>
      <c r="Q614" s="245"/>
      <c r="R614" s="245"/>
      <c r="S614" s="245"/>
      <c r="T614" s="245"/>
      <c r="U614" s="245"/>
      <c r="V614" s="245"/>
      <c r="W614" s="46"/>
      <c r="X614" s="296" t="s">
        <v>212</v>
      </c>
      <c r="Y614" s="296"/>
      <c r="Z614" s="296"/>
      <c r="AA614" s="296"/>
      <c r="AB614" s="296"/>
      <c r="AC614" s="296"/>
      <c r="AD614" s="296"/>
      <c r="AE614" s="296"/>
      <c r="AF614" s="296"/>
      <c r="AG614" s="296"/>
      <c r="AH614" s="296"/>
      <c r="AI614" s="296"/>
      <c r="AJ614" s="296"/>
      <c r="AK614" s="296"/>
      <c r="AL614" s="296"/>
      <c r="AM614" s="296"/>
      <c r="AN614" s="296"/>
      <c r="AO614" s="296"/>
      <c r="AQ614" s="86"/>
      <c r="AR614" s="86"/>
      <c r="AS614" s="86"/>
    </row>
    <row r="615" spans="2:45" ht="14.25" thickBot="1" x14ac:dyDescent="0.2">
      <c r="C615" s="86"/>
      <c r="D615" s="86"/>
      <c r="E615" s="93"/>
      <c r="F615" s="247"/>
      <c r="G615" s="93"/>
      <c r="H615" s="93"/>
      <c r="I615" s="258"/>
      <c r="J615" s="248"/>
      <c r="K615" s="248"/>
      <c r="L615" s="248"/>
      <c r="M615" s="248"/>
      <c r="N615" s="248"/>
      <c r="O615" s="248"/>
      <c r="P615" s="248"/>
      <c r="Q615" s="248"/>
      <c r="R615" s="248"/>
      <c r="S615" s="248"/>
      <c r="T615" s="248"/>
      <c r="U615" s="248"/>
      <c r="V615" s="248"/>
      <c r="W615" s="86"/>
      <c r="X615" s="296" t="s">
        <v>212</v>
      </c>
      <c r="Y615" s="296"/>
      <c r="Z615" s="296"/>
      <c r="AA615" s="296"/>
      <c r="AB615" s="296"/>
      <c r="AC615" s="296"/>
      <c r="AD615" s="296"/>
      <c r="AE615" s="296"/>
      <c r="AF615" s="296"/>
      <c r="AG615" s="296"/>
      <c r="AH615" s="296"/>
      <c r="AI615" s="296"/>
      <c r="AJ615" s="296"/>
      <c r="AK615" s="296"/>
      <c r="AL615" s="296"/>
      <c r="AM615" s="296"/>
      <c r="AN615" s="296"/>
      <c r="AO615" s="296"/>
      <c r="AQ615" s="86"/>
      <c r="AR615" s="86"/>
      <c r="AS615" s="86"/>
    </row>
    <row r="616" spans="2:45" ht="18" customHeight="1" thickBot="1" x14ac:dyDescent="0.2">
      <c r="B616" s="42">
        <v>38</v>
      </c>
      <c r="C616" s="86"/>
      <c r="D616" s="94" t="s">
        <v>193</v>
      </c>
      <c r="E616" s="95" t="s">
        <v>72</v>
      </c>
      <c r="F616" s="80"/>
      <c r="G616" s="86"/>
      <c r="H616" s="80"/>
      <c r="I616" s="259"/>
      <c r="J616" s="366" t="str">
        <f>IFERROR(VLOOKUP($F616,補助対象機器一覧20220831!$A$2:$K$200,2,FALSE),"")</f>
        <v/>
      </c>
      <c r="K616" s="367"/>
      <c r="L616" s="368"/>
      <c r="M616" s="248"/>
      <c r="N616" s="366" t="str">
        <f>IFERROR(VLOOKUP($F616,補助対象機器一覧20220831!$A$2:$K$200,7,FALSE),"")</f>
        <v/>
      </c>
      <c r="O616" s="367"/>
      <c r="P616" s="368"/>
      <c r="Q616" s="248"/>
      <c r="R616" s="366" t="str">
        <f>IFERROR(VLOOKUP($F616,補助対象機器一覧20220831!$A$2:$K$200,8,FALSE),"")</f>
        <v/>
      </c>
      <c r="S616" s="367"/>
      <c r="T616" s="368"/>
      <c r="U616" s="248"/>
      <c r="V616" s="244" t="str">
        <f>IFERROR(VLOOKUP($F616,補助対象機器一覧20220831!$A$2:$K$200,9,FALSE),"")</f>
        <v/>
      </c>
      <c r="W616" s="86"/>
      <c r="X616" s="402" t="str">
        <f>IF($B616&lt;=入力シート!$F$85,""&amp;中間シート!X625,"")</f>
        <v/>
      </c>
      <c r="Y616" s="402"/>
      <c r="Z616" s="402"/>
      <c r="AA616" s="402"/>
      <c r="AB616" s="402"/>
      <c r="AC616" s="402"/>
      <c r="AD616" s="402"/>
      <c r="AE616" s="402"/>
      <c r="AF616" s="402"/>
      <c r="AG616" s="402"/>
      <c r="AH616" s="402"/>
      <c r="AI616" s="402"/>
      <c r="AJ616" s="402"/>
      <c r="AK616" s="402"/>
      <c r="AL616" s="402"/>
      <c r="AM616" s="402"/>
      <c r="AN616" s="402"/>
      <c r="AO616" s="402"/>
      <c r="AQ616" s="81">
        <f>IF(J616&lt;&gt;"",1,IF(H616="なし",2,0))</f>
        <v>0</v>
      </c>
      <c r="AR616" s="86"/>
      <c r="AS616" s="86"/>
    </row>
    <row r="617" spans="2:45" ht="5.0999999999999996" customHeight="1" thickBot="1" x14ac:dyDescent="0.2">
      <c r="C617" s="86"/>
      <c r="D617" s="94"/>
      <c r="E617" s="95"/>
      <c r="F617" s="248"/>
      <c r="G617" s="86"/>
      <c r="H617" s="86"/>
      <c r="I617" s="259"/>
      <c r="J617" s="248"/>
      <c r="K617" s="248"/>
      <c r="L617" s="248"/>
      <c r="M617" s="248"/>
      <c r="N617" s="248"/>
      <c r="O617" s="248"/>
      <c r="P617" s="248"/>
      <c r="Q617" s="248"/>
      <c r="R617" s="248"/>
      <c r="S617" s="248"/>
      <c r="T617" s="248"/>
      <c r="U617" s="248"/>
      <c r="V617" s="248"/>
      <c r="W617" s="86"/>
      <c r="X617" s="402"/>
      <c r="Y617" s="402"/>
      <c r="Z617" s="402"/>
      <c r="AA617" s="402"/>
      <c r="AB617" s="402"/>
      <c r="AC617" s="402"/>
      <c r="AD617" s="402"/>
      <c r="AE617" s="402"/>
      <c r="AF617" s="402"/>
      <c r="AG617" s="402"/>
      <c r="AH617" s="402"/>
      <c r="AI617" s="402"/>
      <c r="AJ617" s="402"/>
      <c r="AK617" s="402"/>
      <c r="AL617" s="402"/>
      <c r="AM617" s="402"/>
      <c r="AN617" s="402"/>
      <c r="AO617" s="402"/>
      <c r="AP617" s="41"/>
      <c r="AQ617" s="86"/>
      <c r="AR617" s="86"/>
      <c r="AS617" s="86"/>
    </row>
    <row r="618" spans="2:45" ht="18" customHeight="1" thickBot="1" x14ac:dyDescent="0.2">
      <c r="B618" s="42">
        <v>38</v>
      </c>
      <c r="C618" s="86"/>
      <c r="D618" s="94"/>
      <c r="E618" s="95"/>
      <c r="F618" s="247"/>
      <c r="G618" s="86"/>
      <c r="H618" s="86"/>
      <c r="I618" s="260" t="str">
        <f>IF(AQ616=2,"入力してください→",IF(AQ616=1,"入力不要です→",""))</f>
        <v/>
      </c>
      <c r="J618" s="387"/>
      <c r="K618" s="388"/>
      <c r="L618" s="389"/>
      <c r="M618" s="248"/>
      <c r="N618" s="387"/>
      <c r="O618" s="388"/>
      <c r="P618" s="389"/>
      <c r="Q618" s="248"/>
      <c r="R618" s="387"/>
      <c r="S618" s="388"/>
      <c r="T618" s="389"/>
      <c r="U618" s="248"/>
      <c r="V618" s="249"/>
      <c r="W618" s="86"/>
      <c r="X618" s="402"/>
      <c r="Y618" s="402"/>
      <c r="Z618" s="402"/>
      <c r="AA618" s="402"/>
      <c r="AB618" s="402"/>
      <c r="AC618" s="402"/>
      <c r="AD618" s="402"/>
      <c r="AE618" s="402"/>
      <c r="AF618" s="402"/>
      <c r="AG618" s="402"/>
      <c r="AH618" s="402"/>
      <c r="AI618" s="402"/>
      <c r="AJ618" s="402"/>
      <c r="AK618" s="402"/>
      <c r="AL618" s="402"/>
      <c r="AM618" s="402"/>
      <c r="AN618" s="402"/>
      <c r="AO618" s="402"/>
      <c r="AP618" s="41"/>
      <c r="AQ618" s="86"/>
      <c r="AR618" s="86"/>
      <c r="AS618" s="86"/>
    </row>
    <row r="619" spans="2:45" ht="5.0999999999999996" customHeight="1" thickBot="1" x14ac:dyDescent="0.2">
      <c r="C619" s="86"/>
      <c r="D619" s="86"/>
      <c r="E619" s="93"/>
      <c r="F619" s="248"/>
      <c r="G619" s="93"/>
      <c r="H619" s="93"/>
      <c r="I619" s="259"/>
      <c r="J619" s="248"/>
      <c r="K619" s="248"/>
      <c r="L619" s="248"/>
      <c r="M619" s="248"/>
      <c r="N619" s="248"/>
      <c r="O619" s="248"/>
      <c r="P619" s="248"/>
      <c r="Q619" s="248"/>
      <c r="R619" s="248"/>
      <c r="S619" s="248"/>
      <c r="T619" s="248"/>
      <c r="U619" s="248"/>
      <c r="V619" s="248"/>
      <c r="W619" s="86"/>
      <c r="X619" s="296" t="s">
        <v>212</v>
      </c>
      <c r="Y619" s="296"/>
      <c r="Z619" s="296"/>
      <c r="AA619" s="296"/>
      <c r="AB619" s="296"/>
      <c r="AC619" s="296"/>
      <c r="AD619" s="296"/>
      <c r="AE619" s="296"/>
      <c r="AF619" s="296"/>
      <c r="AG619" s="296"/>
      <c r="AH619" s="296"/>
      <c r="AI619" s="296"/>
      <c r="AJ619" s="296"/>
      <c r="AK619" s="296"/>
      <c r="AL619" s="296"/>
      <c r="AM619" s="296"/>
      <c r="AN619" s="296"/>
      <c r="AO619" s="296"/>
      <c r="AP619" s="41"/>
      <c r="AQ619" s="86"/>
      <c r="AR619" s="86"/>
      <c r="AS619" s="86"/>
    </row>
    <row r="620" spans="2:45" ht="18" customHeight="1" thickBot="1" x14ac:dyDescent="0.2">
      <c r="B620" s="42">
        <v>38</v>
      </c>
      <c r="C620" s="86"/>
      <c r="D620" s="86"/>
      <c r="E620" s="95" t="s">
        <v>73</v>
      </c>
      <c r="F620" s="80"/>
      <c r="G620" s="93"/>
      <c r="H620" s="80"/>
      <c r="I620" s="259"/>
      <c r="J620" s="366" t="str">
        <f>IFERROR(VLOOKUP($F620,補助対象機器一覧20220831!$A$2:$K$200,2,FALSE),"")</f>
        <v/>
      </c>
      <c r="K620" s="367"/>
      <c r="L620" s="368"/>
      <c r="M620" s="248"/>
      <c r="N620" s="366" t="str">
        <f>IFERROR(VLOOKUP($F620,補助対象機器一覧20220831!$A$2:$K$200,7,FALSE),"")</f>
        <v/>
      </c>
      <c r="O620" s="367"/>
      <c r="P620" s="368"/>
      <c r="Q620" s="248"/>
      <c r="R620" s="366" t="str">
        <f>IFERROR(VLOOKUP($F620,補助対象機器一覧20220831!$A$2:$K$200,8,FALSE),"")</f>
        <v/>
      </c>
      <c r="S620" s="367"/>
      <c r="T620" s="368"/>
      <c r="U620" s="248"/>
      <c r="V620" s="244" t="str">
        <f>IFERROR(VLOOKUP($F620,補助対象機器一覧20220831!$A$2:$K$200,9,FALSE),"")</f>
        <v/>
      </c>
      <c r="W620" s="86"/>
      <c r="X620" s="402" t="str">
        <f>IF($B620&lt;=入力シート!$F$85,""&amp;中間シート!X626,"")</f>
        <v/>
      </c>
      <c r="Y620" s="402"/>
      <c r="Z620" s="402"/>
      <c r="AA620" s="402"/>
      <c r="AB620" s="402"/>
      <c r="AC620" s="402"/>
      <c r="AD620" s="402"/>
      <c r="AE620" s="402"/>
      <c r="AF620" s="402"/>
      <c r="AG620" s="402"/>
      <c r="AH620" s="402"/>
      <c r="AI620" s="402"/>
      <c r="AJ620" s="402"/>
      <c r="AK620" s="402"/>
      <c r="AL620" s="402"/>
      <c r="AM620" s="402"/>
      <c r="AN620" s="402"/>
      <c r="AO620" s="402"/>
      <c r="AP620" s="41"/>
      <c r="AQ620" s="81">
        <f>IF(J620&lt;&gt;"",1,IF(H620="なし",2,0))</f>
        <v>0</v>
      </c>
      <c r="AR620" s="86"/>
      <c r="AS620" s="86"/>
    </row>
    <row r="621" spans="2:45" ht="5.0999999999999996" customHeight="1" thickBot="1" x14ac:dyDescent="0.2">
      <c r="C621" s="86"/>
      <c r="D621" s="86"/>
      <c r="E621" s="95"/>
      <c r="F621" s="247"/>
      <c r="G621" s="93"/>
      <c r="H621" s="93"/>
      <c r="I621" s="259"/>
      <c r="J621" s="247"/>
      <c r="K621" s="247"/>
      <c r="L621" s="247"/>
      <c r="M621" s="248"/>
      <c r="N621" s="247"/>
      <c r="O621" s="247"/>
      <c r="P621" s="247"/>
      <c r="Q621" s="248"/>
      <c r="R621" s="247"/>
      <c r="S621" s="247"/>
      <c r="T621" s="247"/>
      <c r="U621" s="248"/>
      <c r="V621" s="247"/>
      <c r="W621" s="86"/>
      <c r="X621" s="402"/>
      <c r="Y621" s="402"/>
      <c r="Z621" s="402"/>
      <c r="AA621" s="402"/>
      <c r="AB621" s="402"/>
      <c r="AC621" s="402"/>
      <c r="AD621" s="402"/>
      <c r="AE621" s="402"/>
      <c r="AF621" s="402"/>
      <c r="AG621" s="402"/>
      <c r="AH621" s="402"/>
      <c r="AI621" s="402"/>
      <c r="AJ621" s="402"/>
      <c r="AK621" s="402"/>
      <c r="AL621" s="402"/>
      <c r="AM621" s="402"/>
      <c r="AN621" s="402"/>
      <c r="AO621" s="402"/>
      <c r="AP621" s="41"/>
      <c r="AQ621" s="86"/>
      <c r="AR621" s="86"/>
      <c r="AS621" s="86"/>
    </row>
    <row r="622" spans="2:45" ht="18" customHeight="1" thickBot="1" x14ac:dyDescent="0.2">
      <c r="B622" s="42">
        <v>38</v>
      </c>
      <c r="C622" s="86"/>
      <c r="D622" s="86"/>
      <c r="E622" s="95"/>
      <c r="F622" s="247"/>
      <c r="G622" s="93"/>
      <c r="H622" s="93"/>
      <c r="I622" s="260" t="str">
        <f>IF(AQ620=2,"入力してください→",IF(AQ620=1,"入力不要です→",""))</f>
        <v/>
      </c>
      <c r="J622" s="387"/>
      <c r="K622" s="388"/>
      <c r="L622" s="389"/>
      <c r="M622" s="248"/>
      <c r="N622" s="387"/>
      <c r="O622" s="388"/>
      <c r="P622" s="389"/>
      <c r="Q622" s="248"/>
      <c r="R622" s="387"/>
      <c r="S622" s="388"/>
      <c r="T622" s="389"/>
      <c r="U622" s="248"/>
      <c r="V622" s="249"/>
      <c r="W622" s="86"/>
      <c r="X622" s="402"/>
      <c r="Y622" s="402"/>
      <c r="Z622" s="402"/>
      <c r="AA622" s="402"/>
      <c r="AB622" s="402"/>
      <c r="AC622" s="402"/>
      <c r="AD622" s="402"/>
      <c r="AE622" s="402"/>
      <c r="AF622" s="402"/>
      <c r="AG622" s="402"/>
      <c r="AH622" s="402"/>
      <c r="AI622" s="402"/>
      <c r="AJ622" s="402"/>
      <c r="AK622" s="402"/>
      <c r="AL622" s="402"/>
      <c r="AM622" s="402"/>
      <c r="AN622" s="402"/>
      <c r="AO622" s="402"/>
      <c r="AP622" s="41"/>
      <c r="AQ622" s="86"/>
      <c r="AR622" s="86"/>
      <c r="AS622" s="86"/>
    </row>
    <row r="623" spans="2:45" ht="5.0999999999999996" customHeight="1" thickBot="1" x14ac:dyDescent="0.2">
      <c r="C623" s="86"/>
      <c r="D623" s="86"/>
      <c r="E623" s="95"/>
      <c r="F623" s="247"/>
      <c r="G623" s="93"/>
      <c r="H623" s="93"/>
      <c r="I623" s="259"/>
      <c r="J623" s="247"/>
      <c r="K623" s="247"/>
      <c r="L623" s="247"/>
      <c r="M623" s="248"/>
      <c r="N623" s="247"/>
      <c r="O623" s="247"/>
      <c r="P623" s="247"/>
      <c r="Q623" s="248"/>
      <c r="R623" s="247"/>
      <c r="S623" s="247"/>
      <c r="T623" s="247"/>
      <c r="U623" s="248"/>
      <c r="V623" s="247"/>
      <c r="W623" s="86"/>
      <c r="X623" s="296" t="s">
        <v>212</v>
      </c>
      <c r="Y623" s="296"/>
      <c r="Z623" s="296"/>
      <c r="AA623" s="296"/>
      <c r="AB623" s="296"/>
      <c r="AC623" s="296"/>
      <c r="AD623" s="296"/>
      <c r="AE623" s="296"/>
      <c r="AF623" s="296"/>
      <c r="AG623" s="296"/>
      <c r="AH623" s="296"/>
      <c r="AI623" s="296"/>
      <c r="AJ623" s="296"/>
      <c r="AK623" s="296"/>
      <c r="AL623" s="296"/>
      <c r="AM623" s="296"/>
      <c r="AN623" s="296"/>
      <c r="AO623" s="296"/>
      <c r="AP623" s="41"/>
      <c r="AQ623" s="86"/>
      <c r="AR623" s="86"/>
      <c r="AS623" s="86"/>
    </row>
    <row r="624" spans="2:45" ht="18" customHeight="1" thickBot="1" x14ac:dyDescent="0.2">
      <c r="B624" s="42">
        <v>38</v>
      </c>
      <c r="C624" s="86"/>
      <c r="D624" s="86"/>
      <c r="E624" s="95" t="s">
        <v>74</v>
      </c>
      <c r="F624" s="80"/>
      <c r="G624" s="93"/>
      <c r="H624" s="80"/>
      <c r="I624" s="259"/>
      <c r="J624" s="366" t="str">
        <f>IFERROR(VLOOKUP($F624,補助対象機器一覧20220831!$A$2:$K$200,2,FALSE),"")</f>
        <v/>
      </c>
      <c r="K624" s="367"/>
      <c r="L624" s="368"/>
      <c r="M624" s="248"/>
      <c r="N624" s="366" t="str">
        <f>IFERROR(VLOOKUP($F624,補助対象機器一覧20220831!$A$2:$K$200,7,FALSE),"")</f>
        <v/>
      </c>
      <c r="O624" s="367"/>
      <c r="P624" s="368"/>
      <c r="Q624" s="248"/>
      <c r="R624" s="366" t="str">
        <f>IFERROR(VLOOKUP($F624,補助対象機器一覧20220831!$A$2:$K$200,8,FALSE),"")</f>
        <v/>
      </c>
      <c r="S624" s="367"/>
      <c r="T624" s="368"/>
      <c r="U624" s="248"/>
      <c r="V624" s="244" t="str">
        <f>IFERROR(VLOOKUP($F624,補助対象機器一覧20220831!$A$2:$K$200,9,FALSE),"")</f>
        <v/>
      </c>
      <c r="W624" s="86"/>
      <c r="X624" s="402" t="str">
        <f>IF($B624&lt;=入力シート!$F$85,""&amp;中間シート!X627,"")</f>
        <v/>
      </c>
      <c r="Y624" s="402"/>
      <c r="Z624" s="402"/>
      <c r="AA624" s="402"/>
      <c r="AB624" s="402"/>
      <c r="AC624" s="402"/>
      <c r="AD624" s="402"/>
      <c r="AE624" s="402"/>
      <c r="AF624" s="402"/>
      <c r="AG624" s="402"/>
      <c r="AH624" s="402"/>
      <c r="AI624" s="402"/>
      <c r="AJ624" s="402"/>
      <c r="AK624" s="402"/>
      <c r="AL624" s="402"/>
      <c r="AM624" s="402"/>
      <c r="AN624" s="402"/>
      <c r="AO624" s="402"/>
      <c r="AP624" s="41"/>
      <c r="AQ624" s="81">
        <f>IF(J624&lt;&gt;"",1,IF(H624="なし",2,0))</f>
        <v>0</v>
      </c>
      <c r="AR624" s="86"/>
      <c r="AS624" s="86"/>
    </row>
    <row r="625" spans="2:45" ht="5.0999999999999996" customHeight="1" thickBot="1" x14ac:dyDescent="0.2">
      <c r="C625" s="86"/>
      <c r="D625" s="86"/>
      <c r="E625" s="95"/>
      <c r="F625" s="247"/>
      <c r="G625" s="93"/>
      <c r="H625" s="93"/>
      <c r="I625" s="259"/>
      <c r="J625" s="247"/>
      <c r="K625" s="247"/>
      <c r="L625" s="247"/>
      <c r="M625" s="248"/>
      <c r="N625" s="247"/>
      <c r="O625" s="247"/>
      <c r="P625" s="247"/>
      <c r="Q625" s="248"/>
      <c r="R625" s="247"/>
      <c r="S625" s="247"/>
      <c r="T625" s="247"/>
      <c r="U625" s="248"/>
      <c r="V625" s="247"/>
      <c r="W625" s="86"/>
      <c r="X625" s="402"/>
      <c r="Y625" s="402"/>
      <c r="Z625" s="402"/>
      <c r="AA625" s="402"/>
      <c r="AB625" s="402"/>
      <c r="AC625" s="402"/>
      <c r="AD625" s="402"/>
      <c r="AE625" s="402"/>
      <c r="AF625" s="402"/>
      <c r="AG625" s="402"/>
      <c r="AH625" s="402"/>
      <c r="AI625" s="402"/>
      <c r="AJ625" s="402"/>
      <c r="AK625" s="402"/>
      <c r="AL625" s="402"/>
      <c r="AM625" s="402"/>
      <c r="AN625" s="402"/>
      <c r="AO625" s="402"/>
      <c r="AP625" s="41"/>
      <c r="AQ625" s="86"/>
      <c r="AR625" s="86"/>
      <c r="AS625" s="86"/>
    </row>
    <row r="626" spans="2:45" ht="18" customHeight="1" thickBot="1" x14ac:dyDescent="0.2">
      <c r="B626" s="42">
        <v>38</v>
      </c>
      <c r="C626" s="86"/>
      <c r="D626" s="86"/>
      <c r="E626" s="93"/>
      <c r="F626" s="247"/>
      <c r="G626" s="93"/>
      <c r="H626" s="93"/>
      <c r="I626" s="260" t="str">
        <f>IF(AQ624=2,"入力してください→",IF(AQ624=1,"入力不要です→",""))</f>
        <v/>
      </c>
      <c r="J626" s="387"/>
      <c r="K626" s="388"/>
      <c r="L626" s="389"/>
      <c r="M626" s="248"/>
      <c r="N626" s="387"/>
      <c r="O626" s="388"/>
      <c r="P626" s="389"/>
      <c r="Q626" s="248"/>
      <c r="R626" s="387"/>
      <c r="S626" s="388"/>
      <c r="T626" s="389"/>
      <c r="U626" s="248"/>
      <c r="V626" s="249"/>
      <c r="W626" s="86"/>
      <c r="X626" s="402"/>
      <c r="Y626" s="402"/>
      <c r="Z626" s="402"/>
      <c r="AA626" s="402"/>
      <c r="AB626" s="402"/>
      <c r="AC626" s="402"/>
      <c r="AD626" s="402"/>
      <c r="AE626" s="402"/>
      <c r="AF626" s="402"/>
      <c r="AG626" s="402"/>
      <c r="AH626" s="402"/>
      <c r="AI626" s="402"/>
      <c r="AJ626" s="402"/>
      <c r="AK626" s="402"/>
      <c r="AL626" s="402"/>
      <c r="AM626" s="402"/>
      <c r="AN626" s="402"/>
      <c r="AO626" s="402"/>
      <c r="AP626" s="41"/>
      <c r="AQ626" s="86"/>
      <c r="AR626" s="86"/>
      <c r="AS626" s="86"/>
    </row>
    <row r="627" spans="2:45" x14ac:dyDescent="0.15">
      <c r="C627" s="86"/>
      <c r="D627" s="86"/>
      <c r="E627" s="93"/>
      <c r="F627" s="247"/>
      <c r="G627" s="93"/>
      <c r="H627" s="93"/>
      <c r="I627" s="258"/>
      <c r="J627" s="248"/>
      <c r="K627" s="248"/>
      <c r="L627" s="248"/>
      <c r="M627" s="248"/>
      <c r="N627" s="248"/>
      <c r="O627" s="248"/>
      <c r="P627" s="248"/>
      <c r="Q627" s="248"/>
      <c r="R627" s="248"/>
      <c r="S627" s="248"/>
      <c r="T627" s="248"/>
      <c r="U627" s="248"/>
      <c r="V627" s="248"/>
      <c r="W627" s="86"/>
      <c r="X627" s="296" t="s">
        <v>212</v>
      </c>
      <c r="Y627" s="296"/>
      <c r="Z627" s="296"/>
      <c r="AA627" s="296"/>
      <c r="AB627" s="296"/>
      <c r="AC627" s="296"/>
      <c r="AD627" s="296"/>
      <c r="AE627" s="296"/>
      <c r="AF627" s="296"/>
      <c r="AG627" s="296"/>
      <c r="AH627" s="296"/>
      <c r="AI627" s="296"/>
      <c r="AJ627" s="296"/>
      <c r="AK627" s="296"/>
      <c r="AL627" s="296"/>
      <c r="AM627" s="296"/>
      <c r="AN627" s="296"/>
      <c r="AO627" s="296"/>
      <c r="AQ627" s="86"/>
      <c r="AR627" s="86"/>
      <c r="AS627" s="86"/>
    </row>
    <row r="628" spans="2:45" ht="14.25" thickBot="1" x14ac:dyDescent="0.2">
      <c r="C628" s="46"/>
      <c r="D628" s="46"/>
      <c r="E628" s="47"/>
      <c r="F628" s="246"/>
      <c r="G628" s="47"/>
      <c r="H628" s="47"/>
      <c r="I628" s="257"/>
      <c r="J628" s="245"/>
      <c r="K628" s="245"/>
      <c r="L628" s="245"/>
      <c r="M628" s="245"/>
      <c r="N628" s="245"/>
      <c r="O628" s="245"/>
      <c r="P628" s="245"/>
      <c r="Q628" s="245"/>
      <c r="R628" s="245"/>
      <c r="S628" s="245"/>
      <c r="T628" s="245"/>
      <c r="U628" s="245"/>
      <c r="V628" s="245"/>
      <c r="W628" s="46"/>
      <c r="X628" s="296" t="s">
        <v>212</v>
      </c>
      <c r="Y628" s="296"/>
      <c r="Z628" s="296"/>
      <c r="AA628" s="296"/>
      <c r="AB628" s="296"/>
      <c r="AC628" s="296"/>
      <c r="AD628" s="296"/>
      <c r="AE628" s="296"/>
      <c r="AF628" s="296"/>
      <c r="AG628" s="296"/>
      <c r="AH628" s="296"/>
      <c r="AI628" s="296"/>
      <c r="AJ628" s="296"/>
      <c r="AK628" s="296"/>
      <c r="AL628" s="296"/>
      <c r="AM628" s="296"/>
      <c r="AN628" s="296"/>
      <c r="AO628" s="296"/>
      <c r="AQ628" s="86"/>
      <c r="AR628" s="86"/>
      <c r="AS628" s="86"/>
    </row>
    <row r="629" spans="2:45" ht="18" customHeight="1" thickBot="1" x14ac:dyDescent="0.2">
      <c r="B629" s="42">
        <v>39</v>
      </c>
      <c r="C629" s="46"/>
      <c r="D629" s="82" t="s">
        <v>194</v>
      </c>
      <c r="E629" s="48" t="s">
        <v>72</v>
      </c>
      <c r="F629" s="80"/>
      <c r="G629" s="46"/>
      <c r="H629" s="109"/>
      <c r="I629" s="255"/>
      <c r="J629" s="366" t="str">
        <f>IFERROR(VLOOKUP($F629,補助対象機器一覧20220831!$A$2:$K$200,2,FALSE),"")</f>
        <v/>
      </c>
      <c r="K629" s="367"/>
      <c r="L629" s="368"/>
      <c r="M629" s="245"/>
      <c r="N629" s="366" t="str">
        <f>IFERROR(VLOOKUP($F629,補助対象機器一覧20220831!$A$2:$K$200,7,FALSE),"")</f>
        <v/>
      </c>
      <c r="O629" s="367"/>
      <c r="P629" s="368"/>
      <c r="Q629" s="245"/>
      <c r="R629" s="366" t="str">
        <f>IFERROR(VLOOKUP($F629,補助対象機器一覧20220831!$A$2:$K$200,8,FALSE),"")</f>
        <v/>
      </c>
      <c r="S629" s="367"/>
      <c r="T629" s="368"/>
      <c r="U629" s="245"/>
      <c r="V629" s="244" t="str">
        <f>IFERROR(VLOOKUP($F629,補助対象機器一覧20220831!$A$2:$K$200,9,FALSE),"")</f>
        <v/>
      </c>
      <c r="W629" s="46"/>
      <c r="X629" s="402" t="str">
        <f>IF($B629&lt;=入力シート!$F$85,""&amp;中間シート!X628,"")</f>
        <v/>
      </c>
      <c r="Y629" s="402"/>
      <c r="Z629" s="402"/>
      <c r="AA629" s="402"/>
      <c r="AB629" s="402"/>
      <c r="AC629" s="402"/>
      <c r="AD629" s="402"/>
      <c r="AE629" s="402"/>
      <c r="AF629" s="402"/>
      <c r="AG629" s="402"/>
      <c r="AH629" s="402"/>
      <c r="AI629" s="402"/>
      <c r="AJ629" s="402"/>
      <c r="AK629" s="402"/>
      <c r="AL629" s="402"/>
      <c r="AM629" s="402"/>
      <c r="AN629" s="402"/>
      <c r="AO629" s="402"/>
      <c r="AQ629" s="81">
        <f>IF(J629&lt;&gt;"",1,IF(H629="なし",2,0))</f>
        <v>0</v>
      </c>
      <c r="AR629" s="86"/>
      <c r="AS629" s="86"/>
    </row>
    <row r="630" spans="2:45" ht="5.0999999999999996" customHeight="1" thickBot="1" x14ac:dyDescent="0.2">
      <c r="C630" s="46"/>
      <c r="D630" s="82"/>
      <c r="E630" s="48"/>
      <c r="F630" s="245"/>
      <c r="G630" s="46"/>
      <c r="H630" s="46"/>
      <c r="I630" s="255"/>
      <c r="J630" s="245"/>
      <c r="K630" s="245"/>
      <c r="L630" s="245"/>
      <c r="M630" s="245"/>
      <c r="N630" s="245"/>
      <c r="O630" s="245"/>
      <c r="P630" s="245"/>
      <c r="Q630" s="245"/>
      <c r="R630" s="245"/>
      <c r="S630" s="245"/>
      <c r="T630" s="245"/>
      <c r="U630" s="245"/>
      <c r="V630" s="245"/>
      <c r="W630" s="46"/>
      <c r="X630" s="402"/>
      <c r="Y630" s="402"/>
      <c r="Z630" s="402"/>
      <c r="AA630" s="402"/>
      <c r="AB630" s="402"/>
      <c r="AC630" s="402"/>
      <c r="AD630" s="402"/>
      <c r="AE630" s="402"/>
      <c r="AF630" s="402"/>
      <c r="AG630" s="402"/>
      <c r="AH630" s="402"/>
      <c r="AI630" s="402"/>
      <c r="AJ630" s="402"/>
      <c r="AK630" s="402"/>
      <c r="AL630" s="402"/>
      <c r="AM630" s="402"/>
      <c r="AN630" s="402"/>
      <c r="AO630" s="402"/>
      <c r="AP630" s="41"/>
      <c r="AQ630" s="86"/>
      <c r="AR630" s="86"/>
      <c r="AS630" s="86"/>
    </row>
    <row r="631" spans="2:45" ht="18" customHeight="1" thickBot="1" x14ac:dyDescent="0.2">
      <c r="B631" s="42">
        <v>39</v>
      </c>
      <c r="C631" s="46"/>
      <c r="D631" s="82"/>
      <c r="E631" s="48"/>
      <c r="F631" s="246"/>
      <c r="G631" s="46"/>
      <c r="H631" s="46"/>
      <c r="I631" s="261" t="str">
        <f>IF(AQ629=2,"入力してください→",IF(AQ629=1,"入力不要です→",""))</f>
        <v/>
      </c>
      <c r="J631" s="387"/>
      <c r="K631" s="388"/>
      <c r="L631" s="389"/>
      <c r="M631" s="245"/>
      <c r="N631" s="387"/>
      <c r="O631" s="388"/>
      <c r="P631" s="389"/>
      <c r="Q631" s="245"/>
      <c r="R631" s="387"/>
      <c r="S631" s="388"/>
      <c r="T631" s="389"/>
      <c r="U631" s="245"/>
      <c r="V631" s="249"/>
      <c r="W631" s="46"/>
      <c r="X631" s="402"/>
      <c r="Y631" s="402"/>
      <c r="Z631" s="402"/>
      <c r="AA631" s="402"/>
      <c r="AB631" s="402"/>
      <c r="AC631" s="402"/>
      <c r="AD631" s="402"/>
      <c r="AE631" s="402"/>
      <c r="AF631" s="402"/>
      <c r="AG631" s="402"/>
      <c r="AH631" s="402"/>
      <c r="AI631" s="402"/>
      <c r="AJ631" s="402"/>
      <c r="AK631" s="402"/>
      <c r="AL631" s="402"/>
      <c r="AM631" s="402"/>
      <c r="AN631" s="402"/>
      <c r="AO631" s="402"/>
      <c r="AP631" s="41"/>
      <c r="AQ631" s="86"/>
      <c r="AR631" s="86"/>
      <c r="AS631" s="86"/>
    </row>
    <row r="632" spans="2:45" ht="5.0999999999999996" customHeight="1" thickBot="1" x14ac:dyDescent="0.2">
      <c r="C632" s="46"/>
      <c r="D632" s="46"/>
      <c r="E632" s="47"/>
      <c r="F632" s="245"/>
      <c r="G632" s="47"/>
      <c r="H632" s="47"/>
      <c r="I632" s="255"/>
      <c r="J632" s="245"/>
      <c r="K632" s="245"/>
      <c r="L632" s="245"/>
      <c r="M632" s="245"/>
      <c r="N632" s="245"/>
      <c r="O632" s="245"/>
      <c r="P632" s="245"/>
      <c r="Q632" s="245"/>
      <c r="R632" s="245"/>
      <c r="S632" s="245"/>
      <c r="T632" s="245"/>
      <c r="U632" s="245"/>
      <c r="V632" s="245"/>
      <c r="W632" s="46"/>
      <c r="X632" s="296" t="s">
        <v>212</v>
      </c>
      <c r="Y632" s="296"/>
      <c r="Z632" s="296"/>
      <c r="AA632" s="296"/>
      <c r="AB632" s="296"/>
      <c r="AC632" s="296"/>
      <c r="AD632" s="296"/>
      <c r="AE632" s="296"/>
      <c r="AF632" s="296"/>
      <c r="AG632" s="296"/>
      <c r="AH632" s="296"/>
      <c r="AI632" s="296"/>
      <c r="AJ632" s="296"/>
      <c r="AK632" s="296"/>
      <c r="AL632" s="296"/>
      <c r="AM632" s="296"/>
      <c r="AN632" s="296"/>
      <c r="AO632" s="296"/>
      <c r="AP632" s="41"/>
      <c r="AQ632" s="86"/>
      <c r="AR632" s="86"/>
      <c r="AS632" s="86"/>
    </row>
    <row r="633" spans="2:45" ht="18" customHeight="1" thickBot="1" x14ac:dyDescent="0.2">
      <c r="B633" s="42">
        <v>39</v>
      </c>
      <c r="C633" s="46"/>
      <c r="D633" s="46"/>
      <c r="E633" s="48" t="s">
        <v>73</v>
      </c>
      <c r="F633" s="80"/>
      <c r="G633" s="47"/>
      <c r="H633" s="109"/>
      <c r="I633" s="255"/>
      <c r="J633" s="366" t="str">
        <f>IFERROR(VLOOKUP($F633,補助対象機器一覧20220831!$A$2:$K$200,2,FALSE),"")</f>
        <v/>
      </c>
      <c r="K633" s="367"/>
      <c r="L633" s="368"/>
      <c r="M633" s="245"/>
      <c r="N633" s="366" t="str">
        <f>IFERROR(VLOOKUP($F633,補助対象機器一覧20220831!$A$2:$K$200,7,FALSE),"")</f>
        <v/>
      </c>
      <c r="O633" s="367"/>
      <c r="P633" s="368"/>
      <c r="Q633" s="245"/>
      <c r="R633" s="366" t="str">
        <f>IFERROR(VLOOKUP($F633,補助対象機器一覧20220831!$A$2:$K$200,8,FALSE),"")</f>
        <v/>
      </c>
      <c r="S633" s="367"/>
      <c r="T633" s="368"/>
      <c r="U633" s="245"/>
      <c r="V633" s="244" t="str">
        <f>IFERROR(VLOOKUP($F633,補助対象機器一覧20220831!$A$2:$K$200,9,FALSE),"")</f>
        <v/>
      </c>
      <c r="W633" s="46"/>
      <c r="X633" s="402" t="str">
        <f>IF($B633&lt;=入力シート!$F$85,""&amp;中間シート!X629,"")</f>
        <v/>
      </c>
      <c r="Y633" s="402"/>
      <c r="Z633" s="402"/>
      <c r="AA633" s="402"/>
      <c r="AB633" s="402"/>
      <c r="AC633" s="402"/>
      <c r="AD633" s="402"/>
      <c r="AE633" s="402"/>
      <c r="AF633" s="402"/>
      <c r="AG633" s="402"/>
      <c r="AH633" s="402"/>
      <c r="AI633" s="402"/>
      <c r="AJ633" s="402"/>
      <c r="AK633" s="402"/>
      <c r="AL633" s="402"/>
      <c r="AM633" s="402"/>
      <c r="AN633" s="402"/>
      <c r="AO633" s="402"/>
      <c r="AP633" s="41"/>
      <c r="AQ633" s="81">
        <f>IF(J633&lt;&gt;"",1,IF(H633="なし",2,0))</f>
        <v>0</v>
      </c>
      <c r="AR633" s="86"/>
      <c r="AS633" s="86"/>
    </row>
    <row r="634" spans="2:45" ht="5.0999999999999996" customHeight="1" thickBot="1" x14ac:dyDescent="0.2">
      <c r="C634" s="46"/>
      <c r="D634" s="46"/>
      <c r="E634" s="48"/>
      <c r="F634" s="246"/>
      <c r="G634" s="47"/>
      <c r="H634" s="47"/>
      <c r="I634" s="255"/>
      <c r="J634" s="246"/>
      <c r="K634" s="246"/>
      <c r="L634" s="246"/>
      <c r="M634" s="245"/>
      <c r="N634" s="246"/>
      <c r="O634" s="246"/>
      <c r="P634" s="246"/>
      <c r="Q634" s="245"/>
      <c r="R634" s="246"/>
      <c r="S634" s="246"/>
      <c r="T634" s="246"/>
      <c r="U634" s="245"/>
      <c r="V634" s="246"/>
      <c r="W634" s="46"/>
      <c r="X634" s="402"/>
      <c r="Y634" s="402"/>
      <c r="Z634" s="402"/>
      <c r="AA634" s="402"/>
      <c r="AB634" s="402"/>
      <c r="AC634" s="402"/>
      <c r="AD634" s="402"/>
      <c r="AE634" s="402"/>
      <c r="AF634" s="402"/>
      <c r="AG634" s="402"/>
      <c r="AH634" s="402"/>
      <c r="AI634" s="402"/>
      <c r="AJ634" s="402"/>
      <c r="AK634" s="402"/>
      <c r="AL634" s="402"/>
      <c r="AM634" s="402"/>
      <c r="AN634" s="402"/>
      <c r="AO634" s="402"/>
      <c r="AP634" s="41"/>
      <c r="AQ634" s="86"/>
      <c r="AR634" s="86"/>
      <c r="AS634" s="86"/>
    </row>
    <row r="635" spans="2:45" ht="18" customHeight="1" thickBot="1" x14ac:dyDescent="0.2">
      <c r="B635" s="42">
        <v>39</v>
      </c>
      <c r="C635" s="46"/>
      <c r="D635" s="46"/>
      <c r="E635" s="48"/>
      <c r="F635" s="246"/>
      <c r="G635" s="47"/>
      <c r="H635" s="47"/>
      <c r="I635" s="261" t="str">
        <f>IF(AQ633=2,"入力してください→",IF(AQ633=1,"入力不要です→",""))</f>
        <v/>
      </c>
      <c r="J635" s="387"/>
      <c r="K635" s="388"/>
      <c r="L635" s="389"/>
      <c r="M635" s="245"/>
      <c r="N635" s="387"/>
      <c r="O635" s="388"/>
      <c r="P635" s="389"/>
      <c r="Q635" s="245"/>
      <c r="R635" s="387"/>
      <c r="S635" s="388"/>
      <c r="T635" s="389"/>
      <c r="U635" s="245"/>
      <c r="V635" s="249"/>
      <c r="W635" s="46"/>
      <c r="X635" s="402"/>
      <c r="Y635" s="402"/>
      <c r="Z635" s="402"/>
      <c r="AA635" s="402"/>
      <c r="AB635" s="402"/>
      <c r="AC635" s="402"/>
      <c r="AD635" s="402"/>
      <c r="AE635" s="402"/>
      <c r="AF635" s="402"/>
      <c r="AG635" s="402"/>
      <c r="AH635" s="402"/>
      <c r="AI635" s="402"/>
      <c r="AJ635" s="402"/>
      <c r="AK635" s="402"/>
      <c r="AL635" s="402"/>
      <c r="AM635" s="402"/>
      <c r="AN635" s="402"/>
      <c r="AO635" s="402"/>
      <c r="AP635" s="41"/>
      <c r="AQ635" s="86"/>
      <c r="AR635" s="86"/>
      <c r="AS635" s="86"/>
    </row>
    <row r="636" spans="2:45" ht="5.0999999999999996" customHeight="1" thickBot="1" x14ac:dyDescent="0.2">
      <c r="C636" s="46"/>
      <c r="D636" s="46"/>
      <c r="E636" s="48"/>
      <c r="F636" s="246"/>
      <c r="G636" s="47"/>
      <c r="H636" s="47"/>
      <c r="I636" s="255"/>
      <c r="J636" s="246"/>
      <c r="K636" s="246"/>
      <c r="L636" s="246"/>
      <c r="M636" s="245"/>
      <c r="N636" s="246"/>
      <c r="O636" s="246"/>
      <c r="P636" s="246"/>
      <c r="Q636" s="245"/>
      <c r="R636" s="246"/>
      <c r="S636" s="246"/>
      <c r="T636" s="246"/>
      <c r="U636" s="245"/>
      <c r="V636" s="246"/>
      <c r="W636" s="46"/>
      <c r="X636" s="296" t="s">
        <v>212</v>
      </c>
      <c r="Y636" s="296"/>
      <c r="Z636" s="296"/>
      <c r="AA636" s="296"/>
      <c r="AB636" s="296"/>
      <c r="AC636" s="296"/>
      <c r="AD636" s="296"/>
      <c r="AE636" s="296"/>
      <c r="AF636" s="296"/>
      <c r="AG636" s="296"/>
      <c r="AH636" s="296"/>
      <c r="AI636" s="296"/>
      <c r="AJ636" s="296"/>
      <c r="AK636" s="296"/>
      <c r="AL636" s="296"/>
      <c r="AM636" s="296"/>
      <c r="AN636" s="296"/>
      <c r="AO636" s="296"/>
      <c r="AP636" s="41"/>
      <c r="AQ636" s="86"/>
      <c r="AR636" s="86"/>
      <c r="AS636" s="86"/>
    </row>
    <row r="637" spans="2:45" ht="18" customHeight="1" thickBot="1" x14ac:dyDescent="0.2">
      <c r="B637" s="42">
        <v>39</v>
      </c>
      <c r="C637" s="46"/>
      <c r="D637" s="46"/>
      <c r="E637" s="48" t="s">
        <v>74</v>
      </c>
      <c r="F637" s="80"/>
      <c r="G637" s="47"/>
      <c r="H637" s="109"/>
      <c r="I637" s="255"/>
      <c r="J637" s="366" t="str">
        <f>IFERROR(VLOOKUP($F637,補助対象機器一覧20220831!$A$2:$K$200,2,FALSE),"")</f>
        <v/>
      </c>
      <c r="K637" s="367"/>
      <c r="L637" s="368"/>
      <c r="M637" s="245"/>
      <c r="N637" s="366" t="str">
        <f>IFERROR(VLOOKUP($F637,補助対象機器一覧20220831!$A$2:$K$200,7,FALSE),"")</f>
        <v/>
      </c>
      <c r="O637" s="367"/>
      <c r="P637" s="368"/>
      <c r="Q637" s="245"/>
      <c r="R637" s="366" t="str">
        <f>IFERROR(VLOOKUP($F637,補助対象機器一覧20220831!$A$2:$K$200,8,FALSE),"")</f>
        <v/>
      </c>
      <c r="S637" s="367"/>
      <c r="T637" s="368"/>
      <c r="U637" s="245"/>
      <c r="V637" s="244" t="str">
        <f>IFERROR(VLOOKUP($F637,補助対象機器一覧20220831!$A$2:$K$200,9,FALSE),"")</f>
        <v/>
      </c>
      <c r="W637" s="46"/>
      <c r="X637" s="402" t="str">
        <f>IF($B637&lt;=入力シート!$F$85,""&amp;中間シート!X630,"")</f>
        <v/>
      </c>
      <c r="Y637" s="402"/>
      <c r="Z637" s="402"/>
      <c r="AA637" s="402"/>
      <c r="AB637" s="402"/>
      <c r="AC637" s="402"/>
      <c r="AD637" s="402"/>
      <c r="AE637" s="402"/>
      <c r="AF637" s="402"/>
      <c r="AG637" s="402"/>
      <c r="AH637" s="402"/>
      <c r="AI637" s="402"/>
      <c r="AJ637" s="402"/>
      <c r="AK637" s="402"/>
      <c r="AL637" s="402"/>
      <c r="AM637" s="402"/>
      <c r="AN637" s="402"/>
      <c r="AO637" s="402"/>
      <c r="AP637" s="41"/>
      <c r="AQ637" s="81">
        <f>IF(J637&lt;&gt;"",1,IF(H637="なし",2,0))</f>
        <v>0</v>
      </c>
      <c r="AR637" s="86"/>
      <c r="AS637" s="86"/>
    </row>
    <row r="638" spans="2:45" ht="5.0999999999999996" customHeight="1" thickBot="1" x14ac:dyDescent="0.2">
      <c r="C638" s="46"/>
      <c r="D638" s="46"/>
      <c r="E638" s="48"/>
      <c r="F638" s="246"/>
      <c r="G638" s="47"/>
      <c r="H638" s="47"/>
      <c r="I638" s="255"/>
      <c r="J638" s="246"/>
      <c r="K638" s="246"/>
      <c r="L638" s="246"/>
      <c r="M638" s="245"/>
      <c r="N638" s="246"/>
      <c r="O638" s="246"/>
      <c r="P638" s="246"/>
      <c r="Q638" s="245"/>
      <c r="R638" s="246"/>
      <c r="S638" s="246"/>
      <c r="T638" s="246"/>
      <c r="U638" s="245"/>
      <c r="V638" s="246"/>
      <c r="W638" s="46"/>
      <c r="X638" s="402"/>
      <c r="Y638" s="402"/>
      <c r="Z638" s="402"/>
      <c r="AA638" s="402"/>
      <c r="AB638" s="402"/>
      <c r="AC638" s="402"/>
      <c r="AD638" s="402"/>
      <c r="AE638" s="402"/>
      <c r="AF638" s="402"/>
      <c r="AG638" s="402"/>
      <c r="AH638" s="402"/>
      <c r="AI638" s="402"/>
      <c r="AJ638" s="402"/>
      <c r="AK638" s="402"/>
      <c r="AL638" s="402"/>
      <c r="AM638" s="402"/>
      <c r="AN638" s="402"/>
      <c r="AO638" s="402"/>
      <c r="AP638" s="41"/>
      <c r="AQ638" s="86"/>
      <c r="AR638" s="86"/>
      <c r="AS638" s="86"/>
    </row>
    <row r="639" spans="2:45" ht="18" customHeight="1" thickBot="1" x14ac:dyDescent="0.2">
      <c r="B639" s="42">
        <v>39</v>
      </c>
      <c r="C639" s="46"/>
      <c r="D639" s="46"/>
      <c r="E639" s="47"/>
      <c r="F639" s="246"/>
      <c r="G639" s="47"/>
      <c r="H639" s="47"/>
      <c r="I639" s="261" t="str">
        <f>IF(AQ637=2,"入力してください→",IF(AQ637=1,"入力不要です→",""))</f>
        <v/>
      </c>
      <c r="J639" s="387"/>
      <c r="K639" s="388"/>
      <c r="L639" s="389"/>
      <c r="M639" s="245"/>
      <c r="N639" s="387"/>
      <c r="O639" s="388"/>
      <c r="P639" s="389"/>
      <c r="Q639" s="245"/>
      <c r="R639" s="387"/>
      <c r="S639" s="388"/>
      <c r="T639" s="389"/>
      <c r="U639" s="245"/>
      <c r="V639" s="249"/>
      <c r="W639" s="46"/>
      <c r="X639" s="402"/>
      <c r="Y639" s="402"/>
      <c r="Z639" s="402"/>
      <c r="AA639" s="402"/>
      <c r="AB639" s="402"/>
      <c r="AC639" s="402"/>
      <c r="AD639" s="402"/>
      <c r="AE639" s="402"/>
      <c r="AF639" s="402"/>
      <c r="AG639" s="402"/>
      <c r="AH639" s="402"/>
      <c r="AI639" s="402"/>
      <c r="AJ639" s="402"/>
      <c r="AK639" s="402"/>
      <c r="AL639" s="402"/>
      <c r="AM639" s="402"/>
      <c r="AN639" s="402"/>
      <c r="AO639" s="402"/>
      <c r="AP639" s="41"/>
      <c r="AQ639" s="86"/>
      <c r="AR639" s="86"/>
      <c r="AS639" s="86"/>
    </row>
    <row r="640" spans="2:45" x14ac:dyDescent="0.15">
      <c r="C640" s="46"/>
      <c r="D640" s="46"/>
      <c r="E640" s="47"/>
      <c r="F640" s="246"/>
      <c r="G640" s="47"/>
      <c r="H640" s="47"/>
      <c r="I640" s="257"/>
      <c r="J640" s="245"/>
      <c r="K640" s="245"/>
      <c r="L640" s="245"/>
      <c r="M640" s="245"/>
      <c r="N640" s="245"/>
      <c r="O640" s="245"/>
      <c r="P640" s="245"/>
      <c r="Q640" s="245"/>
      <c r="R640" s="245"/>
      <c r="S640" s="245"/>
      <c r="T640" s="245"/>
      <c r="U640" s="245"/>
      <c r="V640" s="245"/>
      <c r="W640" s="46"/>
      <c r="X640" s="296" t="s">
        <v>212</v>
      </c>
      <c r="Y640" s="296"/>
      <c r="Z640" s="296"/>
      <c r="AA640" s="296"/>
      <c r="AB640" s="296"/>
      <c r="AC640" s="296"/>
      <c r="AD640" s="296"/>
      <c r="AE640" s="296"/>
      <c r="AF640" s="296"/>
      <c r="AG640" s="296"/>
      <c r="AH640" s="296"/>
      <c r="AI640" s="296"/>
      <c r="AJ640" s="296"/>
      <c r="AK640" s="296"/>
      <c r="AL640" s="296"/>
      <c r="AM640" s="296"/>
      <c r="AN640" s="296"/>
      <c r="AO640" s="296"/>
      <c r="AQ640" s="86"/>
      <c r="AR640" s="86"/>
      <c r="AS640" s="86"/>
    </row>
    <row r="641" spans="2:45" ht="14.25" thickBot="1" x14ac:dyDescent="0.2">
      <c r="C641" s="86"/>
      <c r="D641" s="86"/>
      <c r="E641" s="93"/>
      <c r="F641" s="247"/>
      <c r="G641" s="93"/>
      <c r="H641" s="93"/>
      <c r="I641" s="258"/>
      <c r="J641" s="248"/>
      <c r="K641" s="248"/>
      <c r="L641" s="248"/>
      <c r="M641" s="248"/>
      <c r="N641" s="248"/>
      <c r="O641" s="248"/>
      <c r="P641" s="248"/>
      <c r="Q641" s="248"/>
      <c r="R641" s="248"/>
      <c r="S641" s="248"/>
      <c r="T641" s="248"/>
      <c r="U641" s="248"/>
      <c r="V641" s="248"/>
      <c r="W641" s="86"/>
      <c r="X641" s="296" t="s">
        <v>212</v>
      </c>
      <c r="Y641" s="296"/>
      <c r="Z641" s="296"/>
      <c r="AA641" s="296"/>
      <c r="AB641" s="296"/>
      <c r="AC641" s="296"/>
      <c r="AD641" s="296"/>
      <c r="AE641" s="296"/>
      <c r="AF641" s="296"/>
      <c r="AG641" s="296"/>
      <c r="AH641" s="296"/>
      <c r="AI641" s="296"/>
      <c r="AJ641" s="296"/>
      <c r="AK641" s="296"/>
      <c r="AL641" s="296"/>
      <c r="AM641" s="296"/>
      <c r="AN641" s="296"/>
      <c r="AO641" s="296"/>
      <c r="AQ641" s="86"/>
      <c r="AR641" s="86"/>
      <c r="AS641" s="86"/>
    </row>
    <row r="642" spans="2:45" ht="18" customHeight="1" thickBot="1" x14ac:dyDescent="0.2">
      <c r="B642" s="42">
        <v>40</v>
      </c>
      <c r="C642" s="86"/>
      <c r="D642" s="94" t="s">
        <v>195</v>
      </c>
      <c r="E642" s="95" t="s">
        <v>72</v>
      </c>
      <c r="F642" s="80"/>
      <c r="G642" s="86"/>
      <c r="H642" s="80"/>
      <c r="I642" s="259"/>
      <c r="J642" s="366" t="str">
        <f>IFERROR(VLOOKUP($F642,補助対象機器一覧20220831!$A$2:$K$200,2,FALSE),"")</f>
        <v/>
      </c>
      <c r="K642" s="367"/>
      <c r="L642" s="368"/>
      <c r="M642" s="248"/>
      <c r="N642" s="366" t="str">
        <f>IFERROR(VLOOKUP($F642,補助対象機器一覧20220831!$A$2:$K$200,7,FALSE),"")</f>
        <v/>
      </c>
      <c r="O642" s="367"/>
      <c r="P642" s="368"/>
      <c r="Q642" s="248"/>
      <c r="R642" s="366" t="str">
        <f>IFERROR(VLOOKUP($F642,補助対象機器一覧20220831!$A$2:$K$200,8,FALSE),"")</f>
        <v/>
      </c>
      <c r="S642" s="367"/>
      <c r="T642" s="368"/>
      <c r="U642" s="248"/>
      <c r="V642" s="244" t="str">
        <f>IFERROR(VLOOKUP($F642,補助対象機器一覧20220831!$A$2:$K$200,9,FALSE),"")</f>
        <v/>
      </c>
      <c r="W642" s="86"/>
      <c r="X642" s="402" t="str">
        <f>IF($B642&lt;=入力シート!$F$85,""&amp;中間シート!X631,"")</f>
        <v/>
      </c>
      <c r="Y642" s="402"/>
      <c r="Z642" s="402"/>
      <c r="AA642" s="402"/>
      <c r="AB642" s="402"/>
      <c r="AC642" s="402"/>
      <c r="AD642" s="402"/>
      <c r="AE642" s="402"/>
      <c r="AF642" s="402"/>
      <c r="AG642" s="402"/>
      <c r="AH642" s="402"/>
      <c r="AI642" s="402"/>
      <c r="AJ642" s="402"/>
      <c r="AK642" s="402"/>
      <c r="AL642" s="402"/>
      <c r="AM642" s="402"/>
      <c r="AN642" s="402"/>
      <c r="AO642" s="402"/>
      <c r="AQ642" s="81">
        <f>IF(J642&lt;&gt;"",1,IF(H642="なし",2,0))</f>
        <v>0</v>
      </c>
      <c r="AR642" s="86"/>
      <c r="AS642" s="86"/>
    </row>
    <row r="643" spans="2:45" ht="5.0999999999999996" customHeight="1" thickBot="1" x14ac:dyDescent="0.2">
      <c r="C643" s="86"/>
      <c r="D643" s="94"/>
      <c r="E643" s="95"/>
      <c r="F643" s="248"/>
      <c r="G643" s="86"/>
      <c r="H643" s="86"/>
      <c r="I643" s="259"/>
      <c r="J643" s="248"/>
      <c r="K643" s="248"/>
      <c r="L643" s="248"/>
      <c r="M643" s="248"/>
      <c r="N643" s="248"/>
      <c r="O643" s="248"/>
      <c r="P643" s="248"/>
      <c r="Q643" s="248"/>
      <c r="R643" s="248"/>
      <c r="S643" s="248"/>
      <c r="T643" s="248"/>
      <c r="U643" s="248"/>
      <c r="V643" s="248"/>
      <c r="W643" s="86"/>
      <c r="X643" s="402"/>
      <c r="Y643" s="402"/>
      <c r="Z643" s="402"/>
      <c r="AA643" s="402"/>
      <c r="AB643" s="402"/>
      <c r="AC643" s="402"/>
      <c r="AD643" s="402"/>
      <c r="AE643" s="402"/>
      <c r="AF643" s="402"/>
      <c r="AG643" s="402"/>
      <c r="AH643" s="402"/>
      <c r="AI643" s="402"/>
      <c r="AJ643" s="402"/>
      <c r="AK643" s="402"/>
      <c r="AL643" s="402"/>
      <c r="AM643" s="402"/>
      <c r="AN643" s="402"/>
      <c r="AO643" s="402"/>
      <c r="AP643" s="41"/>
      <c r="AQ643" s="86"/>
      <c r="AR643" s="86"/>
      <c r="AS643" s="86"/>
    </row>
    <row r="644" spans="2:45" ht="18" customHeight="1" thickBot="1" x14ac:dyDescent="0.2">
      <c r="B644" s="42">
        <v>40</v>
      </c>
      <c r="C644" s="86"/>
      <c r="D644" s="94"/>
      <c r="E644" s="95"/>
      <c r="F644" s="247"/>
      <c r="G644" s="86"/>
      <c r="H644" s="86"/>
      <c r="I644" s="260" t="str">
        <f>IF(AQ642=2,"入力してください→",IF(AQ642=1,"入力不要です→",""))</f>
        <v/>
      </c>
      <c r="J644" s="387"/>
      <c r="K644" s="388"/>
      <c r="L644" s="389"/>
      <c r="M644" s="248"/>
      <c r="N644" s="387"/>
      <c r="O644" s="388"/>
      <c r="P644" s="389"/>
      <c r="Q644" s="248"/>
      <c r="R644" s="387"/>
      <c r="S644" s="388"/>
      <c r="T644" s="389"/>
      <c r="U644" s="248"/>
      <c r="V644" s="249"/>
      <c r="W644" s="86"/>
      <c r="X644" s="402"/>
      <c r="Y644" s="402"/>
      <c r="Z644" s="402"/>
      <c r="AA644" s="402"/>
      <c r="AB644" s="402"/>
      <c r="AC644" s="402"/>
      <c r="AD644" s="402"/>
      <c r="AE644" s="402"/>
      <c r="AF644" s="402"/>
      <c r="AG644" s="402"/>
      <c r="AH644" s="402"/>
      <c r="AI644" s="402"/>
      <c r="AJ644" s="402"/>
      <c r="AK644" s="402"/>
      <c r="AL644" s="402"/>
      <c r="AM644" s="402"/>
      <c r="AN644" s="402"/>
      <c r="AO644" s="402"/>
      <c r="AP644" s="41"/>
      <c r="AQ644" s="86"/>
      <c r="AR644" s="86"/>
      <c r="AS644" s="86"/>
    </row>
    <row r="645" spans="2:45" ht="5.0999999999999996" customHeight="1" thickBot="1" x14ac:dyDescent="0.2">
      <c r="C645" s="86"/>
      <c r="D645" s="86"/>
      <c r="E645" s="93"/>
      <c r="F645" s="248"/>
      <c r="G645" s="93"/>
      <c r="H645" s="93"/>
      <c r="I645" s="259"/>
      <c r="J645" s="248"/>
      <c r="K645" s="248"/>
      <c r="L645" s="248"/>
      <c r="M645" s="248"/>
      <c r="N645" s="248"/>
      <c r="O645" s="248"/>
      <c r="P645" s="248"/>
      <c r="Q645" s="248"/>
      <c r="R645" s="248"/>
      <c r="S645" s="248"/>
      <c r="T645" s="248"/>
      <c r="U645" s="248"/>
      <c r="V645" s="248"/>
      <c r="W645" s="86"/>
      <c r="X645" s="296" t="s">
        <v>212</v>
      </c>
      <c r="Y645" s="296"/>
      <c r="Z645" s="296"/>
      <c r="AA645" s="296"/>
      <c r="AB645" s="296"/>
      <c r="AC645" s="296"/>
      <c r="AD645" s="296"/>
      <c r="AE645" s="296"/>
      <c r="AF645" s="296"/>
      <c r="AG645" s="296"/>
      <c r="AH645" s="296"/>
      <c r="AI645" s="296"/>
      <c r="AJ645" s="296"/>
      <c r="AK645" s="296"/>
      <c r="AL645" s="296"/>
      <c r="AM645" s="296"/>
      <c r="AN645" s="296"/>
      <c r="AO645" s="296"/>
      <c r="AP645" s="41"/>
      <c r="AQ645" s="86"/>
      <c r="AR645" s="86"/>
      <c r="AS645" s="86"/>
    </row>
    <row r="646" spans="2:45" ht="18" customHeight="1" thickBot="1" x14ac:dyDescent="0.2">
      <c r="B646" s="42">
        <v>40</v>
      </c>
      <c r="C646" s="86"/>
      <c r="D646" s="86"/>
      <c r="E646" s="95" t="s">
        <v>73</v>
      </c>
      <c r="F646" s="80"/>
      <c r="G646" s="93"/>
      <c r="H646" s="80"/>
      <c r="I646" s="259"/>
      <c r="J646" s="366" t="str">
        <f>IFERROR(VLOOKUP($F646,補助対象機器一覧20220831!$A$2:$K$200,2,FALSE),"")</f>
        <v/>
      </c>
      <c r="K646" s="367"/>
      <c r="L646" s="368"/>
      <c r="M646" s="248"/>
      <c r="N646" s="366" t="str">
        <f>IFERROR(VLOOKUP($F646,補助対象機器一覧20220831!$A$2:$K$200,7,FALSE),"")</f>
        <v/>
      </c>
      <c r="O646" s="367"/>
      <c r="P646" s="368"/>
      <c r="Q646" s="248"/>
      <c r="R646" s="366" t="str">
        <f>IFERROR(VLOOKUP($F646,補助対象機器一覧20220831!$A$2:$K$200,8,FALSE),"")</f>
        <v/>
      </c>
      <c r="S646" s="367"/>
      <c r="T646" s="368"/>
      <c r="U646" s="248"/>
      <c r="V646" s="244" t="str">
        <f>IFERROR(VLOOKUP($F646,補助対象機器一覧20220831!$A$2:$K$200,9,FALSE),"")</f>
        <v/>
      </c>
      <c r="W646" s="86"/>
      <c r="X646" s="402" t="str">
        <f>IF($B646&lt;=入力シート!$F$85,""&amp;中間シート!X632,"")</f>
        <v/>
      </c>
      <c r="Y646" s="402"/>
      <c r="Z646" s="402"/>
      <c r="AA646" s="402"/>
      <c r="AB646" s="402"/>
      <c r="AC646" s="402"/>
      <c r="AD646" s="402"/>
      <c r="AE646" s="402"/>
      <c r="AF646" s="402"/>
      <c r="AG646" s="402"/>
      <c r="AH646" s="402"/>
      <c r="AI646" s="402"/>
      <c r="AJ646" s="402"/>
      <c r="AK646" s="402"/>
      <c r="AL646" s="402"/>
      <c r="AM646" s="402"/>
      <c r="AN646" s="402"/>
      <c r="AO646" s="402"/>
      <c r="AP646" s="41"/>
      <c r="AQ646" s="81">
        <f>IF(J646&lt;&gt;"",1,IF(H646="なし",2,0))</f>
        <v>0</v>
      </c>
      <c r="AR646" s="86"/>
      <c r="AS646" s="86"/>
    </row>
    <row r="647" spans="2:45" ht="5.0999999999999996" customHeight="1" thickBot="1" x14ac:dyDescent="0.2">
      <c r="C647" s="86"/>
      <c r="D647" s="86"/>
      <c r="E647" s="95"/>
      <c r="F647" s="247"/>
      <c r="G647" s="93"/>
      <c r="H647" s="93"/>
      <c r="I647" s="259"/>
      <c r="J647" s="247"/>
      <c r="K647" s="247"/>
      <c r="L647" s="247"/>
      <c r="M647" s="248"/>
      <c r="N647" s="247"/>
      <c r="O647" s="247"/>
      <c r="P647" s="247"/>
      <c r="Q647" s="248"/>
      <c r="R647" s="247"/>
      <c r="S647" s="247"/>
      <c r="T647" s="247"/>
      <c r="U647" s="248"/>
      <c r="V647" s="247"/>
      <c r="W647" s="86"/>
      <c r="X647" s="402"/>
      <c r="Y647" s="402"/>
      <c r="Z647" s="402"/>
      <c r="AA647" s="402"/>
      <c r="AB647" s="402"/>
      <c r="AC647" s="402"/>
      <c r="AD647" s="402"/>
      <c r="AE647" s="402"/>
      <c r="AF647" s="402"/>
      <c r="AG647" s="402"/>
      <c r="AH647" s="402"/>
      <c r="AI647" s="402"/>
      <c r="AJ647" s="402"/>
      <c r="AK647" s="402"/>
      <c r="AL647" s="402"/>
      <c r="AM647" s="402"/>
      <c r="AN647" s="402"/>
      <c r="AO647" s="402"/>
      <c r="AP647" s="41"/>
      <c r="AQ647" s="86"/>
      <c r="AR647" s="86"/>
      <c r="AS647" s="86"/>
    </row>
    <row r="648" spans="2:45" ht="18" customHeight="1" thickBot="1" x14ac:dyDescent="0.2">
      <c r="B648" s="42">
        <v>40</v>
      </c>
      <c r="C648" s="86"/>
      <c r="D648" s="86"/>
      <c r="E648" s="95"/>
      <c r="F648" s="247"/>
      <c r="G648" s="93"/>
      <c r="H648" s="93"/>
      <c r="I648" s="260" t="str">
        <f>IF(AQ646=2,"入力してください→",IF(AQ646=1,"入力不要です→",""))</f>
        <v/>
      </c>
      <c r="J648" s="387"/>
      <c r="K648" s="388"/>
      <c r="L648" s="389"/>
      <c r="M648" s="248"/>
      <c r="N648" s="387"/>
      <c r="O648" s="388"/>
      <c r="P648" s="389"/>
      <c r="Q648" s="248"/>
      <c r="R648" s="387"/>
      <c r="S648" s="388"/>
      <c r="T648" s="389"/>
      <c r="U648" s="248"/>
      <c r="V648" s="249"/>
      <c r="W648" s="86"/>
      <c r="X648" s="402"/>
      <c r="Y648" s="402"/>
      <c r="Z648" s="402"/>
      <c r="AA648" s="402"/>
      <c r="AB648" s="402"/>
      <c r="AC648" s="402"/>
      <c r="AD648" s="402"/>
      <c r="AE648" s="402"/>
      <c r="AF648" s="402"/>
      <c r="AG648" s="402"/>
      <c r="AH648" s="402"/>
      <c r="AI648" s="402"/>
      <c r="AJ648" s="402"/>
      <c r="AK648" s="402"/>
      <c r="AL648" s="402"/>
      <c r="AM648" s="402"/>
      <c r="AN648" s="402"/>
      <c r="AO648" s="402"/>
      <c r="AP648" s="41"/>
      <c r="AQ648" s="86"/>
      <c r="AR648" s="86"/>
      <c r="AS648" s="86"/>
    </row>
    <row r="649" spans="2:45" ht="5.0999999999999996" customHeight="1" thickBot="1" x14ac:dyDescent="0.2">
      <c r="C649" s="86"/>
      <c r="D649" s="86"/>
      <c r="E649" s="95"/>
      <c r="F649" s="247"/>
      <c r="G649" s="93"/>
      <c r="H649" s="93"/>
      <c r="I649" s="259"/>
      <c r="J649" s="247"/>
      <c r="K649" s="247"/>
      <c r="L649" s="247"/>
      <c r="M649" s="248"/>
      <c r="N649" s="247"/>
      <c r="O649" s="247"/>
      <c r="P649" s="247"/>
      <c r="Q649" s="248"/>
      <c r="R649" s="247"/>
      <c r="S649" s="247"/>
      <c r="T649" s="247"/>
      <c r="U649" s="248"/>
      <c r="V649" s="247"/>
      <c r="W649" s="86"/>
      <c r="X649" s="296" t="s">
        <v>212</v>
      </c>
      <c r="Y649" s="296"/>
      <c r="Z649" s="296"/>
      <c r="AA649" s="296"/>
      <c r="AB649" s="296"/>
      <c r="AC649" s="296"/>
      <c r="AD649" s="296"/>
      <c r="AE649" s="296"/>
      <c r="AF649" s="296"/>
      <c r="AG649" s="296"/>
      <c r="AH649" s="296"/>
      <c r="AI649" s="296"/>
      <c r="AJ649" s="296"/>
      <c r="AK649" s="296"/>
      <c r="AL649" s="296"/>
      <c r="AM649" s="296"/>
      <c r="AN649" s="296"/>
      <c r="AO649" s="296"/>
      <c r="AP649" s="41"/>
      <c r="AQ649" s="86"/>
      <c r="AR649" s="86"/>
      <c r="AS649" s="86"/>
    </row>
    <row r="650" spans="2:45" ht="18" customHeight="1" thickBot="1" x14ac:dyDescent="0.2">
      <c r="B650" s="42">
        <v>40</v>
      </c>
      <c r="C650" s="86"/>
      <c r="D650" s="86"/>
      <c r="E650" s="95" t="s">
        <v>74</v>
      </c>
      <c r="F650" s="80"/>
      <c r="G650" s="93"/>
      <c r="H650" s="80"/>
      <c r="I650" s="259"/>
      <c r="J650" s="366" t="str">
        <f>IFERROR(VLOOKUP($F650,補助対象機器一覧20220831!$A$2:$K$200,2,FALSE),"")</f>
        <v/>
      </c>
      <c r="K650" s="367"/>
      <c r="L650" s="368"/>
      <c r="M650" s="248"/>
      <c r="N650" s="366" t="str">
        <f>IFERROR(VLOOKUP($F650,補助対象機器一覧20220831!$A$2:$K$200,7,FALSE),"")</f>
        <v/>
      </c>
      <c r="O650" s="367"/>
      <c r="P650" s="368"/>
      <c r="Q650" s="248"/>
      <c r="R650" s="366" t="str">
        <f>IFERROR(VLOOKUP($F650,補助対象機器一覧20220831!$A$2:$K$200,8,FALSE),"")</f>
        <v/>
      </c>
      <c r="S650" s="367"/>
      <c r="T650" s="368"/>
      <c r="U650" s="248"/>
      <c r="V650" s="244" t="str">
        <f>IFERROR(VLOOKUP($F650,補助対象機器一覧20220831!$A$2:$K$200,9,FALSE),"")</f>
        <v/>
      </c>
      <c r="W650" s="86"/>
      <c r="X650" s="402" t="str">
        <f>IF($B650&lt;=入力シート!$F$85,""&amp;中間シート!X633,"")</f>
        <v/>
      </c>
      <c r="Y650" s="402"/>
      <c r="Z650" s="402"/>
      <c r="AA650" s="402"/>
      <c r="AB650" s="402"/>
      <c r="AC650" s="402"/>
      <c r="AD650" s="402"/>
      <c r="AE650" s="402"/>
      <c r="AF650" s="402"/>
      <c r="AG650" s="402"/>
      <c r="AH650" s="402"/>
      <c r="AI650" s="402"/>
      <c r="AJ650" s="402"/>
      <c r="AK650" s="402"/>
      <c r="AL650" s="402"/>
      <c r="AM650" s="402"/>
      <c r="AN650" s="402"/>
      <c r="AO650" s="402"/>
      <c r="AP650" s="41"/>
      <c r="AQ650" s="81">
        <f>IF(J650&lt;&gt;"",1,IF(H650="なし",2,0))</f>
        <v>0</v>
      </c>
      <c r="AR650" s="86"/>
      <c r="AS650" s="86"/>
    </row>
    <row r="651" spans="2:45" ht="5.0999999999999996" customHeight="1" thickBot="1" x14ac:dyDescent="0.2">
      <c r="C651" s="86"/>
      <c r="D651" s="86"/>
      <c r="E651" s="95"/>
      <c r="F651" s="247"/>
      <c r="G651" s="93"/>
      <c r="H651" s="93"/>
      <c r="I651" s="259"/>
      <c r="J651" s="247"/>
      <c r="K651" s="247"/>
      <c r="L651" s="247"/>
      <c r="M651" s="248"/>
      <c r="N651" s="247"/>
      <c r="O651" s="247"/>
      <c r="P651" s="247"/>
      <c r="Q651" s="248"/>
      <c r="R651" s="247"/>
      <c r="S651" s="247"/>
      <c r="T651" s="247"/>
      <c r="U651" s="248"/>
      <c r="V651" s="247"/>
      <c r="W651" s="86"/>
      <c r="X651" s="402"/>
      <c r="Y651" s="402"/>
      <c r="Z651" s="402"/>
      <c r="AA651" s="402"/>
      <c r="AB651" s="402"/>
      <c r="AC651" s="402"/>
      <c r="AD651" s="402"/>
      <c r="AE651" s="402"/>
      <c r="AF651" s="402"/>
      <c r="AG651" s="402"/>
      <c r="AH651" s="402"/>
      <c r="AI651" s="402"/>
      <c r="AJ651" s="402"/>
      <c r="AK651" s="402"/>
      <c r="AL651" s="402"/>
      <c r="AM651" s="402"/>
      <c r="AN651" s="402"/>
      <c r="AO651" s="402"/>
      <c r="AP651" s="41"/>
      <c r="AQ651" s="86"/>
      <c r="AR651" s="86"/>
      <c r="AS651" s="86"/>
    </row>
    <row r="652" spans="2:45" ht="18" customHeight="1" thickBot="1" x14ac:dyDescent="0.2">
      <c r="B652" s="42">
        <v>40</v>
      </c>
      <c r="C652" s="86"/>
      <c r="D652" s="86"/>
      <c r="E652" s="93"/>
      <c r="F652" s="247"/>
      <c r="G652" s="93"/>
      <c r="H652" s="93"/>
      <c r="I652" s="260" t="str">
        <f>IF(AQ650=2,"入力してください→",IF(AQ650=1,"入力不要です→",""))</f>
        <v/>
      </c>
      <c r="J652" s="387"/>
      <c r="K652" s="388"/>
      <c r="L652" s="389"/>
      <c r="M652" s="248"/>
      <c r="N652" s="387"/>
      <c r="O652" s="388"/>
      <c r="P652" s="389"/>
      <c r="Q652" s="248"/>
      <c r="R652" s="387"/>
      <c r="S652" s="388"/>
      <c r="T652" s="389"/>
      <c r="U652" s="248"/>
      <c r="V652" s="249"/>
      <c r="W652" s="86"/>
      <c r="X652" s="402"/>
      <c r="Y652" s="402"/>
      <c r="Z652" s="402"/>
      <c r="AA652" s="402"/>
      <c r="AB652" s="402"/>
      <c r="AC652" s="402"/>
      <c r="AD652" s="402"/>
      <c r="AE652" s="402"/>
      <c r="AF652" s="402"/>
      <c r="AG652" s="402"/>
      <c r="AH652" s="402"/>
      <c r="AI652" s="402"/>
      <c r="AJ652" s="402"/>
      <c r="AK652" s="402"/>
      <c r="AL652" s="402"/>
      <c r="AM652" s="402"/>
      <c r="AN652" s="402"/>
      <c r="AO652" s="402"/>
      <c r="AP652" s="41"/>
      <c r="AQ652" s="86"/>
      <c r="AR652" s="86"/>
      <c r="AS652" s="86"/>
    </row>
    <row r="653" spans="2:45" x14ac:dyDescent="0.15">
      <c r="C653" s="86"/>
      <c r="D653" s="86"/>
      <c r="E653" s="93"/>
      <c r="F653" s="247"/>
      <c r="G653" s="93"/>
      <c r="H653" s="93"/>
      <c r="I653" s="258"/>
      <c r="J653" s="248"/>
      <c r="K653" s="248"/>
      <c r="L653" s="248"/>
      <c r="M653" s="248"/>
      <c r="N653" s="248"/>
      <c r="O653" s="248"/>
      <c r="P653" s="248"/>
      <c r="Q653" s="248"/>
      <c r="R653" s="248"/>
      <c r="S653" s="248"/>
      <c r="T653" s="248"/>
      <c r="U653" s="248"/>
      <c r="V653" s="248"/>
      <c r="W653" s="86"/>
      <c r="X653" s="296" t="s">
        <v>212</v>
      </c>
      <c r="Y653" s="296"/>
      <c r="Z653" s="296"/>
      <c r="AA653" s="296"/>
      <c r="AB653" s="296"/>
      <c r="AC653" s="296"/>
      <c r="AD653" s="296"/>
      <c r="AE653" s="296"/>
      <c r="AF653" s="296"/>
      <c r="AG653" s="296"/>
      <c r="AH653" s="296"/>
      <c r="AI653" s="296"/>
      <c r="AJ653" s="296"/>
      <c r="AK653" s="296"/>
      <c r="AL653" s="296"/>
      <c r="AM653" s="296"/>
      <c r="AN653" s="296"/>
      <c r="AO653" s="296"/>
      <c r="AQ653" s="86"/>
      <c r="AR653" s="86"/>
      <c r="AS653" s="86"/>
    </row>
    <row r="654" spans="2:45" ht="14.25" thickBot="1" x14ac:dyDescent="0.2">
      <c r="C654" s="46"/>
      <c r="D654" s="46"/>
      <c r="E654" s="47"/>
      <c r="F654" s="246"/>
      <c r="G654" s="47"/>
      <c r="H654" s="47"/>
      <c r="I654" s="257"/>
      <c r="J654" s="245"/>
      <c r="K654" s="245"/>
      <c r="L654" s="245"/>
      <c r="M654" s="245"/>
      <c r="N654" s="245"/>
      <c r="O654" s="245"/>
      <c r="P654" s="245"/>
      <c r="Q654" s="245"/>
      <c r="R654" s="245"/>
      <c r="S654" s="245"/>
      <c r="T654" s="245"/>
      <c r="U654" s="245"/>
      <c r="V654" s="245"/>
      <c r="W654" s="46"/>
      <c r="X654" s="296" t="s">
        <v>212</v>
      </c>
      <c r="Y654" s="296"/>
      <c r="Z654" s="296"/>
      <c r="AA654" s="296"/>
      <c r="AB654" s="296"/>
      <c r="AC654" s="296"/>
      <c r="AD654" s="296"/>
      <c r="AE654" s="296"/>
      <c r="AF654" s="296"/>
      <c r="AG654" s="296"/>
      <c r="AH654" s="296"/>
      <c r="AI654" s="296"/>
      <c r="AJ654" s="296"/>
      <c r="AK654" s="296"/>
      <c r="AL654" s="296"/>
      <c r="AM654" s="296"/>
      <c r="AN654" s="296"/>
      <c r="AO654" s="296"/>
      <c r="AQ654" s="86"/>
      <c r="AR654" s="86"/>
      <c r="AS654" s="86"/>
    </row>
    <row r="655" spans="2:45" ht="18" customHeight="1" thickBot="1" x14ac:dyDescent="0.2">
      <c r="B655" s="42">
        <v>41</v>
      </c>
      <c r="C655" s="46"/>
      <c r="D655" s="82" t="s">
        <v>196</v>
      </c>
      <c r="E655" s="48" t="s">
        <v>72</v>
      </c>
      <c r="F655" s="80"/>
      <c r="G655" s="46"/>
      <c r="H655" s="109"/>
      <c r="I655" s="255"/>
      <c r="J655" s="366" t="str">
        <f>IFERROR(VLOOKUP($F655,補助対象機器一覧20220831!$A$2:$K$200,2,FALSE),"")</f>
        <v/>
      </c>
      <c r="K655" s="367"/>
      <c r="L655" s="368"/>
      <c r="M655" s="245"/>
      <c r="N655" s="366" t="str">
        <f>IFERROR(VLOOKUP($F655,補助対象機器一覧20220831!$A$2:$K$200,7,FALSE),"")</f>
        <v/>
      </c>
      <c r="O655" s="367"/>
      <c r="P655" s="368"/>
      <c r="Q655" s="245"/>
      <c r="R655" s="366" t="str">
        <f>IFERROR(VLOOKUP($F655,補助対象機器一覧20220831!$A$2:$K$200,8,FALSE),"")</f>
        <v/>
      </c>
      <c r="S655" s="367"/>
      <c r="T655" s="368"/>
      <c r="U655" s="245"/>
      <c r="V655" s="244" t="str">
        <f>IFERROR(VLOOKUP($F655,補助対象機器一覧20220831!$A$2:$K$200,9,FALSE),"")</f>
        <v/>
      </c>
      <c r="W655" s="46"/>
      <c r="X655" s="402" t="str">
        <f>IF($B655&lt;=入力シート!$F$85,""&amp;中間シート!X634,"")</f>
        <v/>
      </c>
      <c r="Y655" s="402"/>
      <c r="Z655" s="402"/>
      <c r="AA655" s="402"/>
      <c r="AB655" s="402"/>
      <c r="AC655" s="402"/>
      <c r="AD655" s="402"/>
      <c r="AE655" s="402"/>
      <c r="AF655" s="402"/>
      <c r="AG655" s="402"/>
      <c r="AH655" s="402"/>
      <c r="AI655" s="402"/>
      <c r="AJ655" s="402"/>
      <c r="AK655" s="402"/>
      <c r="AL655" s="402"/>
      <c r="AM655" s="402"/>
      <c r="AN655" s="402"/>
      <c r="AO655" s="402"/>
      <c r="AQ655" s="81">
        <f>IF(J655&lt;&gt;"",1,IF(H655="なし",2,0))</f>
        <v>0</v>
      </c>
      <c r="AR655" s="86"/>
      <c r="AS655" s="86"/>
    </row>
    <row r="656" spans="2:45" ht="5.0999999999999996" customHeight="1" thickBot="1" x14ac:dyDescent="0.2">
      <c r="C656" s="46"/>
      <c r="D656" s="46"/>
      <c r="E656" s="48"/>
      <c r="F656" s="245"/>
      <c r="G656" s="46"/>
      <c r="H656" s="46"/>
      <c r="I656" s="255"/>
      <c r="J656" s="245"/>
      <c r="K656" s="245"/>
      <c r="L656" s="245"/>
      <c r="M656" s="245"/>
      <c r="N656" s="245"/>
      <c r="O656" s="245"/>
      <c r="P656" s="245"/>
      <c r="Q656" s="245"/>
      <c r="R656" s="245"/>
      <c r="S656" s="245"/>
      <c r="T656" s="245"/>
      <c r="U656" s="245"/>
      <c r="V656" s="245"/>
      <c r="W656" s="46"/>
      <c r="X656" s="402"/>
      <c r="Y656" s="402"/>
      <c r="Z656" s="402"/>
      <c r="AA656" s="402"/>
      <c r="AB656" s="402"/>
      <c r="AC656" s="402"/>
      <c r="AD656" s="402"/>
      <c r="AE656" s="402"/>
      <c r="AF656" s="402"/>
      <c r="AG656" s="402"/>
      <c r="AH656" s="402"/>
      <c r="AI656" s="402"/>
      <c r="AJ656" s="402"/>
      <c r="AK656" s="402"/>
      <c r="AL656" s="402"/>
      <c r="AM656" s="402"/>
      <c r="AN656" s="402"/>
      <c r="AO656" s="402"/>
      <c r="AP656" s="41"/>
      <c r="AQ656" s="86"/>
      <c r="AR656" s="86"/>
      <c r="AS656" s="86"/>
    </row>
    <row r="657" spans="2:45" ht="18" customHeight="1" thickBot="1" x14ac:dyDescent="0.2">
      <c r="B657" s="42">
        <v>41</v>
      </c>
      <c r="C657" s="46"/>
      <c r="D657" s="82"/>
      <c r="E657" s="48"/>
      <c r="F657" s="246"/>
      <c r="G657" s="46"/>
      <c r="H657" s="46"/>
      <c r="I657" s="261" t="str">
        <f>IF(AQ655=2,"入力してください→",IF(AQ655=1,"入力不要です→",""))</f>
        <v/>
      </c>
      <c r="J657" s="387"/>
      <c r="K657" s="388"/>
      <c r="L657" s="389"/>
      <c r="M657" s="245"/>
      <c r="N657" s="387"/>
      <c r="O657" s="388"/>
      <c r="P657" s="389"/>
      <c r="Q657" s="245"/>
      <c r="R657" s="387"/>
      <c r="S657" s="388"/>
      <c r="T657" s="389"/>
      <c r="U657" s="245"/>
      <c r="V657" s="249"/>
      <c r="W657" s="46"/>
      <c r="X657" s="402"/>
      <c r="Y657" s="402"/>
      <c r="Z657" s="402"/>
      <c r="AA657" s="402"/>
      <c r="AB657" s="402"/>
      <c r="AC657" s="402"/>
      <c r="AD657" s="402"/>
      <c r="AE657" s="402"/>
      <c r="AF657" s="402"/>
      <c r="AG657" s="402"/>
      <c r="AH657" s="402"/>
      <c r="AI657" s="402"/>
      <c r="AJ657" s="402"/>
      <c r="AK657" s="402"/>
      <c r="AL657" s="402"/>
      <c r="AM657" s="402"/>
      <c r="AN657" s="402"/>
      <c r="AO657" s="402"/>
      <c r="AP657" s="41"/>
      <c r="AQ657" s="86"/>
      <c r="AR657" s="86"/>
      <c r="AS657" s="86"/>
    </row>
    <row r="658" spans="2:45" ht="5.0999999999999996" customHeight="1" thickBot="1" x14ac:dyDescent="0.2">
      <c r="C658" s="46"/>
      <c r="D658" s="46"/>
      <c r="E658" s="48"/>
      <c r="F658" s="245"/>
      <c r="G658" s="47"/>
      <c r="H658" s="47"/>
      <c r="I658" s="255"/>
      <c r="J658" s="245"/>
      <c r="K658" s="245"/>
      <c r="L658" s="245"/>
      <c r="M658" s="245"/>
      <c r="N658" s="245"/>
      <c r="O658" s="245"/>
      <c r="P658" s="245"/>
      <c r="Q658" s="245"/>
      <c r="R658" s="245"/>
      <c r="S658" s="245"/>
      <c r="T658" s="245"/>
      <c r="U658" s="245"/>
      <c r="V658" s="245"/>
      <c r="W658" s="46"/>
      <c r="X658" s="296" t="s">
        <v>212</v>
      </c>
      <c r="Y658" s="296"/>
      <c r="Z658" s="296"/>
      <c r="AA658" s="296"/>
      <c r="AB658" s="296"/>
      <c r="AC658" s="296"/>
      <c r="AD658" s="296"/>
      <c r="AE658" s="296"/>
      <c r="AF658" s="296"/>
      <c r="AG658" s="296"/>
      <c r="AH658" s="296"/>
      <c r="AI658" s="296"/>
      <c r="AJ658" s="296"/>
      <c r="AK658" s="296"/>
      <c r="AL658" s="296"/>
      <c r="AM658" s="296"/>
      <c r="AN658" s="296"/>
      <c r="AO658" s="296"/>
      <c r="AP658" s="41"/>
      <c r="AQ658" s="86"/>
      <c r="AR658" s="86"/>
      <c r="AS658" s="86"/>
    </row>
    <row r="659" spans="2:45" ht="18" customHeight="1" thickBot="1" x14ac:dyDescent="0.2">
      <c r="B659" s="42">
        <v>41</v>
      </c>
      <c r="C659" s="46"/>
      <c r="D659" s="46"/>
      <c r="E659" s="48" t="s">
        <v>73</v>
      </c>
      <c r="F659" s="80"/>
      <c r="G659" s="47"/>
      <c r="H659" s="109"/>
      <c r="I659" s="255"/>
      <c r="J659" s="366" t="str">
        <f>IFERROR(VLOOKUP($F659,補助対象機器一覧20220831!$A$2:$K$200,2,FALSE),"")</f>
        <v/>
      </c>
      <c r="K659" s="367"/>
      <c r="L659" s="368"/>
      <c r="M659" s="245"/>
      <c r="N659" s="366" t="str">
        <f>IFERROR(VLOOKUP($F659,補助対象機器一覧20220831!$A$2:$K$200,7,FALSE),"")</f>
        <v/>
      </c>
      <c r="O659" s="367"/>
      <c r="P659" s="368"/>
      <c r="Q659" s="245"/>
      <c r="R659" s="366" t="str">
        <f>IFERROR(VLOOKUP($F659,補助対象機器一覧20220831!$A$2:$K$200,8,FALSE),"")</f>
        <v/>
      </c>
      <c r="S659" s="367"/>
      <c r="T659" s="368"/>
      <c r="U659" s="245"/>
      <c r="V659" s="244" t="str">
        <f>IFERROR(VLOOKUP($F659,補助対象機器一覧20220831!$A$2:$K$200,9,FALSE),"")</f>
        <v/>
      </c>
      <c r="W659" s="46"/>
      <c r="X659" s="402" t="str">
        <f>IF($B659&lt;=入力シート!$F$85,""&amp;中間シート!X635,"")</f>
        <v/>
      </c>
      <c r="Y659" s="402"/>
      <c r="Z659" s="402"/>
      <c r="AA659" s="402"/>
      <c r="AB659" s="402"/>
      <c r="AC659" s="402"/>
      <c r="AD659" s="402"/>
      <c r="AE659" s="402"/>
      <c r="AF659" s="402"/>
      <c r="AG659" s="402"/>
      <c r="AH659" s="402"/>
      <c r="AI659" s="402"/>
      <c r="AJ659" s="402"/>
      <c r="AK659" s="402"/>
      <c r="AL659" s="402"/>
      <c r="AM659" s="402"/>
      <c r="AN659" s="402"/>
      <c r="AO659" s="402"/>
      <c r="AP659" s="41"/>
      <c r="AQ659" s="81">
        <f>IF(J659&lt;&gt;"",1,IF(H659="なし",2,0))</f>
        <v>0</v>
      </c>
      <c r="AR659" s="86"/>
      <c r="AS659" s="86"/>
    </row>
    <row r="660" spans="2:45" ht="5.0999999999999996" customHeight="1" thickBot="1" x14ac:dyDescent="0.2">
      <c r="C660" s="46"/>
      <c r="D660" s="46"/>
      <c r="E660" s="48"/>
      <c r="F660" s="246"/>
      <c r="G660" s="47"/>
      <c r="H660" s="47"/>
      <c r="I660" s="255"/>
      <c r="J660" s="246"/>
      <c r="K660" s="246"/>
      <c r="L660" s="246"/>
      <c r="M660" s="245"/>
      <c r="N660" s="246"/>
      <c r="O660" s="246"/>
      <c r="P660" s="246"/>
      <c r="Q660" s="245"/>
      <c r="R660" s="246"/>
      <c r="S660" s="246"/>
      <c r="T660" s="246"/>
      <c r="U660" s="245"/>
      <c r="V660" s="246"/>
      <c r="W660" s="46"/>
      <c r="X660" s="402"/>
      <c r="Y660" s="402"/>
      <c r="Z660" s="402"/>
      <c r="AA660" s="402"/>
      <c r="AB660" s="402"/>
      <c r="AC660" s="402"/>
      <c r="AD660" s="402"/>
      <c r="AE660" s="402"/>
      <c r="AF660" s="402"/>
      <c r="AG660" s="402"/>
      <c r="AH660" s="402"/>
      <c r="AI660" s="402"/>
      <c r="AJ660" s="402"/>
      <c r="AK660" s="402"/>
      <c r="AL660" s="402"/>
      <c r="AM660" s="402"/>
      <c r="AN660" s="402"/>
      <c r="AO660" s="402"/>
      <c r="AP660" s="41"/>
      <c r="AQ660" s="86"/>
      <c r="AR660" s="86"/>
      <c r="AS660" s="86"/>
    </row>
    <row r="661" spans="2:45" ht="18" customHeight="1" thickBot="1" x14ac:dyDescent="0.2">
      <c r="B661" s="42">
        <v>41</v>
      </c>
      <c r="C661" s="46"/>
      <c r="D661" s="46"/>
      <c r="E661" s="48"/>
      <c r="F661" s="246"/>
      <c r="G661" s="47"/>
      <c r="H661" s="47"/>
      <c r="I661" s="261" t="str">
        <f>IF(AQ659=2,"入力してください→",IF(AQ659=1,"入力不要です→",""))</f>
        <v/>
      </c>
      <c r="J661" s="387"/>
      <c r="K661" s="388"/>
      <c r="L661" s="389"/>
      <c r="M661" s="245"/>
      <c r="N661" s="387"/>
      <c r="O661" s="388"/>
      <c r="P661" s="389"/>
      <c r="Q661" s="245"/>
      <c r="R661" s="387"/>
      <c r="S661" s="388"/>
      <c r="T661" s="389"/>
      <c r="U661" s="245"/>
      <c r="V661" s="249"/>
      <c r="W661" s="46"/>
      <c r="X661" s="402"/>
      <c r="Y661" s="402"/>
      <c r="Z661" s="402"/>
      <c r="AA661" s="402"/>
      <c r="AB661" s="402"/>
      <c r="AC661" s="402"/>
      <c r="AD661" s="402"/>
      <c r="AE661" s="402"/>
      <c r="AF661" s="402"/>
      <c r="AG661" s="402"/>
      <c r="AH661" s="402"/>
      <c r="AI661" s="402"/>
      <c r="AJ661" s="402"/>
      <c r="AK661" s="402"/>
      <c r="AL661" s="402"/>
      <c r="AM661" s="402"/>
      <c r="AN661" s="402"/>
      <c r="AO661" s="402"/>
      <c r="AP661" s="41"/>
      <c r="AQ661" s="86"/>
      <c r="AR661" s="86"/>
      <c r="AS661" s="86"/>
    </row>
    <row r="662" spans="2:45" ht="5.0999999999999996" customHeight="1" thickBot="1" x14ac:dyDescent="0.2">
      <c r="C662" s="46"/>
      <c r="D662" s="46"/>
      <c r="E662" s="48"/>
      <c r="F662" s="246"/>
      <c r="G662" s="47"/>
      <c r="H662" s="47"/>
      <c r="I662" s="255"/>
      <c r="J662" s="246"/>
      <c r="K662" s="246"/>
      <c r="L662" s="246"/>
      <c r="M662" s="245"/>
      <c r="N662" s="246"/>
      <c r="O662" s="246"/>
      <c r="P662" s="246"/>
      <c r="Q662" s="245"/>
      <c r="R662" s="246"/>
      <c r="S662" s="246"/>
      <c r="T662" s="246"/>
      <c r="U662" s="245"/>
      <c r="V662" s="246"/>
      <c r="W662" s="46"/>
      <c r="X662" s="296" t="s">
        <v>212</v>
      </c>
      <c r="Y662" s="296"/>
      <c r="Z662" s="296"/>
      <c r="AA662" s="296"/>
      <c r="AB662" s="296"/>
      <c r="AC662" s="296"/>
      <c r="AD662" s="296"/>
      <c r="AE662" s="296"/>
      <c r="AF662" s="296"/>
      <c r="AG662" s="296"/>
      <c r="AH662" s="296"/>
      <c r="AI662" s="296"/>
      <c r="AJ662" s="296"/>
      <c r="AK662" s="296"/>
      <c r="AL662" s="296"/>
      <c r="AM662" s="296"/>
      <c r="AN662" s="296"/>
      <c r="AO662" s="296"/>
      <c r="AP662" s="41"/>
      <c r="AQ662" s="86"/>
      <c r="AR662" s="86"/>
      <c r="AS662" s="86"/>
    </row>
    <row r="663" spans="2:45" ht="18" customHeight="1" thickBot="1" x14ac:dyDescent="0.2">
      <c r="B663" s="42">
        <v>41</v>
      </c>
      <c r="C663" s="46"/>
      <c r="D663" s="46"/>
      <c r="E663" s="48" t="s">
        <v>74</v>
      </c>
      <c r="F663" s="80"/>
      <c r="G663" s="47"/>
      <c r="H663" s="109"/>
      <c r="I663" s="255"/>
      <c r="J663" s="366" t="str">
        <f>IFERROR(VLOOKUP($F663,補助対象機器一覧20220831!$A$2:$K$200,2,FALSE),"")</f>
        <v/>
      </c>
      <c r="K663" s="367"/>
      <c r="L663" s="368"/>
      <c r="M663" s="245"/>
      <c r="N663" s="366" t="str">
        <f>IFERROR(VLOOKUP($F663,補助対象機器一覧20220831!$A$2:$K$200,7,FALSE),"")</f>
        <v/>
      </c>
      <c r="O663" s="367"/>
      <c r="P663" s="368"/>
      <c r="Q663" s="245"/>
      <c r="R663" s="366" t="str">
        <f>IFERROR(VLOOKUP($F663,補助対象機器一覧20220831!$A$2:$K$200,8,FALSE),"")</f>
        <v/>
      </c>
      <c r="S663" s="367"/>
      <c r="T663" s="368"/>
      <c r="U663" s="245"/>
      <c r="V663" s="244" t="str">
        <f>IFERROR(VLOOKUP($F663,補助対象機器一覧20220831!$A$2:$K$200,9,FALSE),"")</f>
        <v/>
      </c>
      <c r="W663" s="46"/>
      <c r="X663" s="402" t="str">
        <f>IF($B663&lt;=入力シート!$F$85,""&amp;中間シート!X636,"")</f>
        <v/>
      </c>
      <c r="Y663" s="402"/>
      <c r="Z663" s="402"/>
      <c r="AA663" s="402"/>
      <c r="AB663" s="402"/>
      <c r="AC663" s="402"/>
      <c r="AD663" s="402"/>
      <c r="AE663" s="402"/>
      <c r="AF663" s="402"/>
      <c r="AG663" s="402"/>
      <c r="AH663" s="402"/>
      <c r="AI663" s="402"/>
      <c r="AJ663" s="402"/>
      <c r="AK663" s="402"/>
      <c r="AL663" s="402"/>
      <c r="AM663" s="402"/>
      <c r="AN663" s="402"/>
      <c r="AO663" s="402"/>
      <c r="AP663" s="41"/>
      <c r="AQ663" s="81">
        <f>IF(J663&lt;&gt;"",1,IF(H663="なし",2,0))</f>
        <v>0</v>
      </c>
      <c r="AR663" s="86"/>
      <c r="AS663" s="86"/>
    </row>
    <row r="664" spans="2:45" ht="5.0999999999999996" customHeight="1" thickBot="1" x14ac:dyDescent="0.2">
      <c r="C664" s="46"/>
      <c r="D664" s="46"/>
      <c r="E664" s="48"/>
      <c r="F664" s="246"/>
      <c r="G664" s="47"/>
      <c r="H664" s="47"/>
      <c r="I664" s="255"/>
      <c r="J664" s="246"/>
      <c r="K664" s="246"/>
      <c r="L664" s="246"/>
      <c r="M664" s="245"/>
      <c r="N664" s="246"/>
      <c r="O664" s="246"/>
      <c r="P664" s="246"/>
      <c r="Q664" s="245"/>
      <c r="R664" s="246"/>
      <c r="S664" s="246"/>
      <c r="T664" s="246"/>
      <c r="U664" s="245"/>
      <c r="V664" s="246"/>
      <c r="W664" s="46"/>
      <c r="X664" s="402"/>
      <c r="Y664" s="402"/>
      <c r="Z664" s="402"/>
      <c r="AA664" s="402"/>
      <c r="AB664" s="402"/>
      <c r="AC664" s="402"/>
      <c r="AD664" s="402"/>
      <c r="AE664" s="402"/>
      <c r="AF664" s="402"/>
      <c r="AG664" s="402"/>
      <c r="AH664" s="402"/>
      <c r="AI664" s="402"/>
      <c r="AJ664" s="402"/>
      <c r="AK664" s="402"/>
      <c r="AL664" s="402"/>
      <c r="AM664" s="402"/>
      <c r="AN664" s="402"/>
      <c r="AO664" s="402"/>
      <c r="AP664" s="41"/>
      <c r="AQ664" s="86"/>
      <c r="AR664" s="86"/>
      <c r="AS664" s="86"/>
    </row>
    <row r="665" spans="2:45" ht="18" customHeight="1" thickBot="1" x14ac:dyDescent="0.2">
      <c r="B665" s="42">
        <v>41</v>
      </c>
      <c r="C665" s="46"/>
      <c r="D665" s="46"/>
      <c r="E665" s="47"/>
      <c r="F665" s="246"/>
      <c r="G665" s="47"/>
      <c r="H665" s="47"/>
      <c r="I665" s="261" t="str">
        <f>IF(AQ663=2,"入力してください→",IF(AQ663=1,"入力不要です→",""))</f>
        <v/>
      </c>
      <c r="J665" s="387"/>
      <c r="K665" s="388"/>
      <c r="L665" s="389"/>
      <c r="M665" s="245"/>
      <c r="N665" s="387"/>
      <c r="O665" s="388"/>
      <c r="P665" s="389"/>
      <c r="Q665" s="245"/>
      <c r="R665" s="387"/>
      <c r="S665" s="388"/>
      <c r="T665" s="389"/>
      <c r="U665" s="245"/>
      <c r="V665" s="249"/>
      <c r="W665" s="46"/>
      <c r="X665" s="402"/>
      <c r="Y665" s="402"/>
      <c r="Z665" s="402"/>
      <c r="AA665" s="402"/>
      <c r="AB665" s="402"/>
      <c r="AC665" s="402"/>
      <c r="AD665" s="402"/>
      <c r="AE665" s="402"/>
      <c r="AF665" s="402"/>
      <c r="AG665" s="402"/>
      <c r="AH665" s="402"/>
      <c r="AI665" s="402"/>
      <c r="AJ665" s="402"/>
      <c r="AK665" s="402"/>
      <c r="AL665" s="402"/>
      <c r="AM665" s="402"/>
      <c r="AN665" s="402"/>
      <c r="AO665" s="402"/>
      <c r="AP665" s="41"/>
      <c r="AQ665" s="86"/>
      <c r="AR665" s="86"/>
      <c r="AS665" s="86"/>
    </row>
    <row r="666" spans="2:45" x14ac:dyDescent="0.15">
      <c r="C666" s="46"/>
      <c r="D666" s="46"/>
      <c r="E666" s="47"/>
      <c r="F666" s="246"/>
      <c r="G666" s="47"/>
      <c r="H666" s="47"/>
      <c r="I666" s="257"/>
      <c r="J666" s="245"/>
      <c r="K666" s="245"/>
      <c r="L666" s="245"/>
      <c r="M666" s="245"/>
      <c r="N666" s="245"/>
      <c r="O666" s="245"/>
      <c r="P666" s="245"/>
      <c r="Q666" s="245"/>
      <c r="R666" s="245"/>
      <c r="S666" s="245"/>
      <c r="T666" s="245"/>
      <c r="U666" s="245"/>
      <c r="V666" s="245"/>
      <c r="W666" s="46"/>
      <c r="X666" s="296" t="s">
        <v>212</v>
      </c>
      <c r="Y666" s="296"/>
      <c r="Z666" s="296"/>
      <c r="AA666" s="296"/>
      <c r="AB666" s="296"/>
      <c r="AC666" s="296"/>
      <c r="AD666" s="296"/>
      <c r="AE666" s="296"/>
      <c r="AF666" s="296"/>
      <c r="AG666" s="296"/>
      <c r="AH666" s="296"/>
      <c r="AI666" s="296"/>
      <c r="AJ666" s="296"/>
      <c r="AK666" s="296"/>
      <c r="AL666" s="296"/>
      <c r="AM666" s="296"/>
      <c r="AN666" s="296"/>
      <c r="AO666" s="296"/>
      <c r="AQ666" s="86"/>
      <c r="AR666" s="86"/>
      <c r="AS666" s="86"/>
    </row>
    <row r="667" spans="2:45" ht="14.25" thickBot="1" x14ac:dyDescent="0.2">
      <c r="C667" s="86"/>
      <c r="D667" s="86"/>
      <c r="E667" s="93"/>
      <c r="F667" s="247"/>
      <c r="G667" s="93"/>
      <c r="H667" s="93"/>
      <c r="I667" s="258"/>
      <c r="J667" s="248"/>
      <c r="K667" s="248"/>
      <c r="L667" s="248"/>
      <c r="M667" s="248"/>
      <c r="N667" s="248"/>
      <c r="O667" s="248"/>
      <c r="P667" s="248"/>
      <c r="Q667" s="248"/>
      <c r="R667" s="248"/>
      <c r="S667" s="248"/>
      <c r="T667" s="248"/>
      <c r="U667" s="248"/>
      <c r="V667" s="248"/>
      <c r="W667" s="86"/>
      <c r="X667" s="296" t="s">
        <v>212</v>
      </c>
      <c r="Y667" s="296"/>
      <c r="Z667" s="296"/>
      <c r="AA667" s="296"/>
      <c r="AB667" s="296"/>
      <c r="AC667" s="296"/>
      <c r="AD667" s="296"/>
      <c r="AE667" s="296"/>
      <c r="AF667" s="296"/>
      <c r="AG667" s="296"/>
      <c r="AH667" s="296"/>
      <c r="AI667" s="296"/>
      <c r="AJ667" s="296"/>
      <c r="AK667" s="296"/>
      <c r="AL667" s="296"/>
      <c r="AM667" s="296"/>
      <c r="AN667" s="296"/>
      <c r="AO667" s="296"/>
      <c r="AQ667" s="86"/>
      <c r="AR667" s="86"/>
      <c r="AS667" s="86"/>
    </row>
    <row r="668" spans="2:45" ht="18" customHeight="1" thickBot="1" x14ac:dyDescent="0.2">
      <c r="B668" s="42">
        <v>42</v>
      </c>
      <c r="C668" s="86"/>
      <c r="D668" s="94" t="s">
        <v>197</v>
      </c>
      <c r="E668" s="95" t="s">
        <v>72</v>
      </c>
      <c r="F668" s="80"/>
      <c r="G668" s="86"/>
      <c r="H668" s="80"/>
      <c r="I668" s="259"/>
      <c r="J668" s="366" t="str">
        <f>IFERROR(VLOOKUP($F668,補助対象機器一覧20220831!$A$2:$K$200,2,FALSE),"")</f>
        <v/>
      </c>
      <c r="K668" s="367"/>
      <c r="L668" s="368"/>
      <c r="M668" s="248"/>
      <c r="N668" s="366" t="str">
        <f>IFERROR(VLOOKUP($F668,補助対象機器一覧20220831!$A$2:$K$200,7,FALSE),"")</f>
        <v/>
      </c>
      <c r="O668" s="367"/>
      <c r="P668" s="368"/>
      <c r="Q668" s="248"/>
      <c r="R668" s="366" t="str">
        <f>IFERROR(VLOOKUP($F668,補助対象機器一覧20220831!$A$2:$K$200,8,FALSE),"")</f>
        <v/>
      </c>
      <c r="S668" s="367"/>
      <c r="T668" s="368"/>
      <c r="U668" s="248"/>
      <c r="V668" s="244" t="str">
        <f>IFERROR(VLOOKUP($F668,補助対象機器一覧20220831!$A$2:$K$200,9,FALSE),"")</f>
        <v/>
      </c>
      <c r="W668" s="86"/>
      <c r="X668" s="402" t="str">
        <f>IF($B668&lt;=入力シート!$F$85,""&amp;中間シート!X637,"")</f>
        <v/>
      </c>
      <c r="Y668" s="402"/>
      <c r="Z668" s="402"/>
      <c r="AA668" s="402"/>
      <c r="AB668" s="402"/>
      <c r="AC668" s="402"/>
      <c r="AD668" s="402"/>
      <c r="AE668" s="402"/>
      <c r="AF668" s="402"/>
      <c r="AG668" s="402"/>
      <c r="AH668" s="402"/>
      <c r="AI668" s="402"/>
      <c r="AJ668" s="402"/>
      <c r="AK668" s="402"/>
      <c r="AL668" s="402"/>
      <c r="AM668" s="402"/>
      <c r="AN668" s="402"/>
      <c r="AO668" s="402"/>
      <c r="AQ668" s="81">
        <f>IF(J668&lt;&gt;"",1,IF(H668="なし",2,0))</f>
        <v>0</v>
      </c>
      <c r="AR668" s="86"/>
      <c r="AS668" s="86"/>
    </row>
    <row r="669" spans="2:45" ht="5.0999999999999996" customHeight="1" thickBot="1" x14ac:dyDescent="0.2">
      <c r="C669" s="86"/>
      <c r="D669" s="94"/>
      <c r="E669" s="95"/>
      <c r="F669" s="248"/>
      <c r="G669" s="86"/>
      <c r="H669" s="86"/>
      <c r="I669" s="259"/>
      <c r="J669" s="248"/>
      <c r="K669" s="248"/>
      <c r="L669" s="248"/>
      <c r="M669" s="248"/>
      <c r="N669" s="248"/>
      <c r="O669" s="248"/>
      <c r="P669" s="248"/>
      <c r="Q669" s="248"/>
      <c r="R669" s="248"/>
      <c r="S669" s="248"/>
      <c r="T669" s="248"/>
      <c r="U669" s="248"/>
      <c r="V669" s="248"/>
      <c r="W669" s="86"/>
      <c r="X669" s="402"/>
      <c r="Y669" s="402"/>
      <c r="Z669" s="402"/>
      <c r="AA669" s="402"/>
      <c r="AB669" s="402"/>
      <c r="AC669" s="402"/>
      <c r="AD669" s="402"/>
      <c r="AE669" s="402"/>
      <c r="AF669" s="402"/>
      <c r="AG669" s="402"/>
      <c r="AH669" s="402"/>
      <c r="AI669" s="402"/>
      <c r="AJ669" s="402"/>
      <c r="AK669" s="402"/>
      <c r="AL669" s="402"/>
      <c r="AM669" s="402"/>
      <c r="AN669" s="402"/>
      <c r="AO669" s="402"/>
      <c r="AP669" s="41"/>
      <c r="AQ669" s="86"/>
      <c r="AR669" s="86"/>
      <c r="AS669" s="86"/>
    </row>
    <row r="670" spans="2:45" ht="18" customHeight="1" thickBot="1" x14ac:dyDescent="0.2">
      <c r="B670" s="42">
        <v>42</v>
      </c>
      <c r="C670" s="86"/>
      <c r="D670" s="94"/>
      <c r="E670" s="95"/>
      <c r="F670" s="247"/>
      <c r="G670" s="86"/>
      <c r="H670" s="86"/>
      <c r="I670" s="260" t="str">
        <f>IF(AQ668=2,"入力してください→",IF(AQ668=1,"入力不要です→",""))</f>
        <v/>
      </c>
      <c r="J670" s="387"/>
      <c r="K670" s="388"/>
      <c r="L670" s="389"/>
      <c r="M670" s="248"/>
      <c r="N670" s="387"/>
      <c r="O670" s="388"/>
      <c r="P670" s="389"/>
      <c r="Q670" s="248"/>
      <c r="R670" s="387"/>
      <c r="S670" s="388"/>
      <c r="T670" s="389"/>
      <c r="U670" s="248"/>
      <c r="V670" s="249"/>
      <c r="W670" s="86"/>
      <c r="X670" s="402"/>
      <c r="Y670" s="402"/>
      <c r="Z670" s="402"/>
      <c r="AA670" s="402"/>
      <c r="AB670" s="402"/>
      <c r="AC670" s="402"/>
      <c r="AD670" s="402"/>
      <c r="AE670" s="402"/>
      <c r="AF670" s="402"/>
      <c r="AG670" s="402"/>
      <c r="AH670" s="402"/>
      <c r="AI670" s="402"/>
      <c r="AJ670" s="402"/>
      <c r="AK670" s="402"/>
      <c r="AL670" s="402"/>
      <c r="AM670" s="402"/>
      <c r="AN670" s="402"/>
      <c r="AO670" s="402"/>
      <c r="AP670" s="41"/>
      <c r="AQ670" s="86"/>
      <c r="AR670" s="86"/>
      <c r="AS670" s="86"/>
    </row>
    <row r="671" spans="2:45" ht="5.0999999999999996" customHeight="1" thickBot="1" x14ac:dyDescent="0.2">
      <c r="C671" s="86"/>
      <c r="D671" s="86"/>
      <c r="E671" s="93"/>
      <c r="F671" s="248"/>
      <c r="G671" s="93"/>
      <c r="H671" s="93"/>
      <c r="I671" s="259"/>
      <c r="J671" s="248"/>
      <c r="K671" s="248"/>
      <c r="L671" s="248"/>
      <c r="M671" s="248"/>
      <c r="N671" s="248"/>
      <c r="O671" s="248"/>
      <c r="P671" s="248"/>
      <c r="Q671" s="248"/>
      <c r="R671" s="248"/>
      <c r="S671" s="248"/>
      <c r="T671" s="248"/>
      <c r="U671" s="248"/>
      <c r="V671" s="248"/>
      <c r="W671" s="86"/>
      <c r="X671" s="296" t="s">
        <v>212</v>
      </c>
      <c r="Y671" s="296"/>
      <c r="Z671" s="296"/>
      <c r="AA671" s="296"/>
      <c r="AB671" s="296"/>
      <c r="AC671" s="296"/>
      <c r="AD671" s="296"/>
      <c r="AE671" s="296"/>
      <c r="AF671" s="296"/>
      <c r="AG671" s="296"/>
      <c r="AH671" s="296"/>
      <c r="AI671" s="296"/>
      <c r="AJ671" s="296"/>
      <c r="AK671" s="296"/>
      <c r="AL671" s="296"/>
      <c r="AM671" s="296"/>
      <c r="AN671" s="296"/>
      <c r="AO671" s="296"/>
      <c r="AP671" s="41"/>
      <c r="AQ671" s="86"/>
      <c r="AR671" s="86"/>
      <c r="AS671" s="86"/>
    </row>
    <row r="672" spans="2:45" ht="18" customHeight="1" thickBot="1" x14ac:dyDescent="0.2">
      <c r="B672" s="42">
        <v>42</v>
      </c>
      <c r="C672" s="86"/>
      <c r="D672" s="86"/>
      <c r="E672" s="95" t="s">
        <v>73</v>
      </c>
      <c r="F672" s="80"/>
      <c r="G672" s="93"/>
      <c r="H672" s="80"/>
      <c r="I672" s="259"/>
      <c r="J672" s="366" t="str">
        <f>IFERROR(VLOOKUP($F672,補助対象機器一覧20220831!$A$2:$K$200,2,FALSE),"")</f>
        <v/>
      </c>
      <c r="K672" s="367"/>
      <c r="L672" s="368"/>
      <c r="M672" s="248"/>
      <c r="N672" s="366" t="str">
        <f>IFERROR(VLOOKUP($F672,補助対象機器一覧20220831!$A$2:$K$200,7,FALSE),"")</f>
        <v/>
      </c>
      <c r="O672" s="367"/>
      <c r="P672" s="368"/>
      <c r="Q672" s="248"/>
      <c r="R672" s="366" t="str">
        <f>IFERROR(VLOOKUP($F672,補助対象機器一覧20220831!$A$2:$K$200,8,FALSE),"")</f>
        <v/>
      </c>
      <c r="S672" s="367"/>
      <c r="T672" s="368"/>
      <c r="U672" s="248"/>
      <c r="V672" s="244" t="str">
        <f>IFERROR(VLOOKUP($F672,補助対象機器一覧20220831!$A$2:$K$200,9,FALSE),"")</f>
        <v/>
      </c>
      <c r="W672" s="86"/>
      <c r="X672" s="402" t="str">
        <f>IF($B672&lt;=入力シート!$F$85,""&amp;中間シート!X638,"")</f>
        <v/>
      </c>
      <c r="Y672" s="402"/>
      <c r="Z672" s="402"/>
      <c r="AA672" s="402"/>
      <c r="AB672" s="402"/>
      <c r="AC672" s="402"/>
      <c r="AD672" s="402"/>
      <c r="AE672" s="402"/>
      <c r="AF672" s="402"/>
      <c r="AG672" s="402"/>
      <c r="AH672" s="402"/>
      <c r="AI672" s="402"/>
      <c r="AJ672" s="402"/>
      <c r="AK672" s="402"/>
      <c r="AL672" s="402"/>
      <c r="AM672" s="402"/>
      <c r="AN672" s="402"/>
      <c r="AO672" s="402"/>
      <c r="AP672" s="41"/>
      <c r="AQ672" s="81">
        <f>IF(J672&lt;&gt;"",1,IF(H672="なし",2,0))</f>
        <v>0</v>
      </c>
      <c r="AR672" s="86"/>
      <c r="AS672" s="86"/>
    </row>
    <row r="673" spans="2:45" ht="5.0999999999999996" customHeight="1" thickBot="1" x14ac:dyDescent="0.2">
      <c r="C673" s="86"/>
      <c r="D673" s="86"/>
      <c r="E673" s="95"/>
      <c r="F673" s="247"/>
      <c r="G673" s="93"/>
      <c r="H673" s="93"/>
      <c r="I673" s="259"/>
      <c r="J673" s="247"/>
      <c r="K673" s="247"/>
      <c r="L673" s="247"/>
      <c r="M673" s="248"/>
      <c r="N673" s="247"/>
      <c r="O673" s="247"/>
      <c r="P673" s="247"/>
      <c r="Q673" s="248"/>
      <c r="R673" s="247"/>
      <c r="S673" s="247"/>
      <c r="T673" s="247"/>
      <c r="U673" s="248"/>
      <c r="V673" s="247"/>
      <c r="W673" s="86"/>
      <c r="X673" s="402"/>
      <c r="Y673" s="402"/>
      <c r="Z673" s="402"/>
      <c r="AA673" s="402"/>
      <c r="AB673" s="402"/>
      <c r="AC673" s="402"/>
      <c r="AD673" s="402"/>
      <c r="AE673" s="402"/>
      <c r="AF673" s="402"/>
      <c r="AG673" s="402"/>
      <c r="AH673" s="402"/>
      <c r="AI673" s="402"/>
      <c r="AJ673" s="402"/>
      <c r="AK673" s="402"/>
      <c r="AL673" s="402"/>
      <c r="AM673" s="402"/>
      <c r="AN673" s="402"/>
      <c r="AO673" s="402"/>
      <c r="AP673" s="41"/>
      <c r="AQ673" s="86"/>
      <c r="AR673" s="86"/>
      <c r="AS673" s="86"/>
    </row>
    <row r="674" spans="2:45" ht="18" customHeight="1" thickBot="1" x14ac:dyDescent="0.2">
      <c r="B674" s="42">
        <v>42</v>
      </c>
      <c r="C674" s="86"/>
      <c r="D674" s="86"/>
      <c r="E674" s="95"/>
      <c r="F674" s="247"/>
      <c r="G674" s="93"/>
      <c r="H674" s="93"/>
      <c r="I674" s="260" t="str">
        <f>IF(AQ672=2,"入力してください→",IF(AQ672=1,"入力不要です→",""))</f>
        <v/>
      </c>
      <c r="J674" s="387"/>
      <c r="K674" s="388"/>
      <c r="L674" s="389"/>
      <c r="M674" s="248"/>
      <c r="N674" s="387"/>
      <c r="O674" s="388"/>
      <c r="P674" s="389"/>
      <c r="Q674" s="248"/>
      <c r="R674" s="387"/>
      <c r="S674" s="388"/>
      <c r="T674" s="389"/>
      <c r="U674" s="248"/>
      <c r="V674" s="249"/>
      <c r="W674" s="86"/>
      <c r="X674" s="402"/>
      <c r="Y674" s="402"/>
      <c r="Z674" s="402"/>
      <c r="AA674" s="402"/>
      <c r="AB674" s="402"/>
      <c r="AC674" s="402"/>
      <c r="AD674" s="402"/>
      <c r="AE674" s="402"/>
      <c r="AF674" s="402"/>
      <c r="AG674" s="402"/>
      <c r="AH674" s="402"/>
      <c r="AI674" s="402"/>
      <c r="AJ674" s="402"/>
      <c r="AK674" s="402"/>
      <c r="AL674" s="402"/>
      <c r="AM674" s="402"/>
      <c r="AN674" s="402"/>
      <c r="AO674" s="402"/>
      <c r="AP674" s="41"/>
      <c r="AQ674" s="86"/>
      <c r="AR674" s="86"/>
      <c r="AS674" s="86"/>
    </row>
    <row r="675" spans="2:45" ht="5.0999999999999996" customHeight="1" thickBot="1" x14ac:dyDescent="0.2">
      <c r="C675" s="86"/>
      <c r="D675" s="86"/>
      <c r="E675" s="95"/>
      <c r="F675" s="247"/>
      <c r="G675" s="93"/>
      <c r="H675" s="93"/>
      <c r="I675" s="259"/>
      <c r="J675" s="247"/>
      <c r="K675" s="247"/>
      <c r="L675" s="247"/>
      <c r="M675" s="248"/>
      <c r="N675" s="247"/>
      <c r="O675" s="247"/>
      <c r="P675" s="247"/>
      <c r="Q675" s="248"/>
      <c r="R675" s="247"/>
      <c r="S675" s="247"/>
      <c r="T675" s="247"/>
      <c r="U675" s="248"/>
      <c r="V675" s="247"/>
      <c r="W675" s="86"/>
      <c r="X675" s="296" t="s">
        <v>212</v>
      </c>
      <c r="Y675" s="296"/>
      <c r="Z675" s="296"/>
      <c r="AA675" s="296"/>
      <c r="AB675" s="296"/>
      <c r="AC675" s="296"/>
      <c r="AD675" s="296"/>
      <c r="AE675" s="296"/>
      <c r="AF675" s="296"/>
      <c r="AG675" s="296"/>
      <c r="AH675" s="296"/>
      <c r="AI675" s="296"/>
      <c r="AJ675" s="296"/>
      <c r="AK675" s="296"/>
      <c r="AL675" s="296"/>
      <c r="AM675" s="296"/>
      <c r="AN675" s="296"/>
      <c r="AO675" s="296"/>
      <c r="AP675" s="41"/>
      <c r="AQ675" s="86"/>
      <c r="AR675" s="86"/>
      <c r="AS675" s="86"/>
    </row>
    <row r="676" spans="2:45" ht="18" customHeight="1" thickBot="1" x14ac:dyDescent="0.2">
      <c r="B676" s="42">
        <v>42</v>
      </c>
      <c r="C676" s="86"/>
      <c r="D676" s="86"/>
      <c r="E676" s="95" t="s">
        <v>74</v>
      </c>
      <c r="F676" s="80"/>
      <c r="G676" s="93"/>
      <c r="H676" s="80"/>
      <c r="I676" s="259"/>
      <c r="J676" s="366" t="str">
        <f>IFERROR(VLOOKUP($F676,補助対象機器一覧20220831!$A$2:$K$200,2,FALSE),"")</f>
        <v/>
      </c>
      <c r="K676" s="367"/>
      <c r="L676" s="368"/>
      <c r="M676" s="248"/>
      <c r="N676" s="366" t="str">
        <f>IFERROR(VLOOKUP($F676,補助対象機器一覧20220831!$A$2:$K$200,7,FALSE),"")</f>
        <v/>
      </c>
      <c r="O676" s="367"/>
      <c r="P676" s="368"/>
      <c r="Q676" s="248"/>
      <c r="R676" s="366" t="str">
        <f>IFERROR(VLOOKUP($F676,補助対象機器一覧20220831!$A$2:$K$200,8,FALSE),"")</f>
        <v/>
      </c>
      <c r="S676" s="367"/>
      <c r="T676" s="368"/>
      <c r="U676" s="248"/>
      <c r="V676" s="244" t="str">
        <f>IFERROR(VLOOKUP($F676,補助対象機器一覧20220831!$A$2:$K$200,9,FALSE),"")</f>
        <v/>
      </c>
      <c r="W676" s="86"/>
      <c r="X676" s="402" t="str">
        <f>IF($B676&lt;=入力シート!$F$85,""&amp;中間シート!X639,"")</f>
        <v/>
      </c>
      <c r="Y676" s="402"/>
      <c r="Z676" s="402"/>
      <c r="AA676" s="402"/>
      <c r="AB676" s="402"/>
      <c r="AC676" s="402"/>
      <c r="AD676" s="402"/>
      <c r="AE676" s="402"/>
      <c r="AF676" s="402"/>
      <c r="AG676" s="402"/>
      <c r="AH676" s="402"/>
      <c r="AI676" s="402"/>
      <c r="AJ676" s="402"/>
      <c r="AK676" s="402"/>
      <c r="AL676" s="402"/>
      <c r="AM676" s="402"/>
      <c r="AN676" s="402"/>
      <c r="AO676" s="402"/>
      <c r="AP676" s="41"/>
      <c r="AQ676" s="81">
        <f>IF(J676&lt;&gt;"",1,IF(H676="なし",2,0))</f>
        <v>0</v>
      </c>
      <c r="AR676" s="86"/>
      <c r="AS676" s="86"/>
    </row>
    <row r="677" spans="2:45" ht="5.0999999999999996" customHeight="1" thickBot="1" x14ac:dyDescent="0.2">
      <c r="C677" s="86"/>
      <c r="D677" s="86"/>
      <c r="E677" s="95"/>
      <c r="F677" s="247"/>
      <c r="G677" s="93"/>
      <c r="H677" s="93"/>
      <c r="I677" s="259"/>
      <c r="J677" s="247"/>
      <c r="K677" s="247"/>
      <c r="L677" s="247"/>
      <c r="M677" s="248"/>
      <c r="N677" s="247"/>
      <c r="O677" s="247"/>
      <c r="P677" s="247"/>
      <c r="Q677" s="248"/>
      <c r="R677" s="247"/>
      <c r="S677" s="247"/>
      <c r="T677" s="247"/>
      <c r="U677" s="248"/>
      <c r="V677" s="247"/>
      <c r="W677" s="86"/>
      <c r="X677" s="402"/>
      <c r="Y677" s="402"/>
      <c r="Z677" s="402"/>
      <c r="AA677" s="402"/>
      <c r="AB677" s="402"/>
      <c r="AC677" s="402"/>
      <c r="AD677" s="402"/>
      <c r="AE677" s="402"/>
      <c r="AF677" s="402"/>
      <c r="AG677" s="402"/>
      <c r="AH677" s="402"/>
      <c r="AI677" s="402"/>
      <c r="AJ677" s="402"/>
      <c r="AK677" s="402"/>
      <c r="AL677" s="402"/>
      <c r="AM677" s="402"/>
      <c r="AN677" s="402"/>
      <c r="AO677" s="402"/>
      <c r="AP677" s="41"/>
      <c r="AQ677" s="86"/>
      <c r="AR677" s="86"/>
      <c r="AS677" s="86"/>
    </row>
    <row r="678" spans="2:45" ht="18" customHeight="1" thickBot="1" x14ac:dyDescent="0.2">
      <c r="B678" s="42">
        <v>42</v>
      </c>
      <c r="C678" s="86"/>
      <c r="D678" s="86"/>
      <c r="E678" s="93"/>
      <c r="F678" s="247"/>
      <c r="G678" s="93"/>
      <c r="H678" s="93"/>
      <c r="I678" s="260" t="str">
        <f>IF(AQ676=2,"入力してください→",IF(AQ676=1,"入力不要です→",""))</f>
        <v/>
      </c>
      <c r="J678" s="387"/>
      <c r="K678" s="388"/>
      <c r="L678" s="389"/>
      <c r="M678" s="248"/>
      <c r="N678" s="387"/>
      <c r="O678" s="388"/>
      <c r="P678" s="389"/>
      <c r="Q678" s="248"/>
      <c r="R678" s="387"/>
      <c r="S678" s="388"/>
      <c r="T678" s="389"/>
      <c r="U678" s="248"/>
      <c r="V678" s="249"/>
      <c r="W678" s="86"/>
      <c r="X678" s="402"/>
      <c r="Y678" s="402"/>
      <c r="Z678" s="402"/>
      <c r="AA678" s="402"/>
      <c r="AB678" s="402"/>
      <c r="AC678" s="402"/>
      <c r="AD678" s="402"/>
      <c r="AE678" s="402"/>
      <c r="AF678" s="402"/>
      <c r="AG678" s="402"/>
      <c r="AH678" s="402"/>
      <c r="AI678" s="402"/>
      <c r="AJ678" s="402"/>
      <c r="AK678" s="402"/>
      <c r="AL678" s="402"/>
      <c r="AM678" s="402"/>
      <c r="AN678" s="402"/>
      <c r="AO678" s="402"/>
      <c r="AP678" s="41"/>
      <c r="AQ678" s="86"/>
      <c r="AR678" s="86"/>
      <c r="AS678" s="86"/>
    </row>
    <row r="679" spans="2:45" x14ac:dyDescent="0.15">
      <c r="C679" s="86"/>
      <c r="D679" s="86"/>
      <c r="E679" s="93"/>
      <c r="F679" s="247"/>
      <c r="G679" s="93"/>
      <c r="H679" s="93"/>
      <c r="I679" s="258"/>
      <c r="J679" s="248"/>
      <c r="K679" s="248"/>
      <c r="L679" s="248"/>
      <c r="M679" s="248"/>
      <c r="N679" s="248"/>
      <c r="O679" s="248"/>
      <c r="P679" s="248"/>
      <c r="Q679" s="248"/>
      <c r="R679" s="248"/>
      <c r="S679" s="248"/>
      <c r="T679" s="248"/>
      <c r="U679" s="248"/>
      <c r="V679" s="248"/>
      <c r="W679" s="86"/>
      <c r="X679" s="296" t="s">
        <v>212</v>
      </c>
      <c r="Y679" s="296"/>
      <c r="Z679" s="296"/>
      <c r="AA679" s="296"/>
      <c r="AB679" s="296"/>
      <c r="AC679" s="296"/>
      <c r="AD679" s="296"/>
      <c r="AE679" s="296"/>
      <c r="AF679" s="296"/>
      <c r="AG679" s="296"/>
      <c r="AH679" s="296"/>
      <c r="AI679" s="296"/>
      <c r="AJ679" s="296"/>
      <c r="AK679" s="296"/>
      <c r="AL679" s="296"/>
      <c r="AM679" s="296"/>
      <c r="AN679" s="296"/>
      <c r="AO679" s="296"/>
      <c r="AQ679" s="86"/>
      <c r="AR679" s="86"/>
      <c r="AS679" s="86"/>
    </row>
    <row r="680" spans="2:45" ht="14.25" thickBot="1" x14ac:dyDescent="0.2">
      <c r="C680" s="46"/>
      <c r="D680" s="46"/>
      <c r="E680" s="47"/>
      <c r="F680" s="246"/>
      <c r="G680" s="47"/>
      <c r="H680" s="47"/>
      <c r="I680" s="257"/>
      <c r="J680" s="245"/>
      <c r="K680" s="245"/>
      <c r="L680" s="245"/>
      <c r="M680" s="245"/>
      <c r="N680" s="245"/>
      <c r="O680" s="245"/>
      <c r="P680" s="245"/>
      <c r="Q680" s="245"/>
      <c r="R680" s="245"/>
      <c r="S680" s="245"/>
      <c r="T680" s="245"/>
      <c r="U680" s="245"/>
      <c r="V680" s="245"/>
      <c r="W680" s="46"/>
      <c r="X680" s="296" t="s">
        <v>212</v>
      </c>
      <c r="Y680" s="296"/>
      <c r="Z680" s="296"/>
      <c r="AA680" s="296"/>
      <c r="AB680" s="296"/>
      <c r="AC680" s="296"/>
      <c r="AD680" s="296"/>
      <c r="AE680" s="296"/>
      <c r="AF680" s="296"/>
      <c r="AG680" s="296"/>
      <c r="AH680" s="296"/>
      <c r="AI680" s="296"/>
      <c r="AJ680" s="296"/>
      <c r="AK680" s="296"/>
      <c r="AL680" s="296"/>
      <c r="AM680" s="296"/>
      <c r="AN680" s="296"/>
      <c r="AO680" s="296"/>
      <c r="AQ680" s="86"/>
      <c r="AR680" s="86"/>
      <c r="AS680" s="86"/>
    </row>
    <row r="681" spans="2:45" ht="18" customHeight="1" thickBot="1" x14ac:dyDescent="0.2">
      <c r="B681" s="42">
        <v>43</v>
      </c>
      <c r="C681" s="46"/>
      <c r="D681" s="82" t="s">
        <v>198</v>
      </c>
      <c r="E681" s="48" t="s">
        <v>72</v>
      </c>
      <c r="F681" s="80"/>
      <c r="G681" s="46"/>
      <c r="H681" s="109"/>
      <c r="I681" s="255"/>
      <c r="J681" s="366" t="str">
        <f>IFERROR(VLOOKUP($F681,補助対象機器一覧20220831!$A$2:$K$200,2,FALSE),"")</f>
        <v/>
      </c>
      <c r="K681" s="367"/>
      <c r="L681" s="368"/>
      <c r="M681" s="245"/>
      <c r="N681" s="366" t="str">
        <f>IFERROR(VLOOKUP($F681,補助対象機器一覧20220831!$A$2:$K$200,7,FALSE),"")</f>
        <v/>
      </c>
      <c r="O681" s="367"/>
      <c r="P681" s="368"/>
      <c r="Q681" s="245"/>
      <c r="R681" s="366" t="str">
        <f>IFERROR(VLOOKUP($F681,補助対象機器一覧20220831!$A$2:$K$200,8,FALSE),"")</f>
        <v/>
      </c>
      <c r="S681" s="367"/>
      <c r="T681" s="368"/>
      <c r="U681" s="245"/>
      <c r="V681" s="244" t="str">
        <f>IFERROR(VLOOKUP($F681,補助対象機器一覧20220831!$A$2:$K$200,9,FALSE),"")</f>
        <v/>
      </c>
      <c r="W681" s="46"/>
      <c r="X681" s="402" t="str">
        <f>IF($B681&lt;=入力シート!$F$85,""&amp;中間シート!X640,"")</f>
        <v/>
      </c>
      <c r="Y681" s="402"/>
      <c r="Z681" s="402"/>
      <c r="AA681" s="402"/>
      <c r="AB681" s="402"/>
      <c r="AC681" s="402"/>
      <c r="AD681" s="402"/>
      <c r="AE681" s="402"/>
      <c r="AF681" s="402"/>
      <c r="AG681" s="402"/>
      <c r="AH681" s="402"/>
      <c r="AI681" s="402"/>
      <c r="AJ681" s="402"/>
      <c r="AK681" s="402"/>
      <c r="AL681" s="402"/>
      <c r="AM681" s="402"/>
      <c r="AN681" s="402"/>
      <c r="AO681" s="402"/>
      <c r="AQ681" s="81">
        <f>IF(J681&lt;&gt;"",1,IF(H681="なし",2,0))</f>
        <v>0</v>
      </c>
      <c r="AR681" s="86"/>
      <c r="AS681" s="86"/>
    </row>
    <row r="682" spans="2:45" ht="5.0999999999999996" customHeight="1" thickBot="1" x14ac:dyDescent="0.2">
      <c r="C682" s="46"/>
      <c r="D682" s="82"/>
      <c r="E682" s="48"/>
      <c r="F682" s="245"/>
      <c r="G682" s="46"/>
      <c r="H682" s="46"/>
      <c r="I682" s="255"/>
      <c r="J682" s="245"/>
      <c r="K682" s="245"/>
      <c r="L682" s="245"/>
      <c r="M682" s="245"/>
      <c r="N682" s="245"/>
      <c r="O682" s="245"/>
      <c r="P682" s="245"/>
      <c r="Q682" s="245"/>
      <c r="R682" s="245"/>
      <c r="S682" s="245"/>
      <c r="T682" s="245"/>
      <c r="U682" s="245"/>
      <c r="V682" s="245"/>
      <c r="W682" s="46"/>
      <c r="X682" s="402"/>
      <c r="Y682" s="402"/>
      <c r="Z682" s="402"/>
      <c r="AA682" s="402"/>
      <c r="AB682" s="402"/>
      <c r="AC682" s="402"/>
      <c r="AD682" s="402"/>
      <c r="AE682" s="402"/>
      <c r="AF682" s="402"/>
      <c r="AG682" s="402"/>
      <c r="AH682" s="402"/>
      <c r="AI682" s="402"/>
      <c r="AJ682" s="402"/>
      <c r="AK682" s="402"/>
      <c r="AL682" s="402"/>
      <c r="AM682" s="402"/>
      <c r="AN682" s="402"/>
      <c r="AO682" s="402"/>
      <c r="AP682" s="41"/>
      <c r="AQ682" s="86"/>
      <c r="AR682" s="86"/>
      <c r="AS682" s="86"/>
    </row>
    <row r="683" spans="2:45" ht="18" customHeight="1" thickBot="1" x14ac:dyDescent="0.2">
      <c r="B683" s="42">
        <v>43</v>
      </c>
      <c r="C683" s="46"/>
      <c r="D683" s="82"/>
      <c r="E683" s="48"/>
      <c r="F683" s="246"/>
      <c r="G683" s="46"/>
      <c r="H683" s="46"/>
      <c r="I683" s="261" t="str">
        <f>IF(AQ681=2,"入力してください→",IF(AQ681=1,"入力不要です→",""))</f>
        <v/>
      </c>
      <c r="J683" s="387"/>
      <c r="K683" s="388"/>
      <c r="L683" s="389"/>
      <c r="M683" s="245"/>
      <c r="N683" s="387"/>
      <c r="O683" s="388"/>
      <c r="P683" s="389"/>
      <c r="Q683" s="245"/>
      <c r="R683" s="387"/>
      <c r="S683" s="388"/>
      <c r="T683" s="389"/>
      <c r="U683" s="245"/>
      <c r="V683" s="249"/>
      <c r="W683" s="46"/>
      <c r="X683" s="402"/>
      <c r="Y683" s="402"/>
      <c r="Z683" s="402"/>
      <c r="AA683" s="402"/>
      <c r="AB683" s="402"/>
      <c r="AC683" s="402"/>
      <c r="AD683" s="402"/>
      <c r="AE683" s="402"/>
      <c r="AF683" s="402"/>
      <c r="AG683" s="402"/>
      <c r="AH683" s="402"/>
      <c r="AI683" s="402"/>
      <c r="AJ683" s="402"/>
      <c r="AK683" s="402"/>
      <c r="AL683" s="402"/>
      <c r="AM683" s="402"/>
      <c r="AN683" s="402"/>
      <c r="AO683" s="402"/>
      <c r="AP683" s="41"/>
      <c r="AQ683" s="86"/>
      <c r="AR683" s="86"/>
      <c r="AS683" s="86"/>
    </row>
    <row r="684" spans="2:45" ht="5.0999999999999996" customHeight="1" thickBot="1" x14ac:dyDescent="0.2">
      <c r="C684" s="46"/>
      <c r="D684" s="46"/>
      <c r="E684" s="47"/>
      <c r="F684" s="245"/>
      <c r="G684" s="47"/>
      <c r="H684" s="47"/>
      <c r="I684" s="255"/>
      <c r="J684" s="245"/>
      <c r="K684" s="245"/>
      <c r="L684" s="245"/>
      <c r="M684" s="245"/>
      <c r="N684" s="245"/>
      <c r="O684" s="245"/>
      <c r="P684" s="245"/>
      <c r="Q684" s="245"/>
      <c r="R684" s="245"/>
      <c r="S684" s="245"/>
      <c r="T684" s="245"/>
      <c r="U684" s="245"/>
      <c r="V684" s="245"/>
      <c r="W684" s="46"/>
      <c r="X684" s="296" t="s">
        <v>212</v>
      </c>
      <c r="Y684" s="296"/>
      <c r="Z684" s="296"/>
      <c r="AA684" s="296"/>
      <c r="AB684" s="296"/>
      <c r="AC684" s="296"/>
      <c r="AD684" s="296"/>
      <c r="AE684" s="296"/>
      <c r="AF684" s="296"/>
      <c r="AG684" s="296"/>
      <c r="AH684" s="296"/>
      <c r="AI684" s="296"/>
      <c r="AJ684" s="296"/>
      <c r="AK684" s="296"/>
      <c r="AL684" s="296"/>
      <c r="AM684" s="296"/>
      <c r="AN684" s="296"/>
      <c r="AO684" s="296"/>
      <c r="AP684" s="41"/>
      <c r="AQ684" s="86"/>
      <c r="AR684" s="86"/>
      <c r="AS684" s="86"/>
    </row>
    <row r="685" spans="2:45" ht="18" customHeight="1" thickBot="1" x14ac:dyDescent="0.2">
      <c r="B685" s="42">
        <v>43</v>
      </c>
      <c r="C685" s="46"/>
      <c r="D685" s="46"/>
      <c r="E685" s="48" t="s">
        <v>73</v>
      </c>
      <c r="F685" s="80"/>
      <c r="G685" s="47"/>
      <c r="H685" s="109"/>
      <c r="I685" s="255"/>
      <c r="J685" s="366" t="str">
        <f>IFERROR(VLOOKUP($F685,補助対象機器一覧20220831!$A$2:$K$200,2,FALSE),"")</f>
        <v/>
      </c>
      <c r="K685" s="367"/>
      <c r="L685" s="368"/>
      <c r="M685" s="245"/>
      <c r="N685" s="366" t="str">
        <f>IFERROR(VLOOKUP($F685,補助対象機器一覧20220831!$A$2:$K$200,7,FALSE),"")</f>
        <v/>
      </c>
      <c r="O685" s="367"/>
      <c r="P685" s="368"/>
      <c r="Q685" s="245"/>
      <c r="R685" s="366" t="str">
        <f>IFERROR(VLOOKUP($F685,補助対象機器一覧20220831!$A$2:$K$200,8,FALSE),"")</f>
        <v/>
      </c>
      <c r="S685" s="367"/>
      <c r="T685" s="368"/>
      <c r="U685" s="245"/>
      <c r="V685" s="244" t="str">
        <f>IFERROR(VLOOKUP($F685,補助対象機器一覧20220831!$A$2:$K$200,9,FALSE),"")</f>
        <v/>
      </c>
      <c r="W685" s="46"/>
      <c r="X685" s="402" t="str">
        <f>IF($B685&lt;=入力シート!$F$85,""&amp;中間シート!X641,"")</f>
        <v/>
      </c>
      <c r="Y685" s="402"/>
      <c r="Z685" s="402"/>
      <c r="AA685" s="402"/>
      <c r="AB685" s="402"/>
      <c r="AC685" s="402"/>
      <c r="AD685" s="402"/>
      <c r="AE685" s="402"/>
      <c r="AF685" s="402"/>
      <c r="AG685" s="402"/>
      <c r="AH685" s="402"/>
      <c r="AI685" s="402"/>
      <c r="AJ685" s="402"/>
      <c r="AK685" s="402"/>
      <c r="AL685" s="402"/>
      <c r="AM685" s="402"/>
      <c r="AN685" s="402"/>
      <c r="AO685" s="402"/>
      <c r="AP685" s="41"/>
      <c r="AQ685" s="81">
        <f>IF(J685&lt;&gt;"",1,IF(H685="なし",2,0))</f>
        <v>0</v>
      </c>
      <c r="AR685" s="86"/>
      <c r="AS685" s="86"/>
    </row>
    <row r="686" spans="2:45" ht="5.0999999999999996" customHeight="1" thickBot="1" x14ac:dyDescent="0.2">
      <c r="C686" s="46"/>
      <c r="D686" s="46"/>
      <c r="E686" s="48"/>
      <c r="F686" s="246"/>
      <c r="G686" s="47"/>
      <c r="H686" s="47"/>
      <c r="I686" s="255"/>
      <c r="J686" s="246"/>
      <c r="K686" s="246"/>
      <c r="L686" s="246"/>
      <c r="M686" s="245"/>
      <c r="N686" s="246"/>
      <c r="O686" s="246"/>
      <c r="P686" s="246"/>
      <c r="Q686" s="245"/>
      <c r="R686" s="246"/>
      <c r="S686" s="246"/>
      <c r="T686" s="246"/>
      <c r="U686" s="245"/>
      <c r="V686" s="246"/>
      <c r="W686" s="46"/>
      <c r="X686" s="402"/>
      <c r="Y686" s="402"/>
      <c r="Z686" s="402"/>
      <c r="AA686" s="402"/>
      <c r="AB686" s="402"/>
      <c r="AC686" s="402"/>
      <c r="AD686" s="402"/>
      <c r="AE686" s="402"/>
      <c r="AF686" s="402"/>
      <c r="AG686" s="402"/>
      <c r="AH686" s="402"/>
      <c r="AI686" s="402"/>
      <c r="AJ686" s="402"/>
      <c r="AK686" s="402"/>
      <c r="AL686" s="402"/>
      <c r="AM686" s="402"/>
      <c r="AN686" s="402"/>
      <c r="AO686" s="402"/>
      <c r="AP686" s="41"/>
      <c r="AQ686" s="86"/>
      <c r="AR686" s="86"/>
      <c r="AS686" s="86"/>
    </row>
    <row r="687" spans="2:45" ht="18" customHeight="1" thickBot="1" x14ac:dyDescent="0.2">
      <c r="B687" s="42">
        <v>43</v>
      </c>
      <c r="C687" s="46"/>
      <c r="D687" s="46"/>
      <c r="E687" s="48"/>
      <c r="F687" s="246"/>
      <c r="G687" s="47"/>
      <c r="H687" s="47"/>
      <c r="I687" s="261" t="str">
        <f>IF(AQ685=2,"入力してください→",IF(AQ685=1,"入力不要です→",""))</f>
        <v/>
      </c>
      <c r="J687" s="387"/>
      <c r="K687" s="388"/>
      <c r="L687" s="389"/>
      <c r="M687" s="245"/>
      <c r="N687" s="387"/>
      <c r="O687" s="388"/>
      <c r="P687" s="389"/>
      <c r="Q687" s="245"/>
      <c r="R687" s="387"/>
      <c r="S687" s="388"/>
      <c r="T687" s="389"/>
      <c r="U687" s="245"/>
      <c r="V687" s="249"/>
      <c r="W687" s="46"/>
      <c r="X687" s="402"/>
      <c r="Y687" s="402"/>
      <c r="Z687" s="402"/>
      <c r="AA687" s="402"/>
      <c r="AB687" s="402"/>
      <c r="AC687" s="402"/>
      <c r="AD687" s="402"/>
      <c r="AE687" s="402"/>
      <c r="AF687" s="402"/>
      <c r="AG687" s="402"/>
      <c r="AH687" s="402"/>
      <c r="AI687" s="402"/>
      <c r="AJ687" s="402"/>
      <c r="AK687" s="402"/>
      <c r="AL687" s="402"/>
      <c r="AM687" s="402"/>
      <c r="AN687" s="402"/>
      <c r="AO687" s="402"/>
      <c r="AP687" s="41"/>
      <c r="AQ687" s="86"/>
      <c r="AR687" s="86"/>
      <c r="AS687" s="86"/>
    </row>
    <row r="688" spans="2:45" ht="5.0999999999999996" customHeight="1" thickBot="1" x14ac:dyDescent="0.2">
      <c r="C688" s="46"/>
      <c r="D688" s="46"/>
      <c r="E688" s="48"/>
      <c r="F688" s="246"/>
      <c r="G688" s="47"/>
      <c r="H688" s="47"/>
      <c r="I688" s="255"/>
      <c r="J688" s="246"/>
      <c r="K688" s="246"/>
      <c r="L688" s="246"/>
      <c r="M688" s="245"/>
      <c r="N688" s="246"/>
      <c r="O688" s="246"/>
      <c r="P688" s="246"/>
      <c r="Q688" s="245"/>
      <c r="R688" s="246"/>
      <c r="S688" s="246"/>
      <c r="T688" s="246"/>
      <c r="U688" s="245"/>
      <c r="V688" s="246"/>
      <c r="W688" s="46"/>
      <c r="X688" s="296" t="s">
        <v>212</v>
      </c>
      <c r="Y688" s="296"/>
      <c r="Z688" s="296"/>
      <c r="AA688" s="296"/>
      <c r="AB688" s="296"/>
      <c r="AC688" s="296"/>
      <c r="AD688" s="296"/>
      <c r="AE688" s="296"/>
      <c r="AF688" s="296"/>
      <c r="AG688" s="296"/>
      <c r="AH688" s="296"/>
      <c r="AI688" s="296"/>
      <c r="AJ688" s="296"/>
      <c r="AK688" s="296"/>
      <c r="AL688" s="296"/>
      <c r="AM688" s="296"/>
      <c r="AN688" s="296"/>
      <c r="AO688" s="296"/>
      <c r="AP688" s="41"/>
      <c r="AQ688" s="86"/>
      <c r="AR688" s="86"/>
      <c r="AS688" s="86"/>
    </row>
    <row r="689" spans="2:45" ht="18" customHeight="1" thickBot="1" x14ac:dyDescent="0.2">
      <c r="B689" s="42">
        <v>43</v>
      </c>
      <c r="C689" s="46"/>
      <c r="D689" s="46"/>
      <c r="E689" s="48" t="s">
        <v>74</v>
      </c>
      <c r="F689" s="80"/>
      <c r="G689" s="47"/>
      <c r="H689" s="109"/>
      <c r="I689" s="255"/>
      <c r="J689" s="366" t="str">
        <f>IFERROR(VLOOKUP($F689,補助対象機器一覧20220831!$A$2:$K$200,2,FALSE),"")</f>
        <v/>
      </c>
      <c r="K689" s="367"/>
      <c r="L689" s="368"/>
      <c r="M689" s="245"/>
      <c r="N689" s="366" t="str">
        <f>IFERROR(VLOOKUP($F689,補助対象機器一覧20220831!$A$2:$K$200,7,FALSE),"")</f>
        <v/>
      </c>
      <c r="O689" s="367"/>
      <c r="P689" s="368"/>
      <c r="Q689" s="245"/>
      <c r="R689" s="366" t="str">
        <f>IFERROR(VLOOKUP($F689,補助対象機器一覧20220831!$A$2:$K$200,8,FALSE),"")</f>
        <v/>
      </c>
      <c r="S689" s="367"/>
      <c r="T689" s="368"/>
      <c r="U689" s="245"/>
      <c r="V689" s="244" t="str">
        <f>IFERROR(VLOOKUP($F689,補助対象機器一覧20220831!$A$2:$K$200,9,FALSE),"")</f>
        <v/>
      </c>
      <c r="W689" s="46"/>
      <c r="X689" s="402" t="str">
        <f>IF($B689&lt;=入力シート!$F$85,""&amp;中間シート!X642,"")</f>
        <v/>
      </c>
      <c r="Y689" s="402"/>
      <c r="Z689" s="402"/>
      <c r="AA689" s="402"/>
      <c r="AB689" s="402"/>
      <c r="AC689" s="402"/>
      <c r="AD689" s="402"/>
      <c r="AE689" s="402"/>
      <c r="AF689" s="402"/>
      <c r="AG689" s="402"/>
      <c r="AH689" s="402"/>
      <c r="AI689" s="402"/>
      <c r="AJ689" s="402"/>
      <c r="AK689" s="402"/>
      <c r="AL689" s="402"/>
      <c r="AM689" s="402"/>
      <c r="AN689" s="402"/>
      <c r="AO689" s="402"/>
      <c r="AP689" s="41"/>
      <c r="AQ689" s="81">
        <f>IF(J689&lt;&gt;"",1,IF(H689="なし",2,0))</f>
        <v>0</v>
      </c>
      <c r="AR689" s="86"/>
      <c r="AS689" s="86"/>
    </row>
    <row r="690" spans="2:45" ht="5.0999999999999996" customHeight="1" thickBot="1" x14ac:dyDescent="0.2">
      <c r="C690" s="46"/>
      <c r="D690" s="46"/>
      <c r="E690" s="48"/>
      <c r="F690" s="246"/>
      <c r="G690" s="47"/>
      <c r="H690" s="47"/>
      <c r="I690" s="255"/>
      <c r="J690" s="246"/>
      <c r="K690" s="246"/>
      <c r="L690" s="246"/>
      <c r="M690" s="245"/>
      <c r="N690" s="246"/>
      <c r="O690" s="246"/>
      <c r="P690" s="246"/>
      <c r="Q690" s="245"/>
      <c r="R690" s="246"/>
      <c r="S690" s="246"/>
      <c r="T690" s="246"/>
      <c r="U690" s="245"/>
      <c r="V690" s="246"/>
      <c r="W690" s="46"/>
      <c r="X690" s="402"/>
      <c r="Y690" s="402"/>
      <c r="Z690" s="402"/>
      <c r="AA690" s="402"/>
      <c r="AB690" s="402"/>
      <c r="AC690" s="402"/>
      <c r="AD690" s="402"/>
      <c r="AE690" s="402"/>
      <c r="AF690" s="402"/>
      <c r="AG690" s="402"/>
      <c r="AH690" s="402"/>
      <c r="AI690" s="402"/>
      <c r="AJ690" s="402"/>
      <c r="AK690" s="402"/>
      <c r="AL690" s="402"/>
      <c r="AM690" s="402"/>
      <c r="AN690" s="402"/>
      <c r="AO690" s="402"/>
      <c r="AP690" s="41"/>
      <c r="AQ690" s="86"/>
      <c r="AR690" s="86"/>
      <c r="AS690" s="86"/>
    </row>
    <row r="691" spans="2:45" ht="18" customHeight="1" thickBot="1" x14ac:dyDescent="0.2">
      <c r="B691" s="42">
        <v>43</v>
      </c>
      <c r="C691" s="46"/>
      <c r="D691" s="46"/>
      <c r="E691" s="47"/>
      <c r="F691" s="246"/>
      <c r="G691" s="47"/>
      <c r="H691" s="47"/>
      <c r="I691" s="261" t="str">
        <f>IF(AQ689=2,"入力してください→",IF(AQ689=1,"入力不要です→",""))</f>
        <v/>
      </c>
      <c r="J691" s="387"/>
      <c r="K691" s="388"/>
      <c r="L691" s="389"/>
      <c r="M691" s="245"/>
      <c r="N691" s="387"/>
      <c r="O691" s="388"/>
      <c r="P691" s="389"/>
      <c r="Q691" s="245"/>
      <c r="R691" s="387"/>
      <c r="S691" s="388"/>
      <c r="T691" s="389"/>
      <c r="U691" s="245"/>
      <c r="V691" s="249"/>
      <c r="W691" s="46"/>
      <c r="X691" s="402"/>
      <c r="Y691" s="402"/>
      <c r="Z691" s="402"/>
      <c r="AA691" s="402"/>
      <c r="AB691" s="402"/>
      <c r="AC691" s="402"/>
      <c r="AD691" s="402"/>
      <c r="AE691" s="402"/>
      <c r="AF691" s="402"/>
      <c r="AG691" s="402"/>
      <c r="AH691" s="402"/>
      <c r="AI691" s="402"/>
      <c r="AJ691" s="402"/>
      <c r="AK691" s="402"/>
      <c r="AL691" s="402"/>
      <c r="AM691" s="402"/>
      <c r="AN691" s="402"/>
      <c r="AO691" s="402"/>
      <c r="AP691" s="41"/>
      <c r="AQ691" s="86"/>
      <c r="AR691" s="86"/>
      <c r="AS691" s="86"/>
    </row>
    <row r="692" spans="2:45" x14ac:dyDescent="0.15">
      <c r="C692" s="46"/>
      <c r="D692" s="46"/>
      <c r="E692" s="47"/>
      <c r="F692" s="246"/>
      <c r="G692" s="47"/>
      <c r="H692" s="47"/>
      <c r="I692" s="257"/>
      <c r="J692" s="245"/>
      <c r="K692" s="245"/>
      <c r="L692" s="245"/>
      <c r="M692" s="245"/>
      <c r="N692" s="245"/>
      <c r="O692" s="245"/>
      <c r="P692" s="245"/>
      <c r="Q692" s="245"/>
      <c r="R692" s="245"/>
      <c r="S692" s="245"/>
      <c r="T692" s="245"/>
      <c r="U692" s="245"/>
      <c r="V692" s="245"/>
      <c r="W692" s="46"/>
      <c r="X692" s="296" t="s">
        <v>212</v>
      </c>
      <c r="Y692" s="296"/>
      <c r="Z692" s="296"/>
      <c r="AA692" s="296"/>
      <c r="AB692" s="296"/>
      <c r="AC692" s="296"/>
      <c r="AD692" s="296"/>
      <c r="AE692" s="296"/>
      <c r="AF692" s="296"/>
      <c r="AG692" s="296"/>
      <c r="AH692" s="296"/>
      <c r="AI692" s="296"/>
      <c r="AJ692" s="296"/>
      <c r="AK692" s="296"/>
      <c r="AL692" s="296"/>
      <c r="AM692" s="296"/>
      <c r="AN692" s="296"/>
      <c r="AO692" s="296"/>
      <c r="AQ692" s="86"/>
      <c r="AR692" s="86"/>
      <c r="AS692" s="86"/>
    </row>
    <row r="693" spans="2:45" ht="14.25" thickBot="1" x14ac:dyDescent="0.2">
      <c r="C693" s="86"/>
      <c r="D693" s="86"/>
      <c r="E693" s="93"/>
      <c r="F693" s="247"/>
      <c r="G693" s="93"/>
      <c r="H693" s="93"/>
      <c r="I693" s="258"/>
      <c r="J693" s="248"/>
      <c r="K693" s="248"/>
      <c r="L693" s="248"/>
      <c r="M693" s="248"/>
      <c r="N693" s="248"/>
      <c r="O693" s="248"/>
      <c r="P693" s="248"/>
      <c r="Q693" s="248"/>
      <c r="R693" s="248"/>
      <c r="S693" s="248"/>
      <c r="T693" s="248"/>
      <c r="U693" s="248"/>
      <c r="V693" s="248"/>
      <c r="W693" s="86"/>
      <c r="X693" s="296" t="s">
        <v>212</v>
      </c>
      <c r="Y693" s="296"/>
      <c r="Z693" s="296"/>
      <c r="AA693" s="296"/>
      <c r="AB693" s="296"/>
      <c r="AC693" s="296"/>
      <c r="AD693" s="296"/>
      <c r="AE693" s="296"/>
      <c r="AF693" s="296"/>
      <c r="AG693" s="296"/>
      <c r="AH693" s="296"/>
      <c r="AI693" s="296"/>
      <c r="AJ693" s="296"/>
      <c r="AK693" s="296"/>
      <c r="AL693" s="296"/>
      <c r="AM693" s="296"/>
      <c r="AN693" s="296"/>
      <c r="AO693" s="296"/>
      <c r="AQ693" s="86"/>
      <c r="AR693" s="86"/>
      <c r="AS693" s="86"/>
    </row>
    <row r="694" spans="2:45" ht="18" customHeight="1" thickBot="1" x14ac:dyDescent="0.2">
      <c r="B694" s="42">
        <v>44</v>
      </c>
      <c r="C694" s="86"/>
      <c r="D694" s="94" t="s">
        <v>199</v>
      </c>
      <c r="E694" s="95" t="s">
        <v>72</v>
      </c>
      <c r="F694" s="80"/>
      <c r="G694" s="86"/>
      <c r="H694" s="80"/>
      <c r="I694" s="259"/>
      <c r="J694" s="366" t="str">
        <f>IFERROR(VLOOKUP($F694,補助対象機器一覧20220831!$A$2:$K$200,2,FALSE),"")</f>
        <v/>
      </c>
      <c r="K694" s="367"/>
      <c r="L694" s="368"/>
      <c r="M694" s="248"/>
      <c r="N694" s="366" t="str">
        <f>IFERROR(VLOOKUP($F694,補助対象機器一覧20220831!$A$2:$K$200,7,FALSE),"")</f>
        <v/>
      </c>
      <c r="O694" s="367"/>
      <c r="P694" s="368"/>
      <c r="Q694" s="248"/>
      <c r="R694" s="366" t="str">
        <f>IFERROR(VLOOKUP($F694,補助対象機器一覧20220831!$A$2:$K$200,8,FALSE),"")</f>
        <v/>
      </c>
      <c r="S694" s="367"/>
      <c r="T694" s="368"/>
      <c r="U694" s="248"/>
      <c r="V694" s="244" t="str">
        <f>IFERROR(VLOOKUP($F694,補助対象機器一覧20220831!$A$2:$K$200,9,FALSE),"")</f>
        <v/>
      </c>
      <c r="W694" s="86"/>
      <c r="X694" s="402" t="str">
        <f>IF($B694&lt;=入力シート!$F$85,""&amp;中間シート!X643,"")</f>
        <v/>
      </c>
      <c r="Y694" s="402"/>
      <c r="Z694" s="402"/>
      <c r="AA694" s="402"/>
      <c r="AB694" s="402"/>
      <c r="AC694" s="402"/>
      <c r="AD694" s="402"/>
      <c r="AE694" s="402"/>
      <c r="AF694" s="402"/>
      <c r="AG694" s="402"/>
      <c r="AH694" s="402"/>
      <c r="AI694" s="402"/>
      <c r="AJ694" s="402"/>
      <c r="AK694" s="402"/>
      <c r="AL694" s="402"/>
      <c r="AM694" s="402"/>
      <c r="AN694" s="402"/>
      <c r="AO694" s="402"/>
      <c r="AQ694" s="81">
        <f>IF(J694&lt;&gt;"",1,IF(H694="なし",2,0))</f>
        <v>0</v>
      </c>
      <c r="AR694" s="86"/>
      <c r="AS694" s="86"/>
    </row>
    <row r="695" spans="2:45" ht="5.0999999999999996" customHeight="1" thickBot="1" x14ac:dyDescent="0.2">
      <c r="C695" s="86"/>
      <c r="D695" s="94"/>
      <c r="E695" s="95"/>
      <c r="F695" s="248"/>
      <c r="G695" s="86"/>
      <c r="H695" s="86"/>
      <c r="I695" s="259"/>
      <c r="J695" s="248"/>
      <c r="K695" s="248"/>
      <c r="L695" s="248"/>
      <c r="M695" s="248"/>
      <c r="N695" s="248"/>
      <c r="O695" s="248"/>
      <c r="P695" s="248"/>
      <c r="Q695" s="248"/>
      <c r="R695" s="248"/>
      <c r="S695" s="248"/>
      <c r="T695" s="248"/>
      <c r="U695" s="248"/>
      <c r="V695" s="248"/>
      <c r="W695" s="86"/>
      <c r="X695" s="402"/>
      <c r="Y695" s="402"/>
      <c r="Z695" s="402"/>
      <c r="AA695" s="402"/>
      <c r="AB695" s="402"/>
      <c r="AC695" s="402"/>
      <c r="AD695" s="402"/>
      <c r="AE695" s="402"/>
      <c r="AF695" s="402"/>
      <c r="AG695" s="402"/>
      <c r="AH695" s="402"/>
      <c r="AI695" s="402"/>
      <c r="AJ695" s="402"/>
      <c r="AK695" s="402"/>
      <c r="AL695" s="402"/>
      <c r="AM695" s="402"/>
      <c r="AN695" s="402"/>
      <c r="AO695" s="402"/>
      <c r="AP695" s="41"/>
      <c r="AQ695" s="86"/>
      <c r="AR695" s="86"/>
      <c r="AS695" s="86"/>
    </row>
    <row r="696" spans="2:45" ht="18" customHeight="1" thickBot="1" x14ac:dyDescent="0.2">
      <c r="B696" s="42">
        <v>44</v>
      </c>
      <c r="C696" s="86"/>
      <c r="D696" s="94"/>
      <c r="E696" s="95"/>
      <c r="F696" s="247"/>
      <c r="G696" s="86"/>
      <c r="H696" s="86"/>
      <c r="I696" s="260" t="str">
        <f>IF(AQ694=2,"入力してください→",IF(AQ694=1,"入力不要です→",""))</f>
        <v/>
      </c>
      <c r="J696" s="387"/>
      <c r="K696" s="388"/>
      <c r="L696" s="389"/>
      <c r="M696" s="248"/>
      <c r="N696" s="387"/>
      <c r="O696" s="388"/>
      <c r="P696" s="389"/>
      <c r="Q696" s="248"/>
      <c r="R696" s="387"/>
      <c r="S696" s="388"/>
      <c r="T696" s="389"/>
      <c r="U696" s="248"/>
      <c r="V696" s="249"/>
      <c r="W696" s="86"/>
      <c r="X696" s="402"/>
      <c r="Y696" s="402"/>
      <c r="Z696" s="402"/>
      <c r="AA696" s="402"/>
      <c r="AB696" s="402"/>
      <c r="AC696" s="402"/>
      <c r="AD696" s="402"/>
      <c r="AE696" s="402"/>
      <c r="AF696" s="402"/>
      <c r="AG696" s="402"/>
      <c r="AH696" s="402"/>
      <c r="AI696" s="402"/>
      <c r="AJ696" s="402"/>
      <c r="AK696" s="402"/>
      <c r="AL696" s="402"/>
      <c r="AM696" s="402"/>
      <c r="AN696" s="402"/>
      <c r="AO696" s="402"/>
      <c r="AP696" s="41"/>
      <c r="AQ696" s="86"/>
      <c r="AR696" s="86"/>
      <c r="AS696" s="86"/>
    </row>
    <row r="697" spans="2:45" ht="5.0999999999999996" customHeight="1" thickBot="1" x14ac:dyDescent="0.2">
      <c r="C697" s="86"/>
      <c r="D697" s="86"/>
      <c r="E697" s="93"/>
      <c r="F697" s="248"/>
      <c r="G697" s="93"/>
      <c r="H697" s="93"/>
      <c r="I697" s="259"/>
      <c r="J697" s="248"/>
      <c r="K697" s="248"/>
      <c r="L697" s="248"/>
      <c r="M697" s="248"/>
      <c r="N697" s="248"/>
      <c r="O697" s="248"/>
      <c r="P697" s="248"/>
      <c r="Q697" s="248"/>
      <c r="R697" s="248"/>
      <c r="S697" s="248"/>
      <c r="T697" s="248"/>
      <c r="U697" s="248"/>
      <c r="V697" s="248"/>
      <c r="W697" s="86"/>
      <c r="X697" s="296" t="s">
        <v>212</v>
      </c>
      <c r="Y697" s="296"/>
      <c r="Z697" s="296"/>
      <c r="AA697" s="296"/>
      <c r="AB697" s="296"/>
      <c r="AC697" s="296"/>
      <c r="AD697" s="296"/>
      <c r="AE697" s="296"/>
      <c r="AF697" s="296"/>
      <c r="AG697" s="296"/>
      <c r="AH697" s="296"/>
      <c r="AI697" s="296"/>
      <c r="AJ697" s="296"/>
      <c r="AK697" s="296"/>
      <c r="AL697" s="296"/>
      <c r="AM697" s="296"/>
      <c r="AN697" s="296"/>
      <c r="AO697" s="296"/>
      <c r="AP697" s="41"/>
      <c r="AQ697" s="86"/>
      <c r="AR697" s="86"/>
      <c r="AS697" s="86"/>
    </row>
    <row r="698" spans="2:45" ht="18" customHeight="1" thickBot="1" x14ac:dyDescent="0.2">
      <c r="B698" s="42">
        <v>44</v>
      </c>
      <c r="C698" s="86"/>
      <c r="D698" s="86"/>
      <c r="E698" s="95" t="s">
        <v>73</v>
      </c>
      <c r="F698" s="80"/>
      <c r="G698" s="93"/>
      <c r="H698" s="80"/>
      <c r="I698" s="259"/>
      <c r="J698" s="366" t="str">
        <f>IFERROR(VLOOKUP($F698,補助対象機器一覧20220831!$A$2:$K$200,2,FALSE),"")</f>
        <v/>
      </c>
      <c r="K698" s="367"/>
      <c r="L698" s="368"/>
      <c r="M698" s="248"/>
      <c r="N698" s="366" t="str">
        <f>IFERROR(VLOOKUP($F698,補助対象機器一覧20220831!$A$2:$K$200,7,FALSE),"")</f>
        <v/>
      </c>
      <c r="O698" s="367"/>
      <c r="P698" s="368"/>
      <c r="Q698" s="248"/>
      <c r="R698" s="366" t="str">
        <f>IFERROR(VLOOKUP($F698,補助対象機器一覧20220831!$A$2:$K$200,8,FALSE),"")</f>
        <v/>
      </c>
      <c r="S698" s="367"/>
      <c r="T698" s="368"/>
      <c r="U698" s="248"/>
      <c r="V698" s="244" t="str">
        <f>IFERROR(VLOOKUP($F698,補助対象機器一覧20220831!$A$2:$K$200,9,FALSE),"")</f>
        <v/>
      </c>
      <c r="W698" s="86"/>
      <c r="X698" s="402" t="str">
        <f>IF($B698&lt;=入力シート!$F$85,""&amp;中間シート!X644,"")</f>
        <v/>
      </c>
      <c r="Y698" s="402"/>
      <c r="Z698" s="402"/>
      <c r="AA698" s="402"/>
      <c r="AB698" s="402"/>
      <c r="AC698" s="402"/>
      <c r="AD698" s="402"/>
      <c r="AE698" s="402"/>
      <c r="AF698" s="402"/>
      <c r="AG698" s="402"/>
      <c r="AH698" s="402"/>
      <c r="AI698" s="402"/>
      <c r="AJ698" s="402"/>
      <c r="AK698" s="402"/>
      <c r="AL698" s="402"/>
      <c r="AM698" s="402"/>
      <c r="AN698" s="402"/>
      <c r="AO698" s="402"/>
      <c r="AP698" s="41"/>
      <c r="AQ698" s="81">
        <f>IF(J698&lt;&gt;"",1,IF(H698="なし",2,0))</f>
        <v>0</v>
      </c>
      <c r="AR698" s="86"/>
      <c r="AS698" s="86"/>
    </row>
    <row r="699" spans="2:45" ht="5.0999999999999996" customHeight="1" thickBot="1" x14ac:dyDescent="0.2">
      <c r="C699" s="86"/>
      <c r="D699" s="86"/>
      <c r="E699" s="95"/>
      <c r="F699" s="247"/>
      <c r="G699" s="93"/>
      <c r="H699" s="93"/>
      <c r="I699" s="259"/>
      <c r="J699" s="247"/>
      <c r="K699" s="247"/>
      <c r="L699" s="247"/>
      <c r="M699" s="248"/>
      <c r="N699" s="247"/>
      <c r="O699" s="247"/>
      <c r="P699" s="247"/>
      <c r="Q699" s="248"/>
      <c r="R699" s="247"/>
      <c r="S699" s="247"/>
      <c r="T699" s="247"/>
      <c r="U699" s="248"/>
      <c r="V699" s="247"/>
      <c r="W699" s="86"/>
      <c r="X699" s="402"/>
      <c r="Y699" s="402"/>
      <c r="Z699" s="402"/>
      <c r="AA699" s="402"/>
      <c r="AB699" s="402"/>
      <c r="AC699" s="402"/>
      <c r="AD699" s="402"/>
      <c r="AE699" s="402"/>
      <c r="AF699" s="402"/>
      <c r="AG699" s="402"/>
      <c r="AH699" s="402"/>
      <c r="AI699" s="402"/>
      <c r="AJ699" s="402"/>
      <c r="AK699" s="402"/>
      <c r="AL699" s="402"/>
      <c r="AM699" s="402"/>
      <c r="AN699" s="402"/>
      <c r="AO699" s="402"/>
      <c r="AP699" s="41"/>
      <c r="AQ699" s="86"/>
      <c r="AR699" s="86"/>
      <c r="AS699" s="86"/>
    </row>
    <row r="700" spans="2:45" ht="18" customHeight="1" thickBot="1" x14ac:dyDescent="0.2">
      <c r="B700" s="42">
        <v>44</v>
      </c>
      <c r="C700" s="86"/>
      <c r="D700" s="86"/>
      <c r="E700" s="95"/>
      <c r="F700" s="247"/>
      <c r="G700" s="93"/>
      <c r="H700" s="93"/>
      <c r="I700" s="260" t="str">
        <f>IF(AQ698=2,"入力してください→",IF(AQ698=1,"入力不要です→",""))</f>
        <v/>
      </c>
      <c r="J700" s="387"/>
      <c r="K700" s="388"/>
      <c r="L700" s="389"/>
      <c r="M700" s="248"/>
      <c r="N700" s="387"/>
      <c r="O700" s="388"/>
      <c r="P700" s="389"/>
      <c r="Q700" s="248"/>
      <c r="R700" s="387"/>
      <c r="S700" s="388"/>
      <c r="T700" s="389"/>
      <c r="U700" s="248"/>
      <c r="V700" s="249"/>
      <c r="W700" s="86"/>
      <c r="X700" s="402"/>
      <c r="Y700" s="402"/>
      <c r="Z700" s="402"/>
      <c r="AA700" s="402"/>
      <c r="AB700" s="402"/>
      <c r="AC700" s="402"/>
      <c r="AD700" s="402"/>
      <c r="AE700" s="402"/>
      <c r="AF700" s="402"/>
      <c r="AG700" s="402"/>
      <c r="AH700" s="402"/>
      <c r="AI700" s="402"/>
      <c r="AJ700" s="402"/>
      <c r="AK700" s="402"/>
      <c r="AL700" s="402"/>
      <c r="AM700" s="402"/>
      <c r="AN700" s="402"/>
      <c r="AO700" s="402"/>
      <c r="AP700" s="41"/>
      <c r="AQ700" s="86"/>
      <c r="AR700" s="86"/>
      <c r="AS700" s="86"/>
    </row>
    <row r="701" spans="2:45" ht="5.0999999999999996" customHeight="1" thickBot="1" x14ac:dyDescent="0.2">
      <c r="C701" s="86"/>
      <c r="D701" s="86"/>
      <c r="E701" s="95"/>
      <c r="F701" s="247"/>
      <c r="G701" s="93"/>
      <c r="H701" s="93"/>
      <c r="I701" s="259"/>
      <c r="J701" s="247"/>
      <c r="K701" s="247"/>
      <c r="L701" s="247"/>
      <c r="M701" s="248"/>
      <c r="N701" s="247"/>
      <c r="O701" s="247"/>
      <c r="P701" s="247"/>
      <c r="Q701" s="248"/>
      <c r="R701" s="247"/>
      <c r="S701" s="247"/>
      <c r="T701" s="247"/>
      <c r="U701" s="248"/>
      <c r="V701" s="247"/>
      <c r="W701" s="86"/>
      <c r="X701" s="296" t="s">
        <v>212</v>
      </c>
      <c r="Y701" s="296"/>
      <c r="Z701" s="296"/>
      <c r="AA701" s="296"/>
      <c r="AB701" s="296"/>
      <c r="AC701" s="296"/>
      <c r="AD701" s="296"/>
      <c r="AE701" s="296"/>
      <c r="AF701" s="296"/>
      <c r="AG701" s="296"/>
      <c r="AH701" s="296"/>
      <c r="AI701" s="296"/>
      <c r="AJ701" s="296"/>
      <c r="AK701" s="296"/>
      <c r="AL701" s="296"/>
      <c r="AM701" s="296"/>
      <c r="AN701" s="296"/>
      <c r="AO701" s="296"/>
      <c r="AP701" s="41"/>
      <c r="AQ701" s="86"/>
      <c r="AR701" s="86"/>
      <c r="AS701" s="86"/>
    </row>
    <row r="702" spans="2:45" ht="18" customHeight="1" thickBot="1" x14ac:dyDescent="0.2">
      <c r="B702" s="42">
        <v>44</v>
      </c>
      <c r="C702" s="86"/>
      <c r="D702" s="86"/>
      <c r="E702" s="95" t="s">
        <v>74</v>
      </c>
      <c r="F702" s="80"/>
      <c r="G702" s="93"/>
      <c r="H702" s="80"/>
      <c r="I702" s="259"/>
      <c r="J702" s="366" t="str">
        <f>IFERROR(VLOOKUP($F702,補助対象機器一覧20220831!$A$2:$K$200,2,FALSE),"")</f>
        <v/>
      </c>
      <c r="K702" s="367"/>
      <c r="L702" s="368"/>
      <c r="M702" s="248"/>
      <c r="N702" s="366" t="str">
        <f>IFERROR(VLOOKUP($F702,補助対象機器一覧20220831!$A$2:$K$200,7,FALSE),"")</f>
        <v/>
      </c>
      <c r="O702" s="367"/>
      <c r="P702" s="368"/>
      <c r="Q702" s="248"/>
      <c r="R702" s="366" t="str">
        <f>IFERROR(VLOOKUP($F702,補助対象機器一覧20220831!$A$2:$K$200,8,FALSE),"")</f>
        <v/>
      </c>
      <c r="S702" s="367"/>
      <c r="T702" s="368"/>
      <c r="U702" s="248"/>
      <c r="V702" s="244" t="str">
        <f>IFERROR(VLOOKUP($F702,補助対象機器一覧20220831!$A$2:$K$200,9,FALSE),"")</f>
        <v/>
      </c>
      <c r="W702" s="86"/>
      <c r="X702" s="402" t="str">
        <f>IF($B702&lt;=入力シート!$F$85,""&amp;中間シート!X645,"")</f>
        <v/>
      </c>
      <c r="Y702" s="402"/>
      <c r="Z702" s="402"/>
      <c r="AA702" s="402"/>
      <c r="AB702" s="402"/>
      <c r="AC702" s="402"/>
      <c r="AD702" s="402"/>
      <c r="AE702" s="402"/>
      <c r="AF702" s="402"/>
      <c r="AG702" s="402"/>
      <c r="AH702" s="402"/>
      <c r="AI702" s="402"/>
      <c r="AJ702" s="402"/>
      <c r="AK702" s="402"/>
      <c r="AL702" s="402"/>
      <c r="AM702" s="402"/>
      <c r="AN702" s="402"/>
      <c r="AO702" s="402"/>
      <c r="AP702" s="41"/>
      <c r="AQ702" s="81">
        <f>IF(J702&lt;&gt;"",1,IF(H702="なし",2,0))</f>
        <v>0</v>
      </c>
      <c r="AR702" s="86"/>
      <c r="AS702" s="86"/>
    </row>
    <row r="703" spans="2:45" ht="5.0999999999999996" customHeight="1" thickBot="1" x14ac:dyDescent="0.2">
      <c r="C703" s="86"/>
      <c r="D703" s="86"/>
      <c r="E703" s="95"/>
      <c r="F703" s="247"/>
      <c r="G703" s="93"/>
      <c r="H703" s="93"/>
      <c r="I703" s="259"/>
      <c r="J703" s="247"/>
      <c r="K703" s="247"/>
      <c r="L703" s="247"/>
      <c r="M703" s="248"/>
      <c r="N703" s="247"/>
      <c r="O703" s="247"/>
      <c r="P703" s="247"/>
      <c r="Q703" s="248"/>
      <c r="R703" s="247"/>
      <c r="S703" s="247"/>
      <c r="T703" s="247"/>
      <c r="U703" s="248"/>
      <c r="V703" s="247"/>
      <c r="W703" s="86"/>
      <c r="X703" s="402"/>
      <c r="Y703" s="402"/>
      <c r="Z703" s="402"/>
      <c r="AA703" s="402"/>
      <c r="AB703" s="402"/>
      <c r="AC703" s="402"/>
      <c r="AD703" s="402"/>
      <c r="AE703" s="402"/>
      <c r="AF703" s="402"/>
      <c r="AG703" s="402"/>
      <c r="AH703" s="402"/>
      <c r="AI703" s="402"/>
      <c r="AJ703" s="402"/>
      <c r="AK703" s="402"/>
      <c r="AL703" s="402"/>
      <c r="AM703" s="402"/>
      <c r="AN703" s="402"/>
      <c r="AO703" s="402"/>
      <c r="AP703" s="41"/>
      <c r="AQ703" s="86"/>
      <c r="AR703" s="86"/>
      <c r="AS703" s="86"/>
    </row>
    <row r="704" spans="2:45" ht="18" customHeight="1" thickBot="1" x14ac:dyDescent="0.2">
      <c r="B704" s="42">
        <v>44</v>
      </c>
      <c r="C704" s="86"/>
      <c r="D704" s="86"/>
      <c r="E704" s="93"/>
      <c r="F704" s="247"/>
      <c r="G704" s="93"/>
      <c r="H704" s="93"/>
      <c r="I704" s="260" t="str">
        <f>IF(AQ702=2,"入力してください→",IF(AQ702=1,"入力不要です→",""))</f>
        <v/>
      </c>
      <c r="J704" s="387"/>
      <c r="K704" s="388"/>
      <c r="L704" s="389"/>
      <c r="M704" s="248"/>
      <c r="N704" s="387"/>
      <c r="O704" s="388"/>
      <c r="P704" s="389"/>
      <c r="Q704" s="248"/>
      <c r="R704" s="387"/>
      <c r="S704" s="388"/>
      <c r="T704" s="389"/>
      <c r="U704" s="248"/>
      <c r="V704" s="249"/>
      <c r="W704" s="86"/>
      <c r="X704" s="402"/>
      <c r="Y704" s="402"/>
      <c r="Z704" s="402"/>
      <c r="AA704" s="402"/>
      <c r="AB704" s="402"/>
      <c r="AC704" s="402"/>
      <c r="AD704" s="402"/>
      <c r="AE704" s="402"/>
      <c r="AF704" s="402"/>
      <c r="AG704" s="402"/>
      <c r="AH704" s="402"/>
      <c r="AI704" s="402"/>
      <c r="AJ704" s="402"/>
      <c r="AK704" s="402"/>
      <c r="AL704" s="402"/>
      <c r="AM704" s="402"/>
      <c r="AN704" s="402"/>
      <c r="AO704" s="402"/>
      <c r="AP704" s="41"/>
      <c r="AQ704" s="86"/>
      <c r="AR704" s="86"/>
      <c r="AS704" s="86"/>
    </row>
    <row r="705" spans="2:45" x14ac:dyDescent="0.15">
      <c r="C705" s="86"/>
      <c r="D705" s="86"/>
      <c r="E705" s="93"/>
      <c r="F705" s="247"/>
      <c r="G705" s="93"/>
      <c r="H705" s="93"/>
      <c r="I705" s="258"/>
      <c r="J705" s="248"/>
      <c r="K705" s="248"/>
      <c r="L705" s="248"/>
      <c r="M705" s="248"/>
      <c r="N705" s="248"/>
      <c r="O705" s="248"/>
      <c r="P705" s="248"/>
      <c r="Q705" s="248"/>
      <c r="R705" s="248"/>
      <c r="S705" s="248"/>
      <c r="T705" s="248"/>
      <c r="U705" s="248"/>
      <c r="V705" s="248"/>
      <c r="W705" s="86"/>
      <c r="X705" s="296" t="s">
        <v>212</v>
      </c>
      <c r="Y705" s="296"/>
      <c r="Z705" s="296"/>
      <c r="AA705" s="296"/>
      <c r="AB705" s="296"/>
      <c r="AC705" s="296"/>
      <c r="AD705" s="296"/>
      <c r="AE705" s="296"/>
      <c r="AF705" s="296"/>
      <c r="AG705" s="296"/>
      <c r="AH705" s="296"/>
      <c r="AI705" s="296"/>
      <c r="AJ705" s="296"/>
      <c r="AK705" s="296"/>
      <c r="AL705" s="296"/>
      <c r="AM705" s="296"/>
      <c r="AN705" s="296"/>
      <c r="AO705" s="296"/>
      <c r="AQ705" s="86"/>
      <c r="AR705" s="86"/>
      <c r="AS705" s="86"/>
    </row>
    <row r="706" spans="2:45" ht="14.25" thickBot="1" x14ac:dyDescent="0.2">
      <c r="C706" s="46"/>
      <c r="D706" s="46"/>
      <c r="E706" s="47"/>
      <c r="F706" s="246"/>
      <c r="G706" s="47"/>
      <c r="H706" s="47"/>
      <c r="I706" s="257"/>
      <c r="J706" s="245"/>
      <c r="K706" s="245"/>
      <c r="L706" s="245"/>
      <c r="M706" s="245"/>
      <c r="N706" s="245"/>
      <c r="O706" s="245"/>
      <c r="P706" s="245"/>
      <c r="Q706" s="245"/>
      <c r="R706" s="245"/>
      <c r="S706" s="245"/>
      <c r="T706" s="245"/>
      <c r="U706" s="245"/>
      <c r="V706" s="245"/>
      <c r="W706" s="46"/>
      <c r="X706" s="296" t="s">
        <v>212</v>
      </c>
      <c r="Y706" s="296"/>
      <c r="Z706" s="296"/>
      <c r="AA706" s="296"/>
      <c r="AB706" s="296"/>
      <c r="AC706" s="296"/>
      <c r="AD706" s="296"/>
      <c r="AE706" s="296"/>
      <c r="AF706" s="296"/>
      <c r="AG706" s="296"/>
      <c r="AH706" s="296"/>
      <c r="AI706" s="296"/>
      <c r="AJ706" s="296"/>
      <c r="AK706" s="296"/>
      <c r="AL706" s="296"/>
      <c r="AM706" s="296"/>
      <c r="AN706" s="296"/>
      <c r="AO706" s="296"/>
      <c r="AQ706" s="86"/>
      <c r="AR706" s="86"/>
      <c r="AS706" s="86"/>
    </row>
    <row r="707" spans="2:45" ht="18" customHeight="1" thickBot="1" x14ac:dyDescent="0.2">
      <c r="B707" s="42">
        <v>45</v>
      </c>
      <c r="C707" s="46"/>
      <c r="D707" s="82" t="s">
        <v>200</v>
      </c>
      <c r="E707" s="48" t="s">
        <v>72</v>
      </c>
      <c r="F707" s="80"/>
      <c r="G707" s="46"/>
      <c r="H707" s="109"/>
      <c r="I707" s="255"/>
      <c r="J707" s="366" t="str">
        <f>IFERROR(VLOOKUP($F707,補助対象機器一覧20220831!$A$2:$K$200,2,FALSE),"")</f>
        <v/>
      </c>
      <c r="K707" s="367"/>
      <c r="L707" s="368"/>
      <c r="M707" s="245"/>
      <c r="N707" s="366" t="str">
        <f>IFERROR(VLOOKUP($F707,補助対象機器一覧20220831!$A$2:$K$200,7,FALSE),"")</f>
        <v/>
      </c>
      <c r="O707" s="367"/>
      <c r="P707" s="368"/>
      <c r="Q707" s="245"/>
      <c r="R707" s="366" t="str">
        <f>IFERROR(VLOOKUP($F707,補助対象機器一覧20220831!$A$2:$K$200,8,FALSE),"")</f>
        <v/>
      </c>
      <c r="S707" s="367"/>
      <c r="T707" s="368"/>
      <c r="U707" s="245"/>
      <c r="V707" s="244" t="str">
        <f>IFERROR(VLOOKUP($F707,補助対象機器一覧20220831!$A$2:$K$200,9,FALSE),"")</f>
        <v/>
      </c>
      <c r="W707" s="46"/>
      <c r="X707" s="402" t="str">
        <f>IF($B707&lt;=入力シート!$F$85,""&amp;中間シート!X646,"")</f>
        <v/>
      </c>
      <c r="Y707" s="402"/>
      <c r="Z707" s="402"/>
      <c r="AA707" s="402"/>
      <c r="AB707" s="402"/>
      <c r="AC707" s="402"/>
      <c r="AD707" s="402"/>
      <c r="AE707" s="402"/>
      <c r="AF707" s="402"/>
      <c r="AG707" s="402"/>
      <c r="AH707" s="402"/>
      <c r="AI707" s="402"/>
      <c r="AJ707" s="402"/>
      <c r="AK707" s="402"/>
      <c r="AL707" s="402"/>
      <c r="AM707" s="402"/>
      <c r="AN707" s="402"/>
      <c r="AO707" s="402"/>
      <c r="AQ707" s="81">
        <f>IF(J707&lt;&gt;"",1,IF(H707="なし",2,0))</f>
        <v>0</v>
      </c>
      <c r="AR707" s="86"/>
      <c r="AS707" s="86"/>
    </row>
    <row r="708" spans="2:45" ht="5.0999999999999996" customHeight="1" thickBot="1" x14ac:dyDescent="0.2">
      <c r="C708" s="46"/>
      <c r="D708" s="46"/>
      <c r="E708" s="48"/>
      <c r="F708" s="245"/>
      <c r="G708" s="46"/>
      <c r="H708" s="46"/>
      <c r="I708" s="255"/>
      <c r="J708" s="245"/>
      <c r="K708" s="245"/>
      <c r="L708" s="245"/>
      <c r="M708" s="245"/>
      <c r="N708" s="245"/>
      <c r="O708" s="245"/>
      <c r="P708" s="245"/>
      <c r="Q708" s="245"/>
      <c r="R708" s="245"/>
      <c r="S708" s="245"/>
      <c r="T708" s="245"/>
      <c r="U708" s="245"/>
      <c r="V708" s="245"/>
      <c r="W708" s="46"/>
      <c r="X708" s="402"/>
      <c r="Y708" s="402"/>
      <c r="Z708" s="402"/>
      <c r="AA708" s="402"/>
      <c r="AB708" s="402"/>
      <c r="AC708" s="402"/>
      <c r="AD708" s="402"/>
      <c r="AE708" s="402"/>
      <c r="AF708" s="402"/>
      <c r="AG708" s="402"/>
      <c r="AH708" s="402"/>
      <c r="AI708" s="402"/>
      <c r="AJ708" s="402"/>
      <c r="AK708" s="402"/>
      <c r="AL708" s="402"/>
      <c r="AM708" s="402"/>
      <c r="AN708" s="402"/>
      <c r="AO708" s="402"/>
      <c r="AP708" s="41"/>
      <c r="AQ708" s="86"/>
      <c r="AR708" s="86"/>
      <c r="AS708" s="86"/>
    </row>
    <row r="709" spans="2:45" ht="18" customHeight="1" thickBot="1" x14ac:dyDescent="0.2">
      <c r="B709" s="42">
        <v>45</v>
      </c>
      <c r="C709" s="46"/>
      <c r="D709" s="82"/>
      <c r="E709" s="48"/>
      <c r="F709" s="246"/>
      <c r="G709" s="46"/>
      <c r="H709" s="46"/>
      <c r="I709" s="261" t="str">
        <f>IF(AQ707=2,"入力してください→",IF(AQ707=1,"入力不要です→",""))</f>
        <v/>
      </c>
      <c r="J709" s="387"/>
      <c r="K709" s="388"/>
      <c r="L709" s="389"/>
      <c r="M709" s="245"/>
      <c r="N709" s="387"/>
      <c r="O709" s="388"/>
      <c r="P709" s="389"/>
      <c r="Q709" s="245"/>
      <c r="R709" s="387"/>
      <c r="S709" s="388"/>
      <c r="T709" s="389"/>
      <c r="U709" s="245"/>
      <c r="V709" s="249"/>
      <c r="W709" s="46"/>
      <c r="X709" s="402"/>
      <c r="Y709" s="402"/>
      <c r="Z709" s="402"/>
      <c r="AA709" s="402"/>
      <c r="AB709" s="402"/>
      <c r="AC709" s="402"/>
      <c r="AD709" s="402"/>
      <c r="AE709" s="402"/>
      <c r="AF709" s="402"/>
      <c r="AG709" s="402"/>
      <c r="AH709" s="402"/>
      <c r="AI709" s="402"/>
      <c r="AJ709" s="402"/>
      <c r="AK709" s="402"/>
      <c r="AL709" s="402"/>
      <c r="AM709" s="402"/>
      <c r="AN709" s="402"/>
      <c r="AO709" s="402"/>
      <c r="AP709" s="41"/>
      <c r="AQ709" s="86"/>
      <c r="AR709" s="86"/>
      <c r="AS709" s="86"/>
    </row>
    <row r="710" spans="2:45" ht="5.0999999999999996" customHeight="1" thickBot="1" x14ac:dyDescent="0.2">
      <c r="C710" s="46"/>
      <c r="D710" s="46"/>
      <c r="E710" s="48"/>
      <c r="F710" s="245"/>
      <c r="G710" s="47"/>
      <c r="H710" s="47"/>
      <c r="I710" s="255"/>
      <c r="J710" s="245"/>
      <c r="K710" s="245"/>
      <c r="L710" s="245"/>
      <c r="M710" s="245"/>
      <c r="N710" s="245"/>
      <c r="O710" s="245"/>
      <c r="P710" s="245"/>
      <c r="Q710" s="245"/>
      <c r="R710" s="245"/>
      <c r="S710" s="245"/>
      <c r="T710" s="245"/>
      <c r="U710" s="245"/>
      <c r="V710" s="245"/>
      <c r="W710" s="46"/>
      <c r="X710" s="296" t="s">
        <v>212</v>
      </c>
      <c r="Y710" s="296"/>
      <c r="Z710" s="296"/>
      <c r="AA710" s="296"/>
      <c r="AB710" s="296"/>
      <c r="AC710" s="296"/>
      <c r="AD710" s="296"/>
      <c r="AE710" s="296"/>
      <c r="AF710" s="296"/>
      <c r="AG710" s="296"/>
      <c r="AH710" s="296"/>
      <c r="AI710" s="296"/>
      <c r="AJ710" s="296"/>
      <c r="AK710" s="296"/>
      <c r="AL710" s="296"/>
      <c r="AM710" s="296"/>
      <c r="AN710" s="296"/>
      <c r="AO710" s="296"/>
      <c r="AP710" s="41"/>
      <c r="AQ710" s="86"/>
      <c r="AR710" s="86"/>
      <c r="AS710" s="86"/>
    </row>
    <row r="711" spans="2:45" ht="18" customHeight="1" thickBot="1" x14ac:dyDescent="0.2">
      <c r="B711" s="42">
        <v>45</v>
      </c>
      <c r="C711" s="46"/>
      <c r="D711" s="46"/>
      <c r="E711" s="48" t="s">
        <v>73</v>
      </c>
      <c r="F711" s="80"/>
      <c r="G711" s="47"/>
      <c r="H711" s="109"/>
      <c r="I711" s="255"/>
      <c r="J711" s="366" t="str">
        <f>IFERROR(VLOOKUP($F711,補助対象機器一覧20220831!$A$2:$K$200,2,FALSE),"")</f>
        <v/>
      </c>
      <c r="K711" s="367"/>
      <c r="L711" s="368"/>
      <c r="M711" s="245"/>
      <c r="N711" s="366" t="str">
        <f>IFERROR(VLOOKUP($F711,補助対象機器一覧20220831!$A$2:$K$200,7,FALSE),"")</f>
        <v/>
      </c>
      <c r="O711" s="367"/>
      <c r="P711" s="368"/>
      <c r="Q711" s="245"/>
      <c r="R711" s="366" t="str">
        <f>IFERROR(VLOOKUP($F711,補助対象機器一覧20220831!$A$2:$K$200,8,FALSE),"")</f>
        <v/>
      </c>
      <c r="S711" s="367"/>
      <c r="T711" s="368"/>
      <c r="U711" s="245"/>
      <c r="V711" s="244" t="str">
        <f>IFERROR(VLOOKUP($F711,補助対象機器一覧20220831!$A$2:$K$200,9,FALSE),"")</f>
        <v/>
      </c>
      <c r="W711" s="46"/>
      <c r="X711" s="402" t="str">
        <f>IF($B711&lt;=入力シート!$F$85,""&amp;中間シート!X647,"")</f>
        <v/>
      </c>
      <c r="Y711" s="402"/>
      <c r="Z711" s="402"/>
      <c r="AA711" s="402"/>
      <c r="AB711" s="402"/>
      <c r="AC711" s="402"/>
      <c r="AD711" s="402"/>
      <c r="AE711" s="402"/>
      <c r="AF711" s="402"/>
      <c r="AG711" s="402"/>
      <c r="AH711" s="402"/>
      <c r="AI711" s="402"/>
      <c r="AJ711" s="402"/>
      <c r="AK711" s="402"/>
      <c r="AL711" s="402"/>
      <c r="AM711" s="402"/>
      <c r="AN711" s="402"/>
      <c r="AO711" s="402"/>
      <c r="AP711" s="41"/>
      <c r="AQ711" s="81">
        <f>IF(J711&lt;&gt;"",1,IF(H711="なし",2,0))</f>
        <v>0</v>
      </c>
      <c r="AR711" s="86"/>
      <c r="AS711" s="86"/>
    </row>
    <row r="712" spans="2:45" ht="5.0999999999999996" customHeight="1" thickBot="1" x14ac:dyDescent="0.2">
      <c r="C712" s="46"/>
      <c r="D712" s="46"/>
      <c r="E712" s="48"/>
      <c r="F712" s="246"/>
      <c r="G712" s="47"/>
      <c r="H712" s="47"/>
      <c r="I712" s="255"/>
      <c r="J712" s="246"/>
      <c r="K712" s="246"/>
      <c r="L712" s="246"/>
      <c r="M712" s="245"/>
      <c r="N712" s="246"/>
      <c r="O712" s="246"/>
      <c r="P712" s="246"/>
      <c r="Q712" s="245"/>
      <c r="R712" s="246"/>
      <c r="S712" s="246"/>
      <c r="T712" s="246"/>
      <c r="U712" s="245"/>
      <c r="V712" s="246"/>
      <c r="W712" s="46"/>
      <c r="X712" s="402"/>
      <c r="Y712" s="402"/>
      <c r="Z712" s="402"/>
      <c r="AA712" s="402"/>
      <c r="AB712" s="402"/>
      <c r="AC712" s="402"/>
      <c r="AD712" s="402"/>
      <c r="AE712" s="402"/>
      <c r="AF712" s="402"/>
      <c r="AG712" s="402"/>
      <c r="AH712" s="402"/>
      <c r="AI712" s="402"/>
      <c r="AJ712" s="402"/>
      <c r="AK712" s="402"/>
      <c r="AL712" s="402"/>
      <c r="AM712" s="402"/>
      <c r="AN712" s="402"/>
      <c r="AO712" s="402"/>
      <c r="AP712" s="41"/>
      <c r="AQ712" s="86"/>
      <c r="AR712" s="86"/>
      <c r="AS712" s="86"/>
    </row>
    <row r="713" spans="2:45" ht="18" customHeight="1" thickBot="1" x14ac:dyDescent="0.2">
      <c r="B713" s="42">
        <v>45</v>
      </c>
      <c r="C713" s="46"/>
      <c r="D713" s="46"/>
      <c r="E713" s="48"/>
      <c r="F713" s="246"/>
      <c r="G713" s="47"/>
      <c r="H713" s="47"/>
      <c r="I713" s="261" t="str">
        <f>IF(AQ711=2,"入力してください→",IF(AQ711=1,"入力不要です→",""))</f>
        <v/>
      </c>
      <c r="J713" s="387"/>
      <c r="K713" s="388"/>
      <c r="L713" s="389"/>
      <c r="M713" s="245"/>
      <c r="N713" s="387"/>
      <c r="O713" s="388"/>
      <c r="P713" s="389"/>
      <c r="Q713" s="245"/>
      <c r="R713" s="387"/>
      <c r="S713" s="388"/>
      <c r="T713" s="389"/>
      <c r="U713" s="245"/>
      <c r="V713" s="249"/>
      <c r="W713" s="46"/>
      <c r="X713" s="402"/>
      <c r="Y713" s="402"/>
      <c r="Z713" s="402"/>
      <c r="AA713" s="402"/>
      <c r="AB713" s="402"/>
      <c r="AC713" s="402"/>
      <c r="AD713" s="402"/>
      <c r="AE713" s="402"/>
      <c r="AF713" s="402"/>
      <c r="AG713" s="402"/>
      <c r="AH713" s="402"/>
      <c r="AI713" s="402"/>
      <c r="AJ713" s="402"/>
      <c r="AK713" s="402"/>
      <c r="AL713" s="402"/>
      <c r="AM713" s="402"/>
      <c r="AN713" s="402"/>
      <c r="AO713" s="402"/>
      <c r="AP713" s="41"/>
      <c r="AQ713" s="86"/>
      <c r="AR713" s="86"/>
      <c r="AS713" s="86"/>
    </row>
    <row r="714" spans="2:45" ht="5.0999999999999996" customHeight="1" thickBot="1" x14ac:dyDescent="0.2">
      <c r="C714" s="46"/>
      <c r="D714" s="46"/>
      <c r="E714" s="48"/>
      <c r="F714" s="246"/>
      <c r="G714" s="47"/>
      <c r="H714" s="47"/>
      <c r="I714" s="255"/>
      <c r="J714" s="246"/>
      <c r="K714" s="246"/>
      <c r="L714" s="246"/>
      <c r="M714" s="245"/>
      <c r="N714" s="246"/>
      <c r="O714" s="246"/>
      <c r="P714" s="246"/>
      <c r="Q714" s="245"/>
      <c r="R714" s="246"/>
      <c r="S714" s="246"/>
      <c r="T714" s="246"/>
      <c r="U714" s="245"/>
      <c r="V714" s="246"/>
      <c r="W714" s="46"/>
      <c r="X714" s="296" t="s">
        <v>212</v>
      </c>
      <c r="Y714" s="296"/>
      <c r="Z714" s="296"/>
      <c r="AA714" s="296"/>
      <c r="AB714" s="296"/>
      <c r="AC714" s="296"/>
      <c r="AD714" s="296"/>
      <c r="AE714" s="296"/>
      <c r="AF714" s="296"/>
      <c r="AG714" s="296"/>
      <c r="AH714" s="296"/>
      <c r="AI714" s="296"/>
      <c r="AJ714" s="296"/>
      <c r="AK714" s="296"/>
      <c r="AL714" s="296"/>
      <c r="AM714" s="296"/>
      <c r="AN714" s="296"/>
      <c r="AO714" s="296"/>
      <c r="AP714" s="41"/>
      <c r="AQ714" s="86"/>
      <c r="AR714" s="86"/>
      <c r="AS714" s="86"/>
    </row>
    <row r="715" spans="2:45" ht="18" customHeight="1" thickBot="1" x14ac:dyDescent="0.2">
      <c r="B715" s="42">
        <v>45</v>
      </c>
      <c r="C715" s="46"/>
      <c r="D715" s="46"/>
      <c r="E715" s="48" t="s">
        <v>74</v>
      </c>
      <c r="F715" s="80"/>
      <c r="G715" s="47"/>
      <c r="H715" s="109"/>
      <c r="I715" s="255"/>
      <c r="J715" s="366" t="str">
        <f>IFERROR(VLOOKUP($F715,補助対象機器一覧20220831!$A$2:$K$200,2,FALSE),"")</f>
        <v/>
      </c>
      <c r="K715" s="367"/>
      <c r="L715" s="368"/>
      <c r="M715" s="245"/>
      <c r="N715" s="366" t="str">
        <f>IFERROR(VLOOKUP($F715,補助対象機器一覧20220831!$A$2:$K$200,7,FALSE),"")</f>
        <v/>
      </c>
      <c r="O715" s="367"/>
      <c r="P715" s="368"/>
      <c r="Q715" s="245"/>
      <c r="R715" s="366" t="str">
        <f>IFERROR(VLOOKUP($F715,補助対象機器一覧20220831!$A$2:$K$200,8,FALSE),"")</f>
        <v/>
      </c>
      <c r="S715" s="367"/>
      <c r="T715" s="368"/>
      <c r="U715" s="245"/>
      <c r="V715" s="244" t="str">
        <f>IFERROR(VLOOKUP($F715,補助対象機器一覧20220831!$A$2:$K$200,9,FALSE),"")</f>
        <v/>
      </c>
      <c r="W715" s="46"/>
      <c r="X715" s="402" t="str">
        <f>IF($B715&lt;=入力シート!$F$85,""&amp;中間シート!X648,"")</f>
        <v/>
      </c>
      <c r="Y715" s="402"/>
      <c r="Z715" s="402"/>
      <c r="AA715" s="402"/>
      <c r="AB715" s="402"/>
      <c r="AC715" s="402"/>
      <c r="AD715" s="402"/>
      <c r="AE715" s="402"/>
      <c r="AF715" s="402"/>
      <c r="AG715" s="402"/>
      <c r="AH715" s="402"/>
      <c r="AI715" s="402"/>
      <c r="AJ715" s="402"/>
      <c r="AK715" s="402"/>
      <c r="AL715" s="402"/>
      <c r="AM715" s="402"/>
      <c r="AN715" s="402"/>
      <c r="AO715" s="402"/>
      <c r="AP715" s="41"/>
      <c r="AQ715" s="81">
        <f>IF(J715&lt;&gt;"",1,IF(H715="なし",2,0))</f>
        <v>0</v>
      </c>
      <c r="AR715" s="86"/>
      <c r="AS715" s="86"/>
    </row>
    <row r="716" spans="2:45" ht="5.0999999999999996" customHeight="1" thickBot="1" x14ac:dyDescent="0.2">
      <c r="C716" s="46"/>
      <c r="D716" s="46"/>
      <c r="E716" s="48"/>
      <c r="F716" s="246"/>
      <c r="G716" s="47"/>
      <c r="H716" s="47"/>
      <c r="I716" s="255"/>
      <c r="J716" s="246"/>
      <c r="K716" s="246"/>
      <c r="L716" s="246"/>
      <c r="M716" s="245"/>
      <c r="N716" s="246"/>
      <c r="O716" s="246"/>
      <c r="P716" s="246"/>
      <c r="Q716" s="245"/>
      <c r="R716" s="246"/>
      <c r="S716" s="246"/>
      <c r="T716" s="246"/>
      <c r="U716" s="245"/>
      <c r="V716" s="246"/>
      <c r="W716" s="46"/>
      <c r="X716" s="402"/>
      <c r="Y716" s="402"/>
      <c r="Z716" s="402"/>
      <c r="AA716" s="402"/>
      <c r="AB716" s="402"/>
      <c r="AC716" s="402"/>
      <c r="AD716" s="402"/>
      <c r="AE716" s="402"/>
      <c r="AF716" s="402"/>
      <c r="AG716" s="402"/>
      <c r="AH716" s="402"/>
      <c r="AI716" s="402"/>
      <c r="AJ716" s="402"/>
      <c r="AK716" s="402"/>
      <c r="AL716" s="402"/>
      <c r="AM716" s="402"/>
      <c r="AN716" s="402"/>
      <c r="AO716" s="402"/>
      <c r="AP716" s="41"/>
      <c r="AQ716" s="86"/>
      <c r="AR716" s="86"/>
      <c r="AS716" s="86"/>
    </row>
    <row r="717" spans="2:45" ht="18" customHeight="1" thickBot="1" x14ac:dyDescent="0.2">
      <c r="B717" s="42">
        <v>45</v>
      </c>
      <c r="C717" s="46"/>
      <c r="D717" s="46"/>
      <c r="E717" s="47"/>
      <c r="F717" s="246"/>
      <c r="G717" s="47"/>
      <c r="H717" s="47"/>
      <c r="I717" s="261" t="str">
        <f>IF(AQ715=2,"入力してください→",IF(AQ715=1,"入力不要です→",""))</f>
        <v/>
      </c>
      <c r="J717" s="387"/>
      <c r="K717" s="388"/>
      <c r="L717" s="389"/>
      <c r="M717" s="245"/>
      <c r="N717" s="387"/>
      <c r="O717" s="388"/>
      <c r="P717" s="389"/>
      <c r="Q717" s="245"/>
      <c r="R717" s="387"/>
      <c r="S717" s="388"/>
      <c r="T717" s="389"/>
      <c r="U717" s="245"/>
      <c r="V717" s="249"/>
      <c r="W717" s="46"/>
      <c r="X717" s="402"/>
      <c r="Y717" s="402"/>
      <c r="Z717" s="402"/>
      <c r="AA717" s="402"/>
      <c r="AB717" s="402"/>
      <c r="AC717" s="402"/>
      <c r="AD717" s="402"/>
      <c r="AE717" s="402"/>
      <c r="AF717" s="402"/>
      <c r="AG717" s="402"/>
      <c r="AH717" s="402"/>
      <c r="AI717" s="402"/>
      <c r="AJ717" s="402"/>
      <c r="AK717" s="402"/>
      <c r="AL717" s="402"/>
      <c r="AM717" s="402"/>
      <c r="AN717" s="402"/>
      <c r="AO717" s="402"/>
      <c r="AP717" s="41"/>
      <c r="AQ717" s="86"/>
      <c r="AR717" s="86"/>
      <c r="AS717" s="86"/>
    </row>
    <row r="718" spans="2:45" x14ac:dyDescent="0.15">
      <c r="C718" s="46"/>
      <c r="D718" s="46"/>
      <c r="E718" s="47"/>
      <c r="F718" s="246"/>
      <c r="G718" s="47"/>
      <c r="H718" s="47"/>
      <c r="I718" s="257"/>
      <c r="J718" s="245"/>
      <c r="K718" s="245"/>
      <c r="L718" s="245"/>
      <c r="M718" s="245"/>
      <c r="N718" s="245"/>
      <c r="O718" s="245"/>
      <c r="P718" s="245"/>
      <c r="Q718" s="245"/>
      <c r="R718" s="245"/>
      <c r="S718" s="245"/>
      <c r="T718" s="245"/>
      <c r="U718" s="245"/>
      <c r="V718" s="245"/>
      <c r="W718" s="46"/>
      <c r="X718" s="296" t="s">
        <v>212</v>
      </c>
      <c r="Y718" s="296"/>
      <c r="Z718" s="296"/>
      <c r="AA718" s="296"/>
      <c r="AB718" s="296"/>
      <c r="AC718" s="296"/>
      <c r="AD718" s="296"/>
      <c r="AE718" s="296"/>
      <c r="AF718" s="296"/>
      <c r="AG718" s="296"/>
      <c r="AH718" s="296"/>
      <c r="AI718" s="296"/>
      <c r="AJ718" s="296"/>
      <c r="AK718" s="296"/>
      <c r="AL718" s="296"/>
      <c r="AM718" s="296"/>
      <c r="AN718" s="296"/>
      <c r="AO718" s="296"/>
      <c r="AQ718" s="86"/>
      <c r="AR718" s="86"/>
      <c r="AS718" s="86"/>
    </row>
    <row r="719" spans="2:45" ht="14.25" thickBot="1" x14ac:dyDescent="0.2">
      <c r="C719" s="86"/>
      <c r="D719" s="86"/>
      <c r="E719" s="93"/>
      <c r="F719" s="247"/>
      <c r="G719" s="93"/>
      <c r="H719" s="93"/>
      <c r="I719" s="258"/>
      <c r="J719" s="248"/>
      <c r="K719" s="248"/>
      <c r="L719" s="248"/>
      <c r="M719" s="248"/>
      <c r="N719" s="248"/>
      <c r="O719" s="248"/>
      <c r="P719" s="248"/>
      <c r="Q719" s="248"/>
      <c r="R719" s="248"/>
      <c r="S719" s="248"/>
      <c r="T719" s="248"/>
      <c r="U719" s="248"/>
      <c r="V719" s="248"/>
      <c r="W719" s="86"/>
      <c r="X719" s="296" t="s">
        <v>212</v>
      </c>
      <c r="Y719" s="296"/>
      <c r="Z719" s="296"/>
      <c r="AA719" s="296"/>
      <c r="AB719" s="296"/>
      <c r="AC719" s="296"/>
      <c r="AD719" s="296"/>
      <c r="AE719" s="296"/>
      <c r="AF719" s="296"/>
      <c r="AG719" s="296"/>
      <c r="AH719" s="296"/>
      <c r="AI719" s="296"/>
      <c r="AJ719" s="296"/>
      <c r="AK719" s="296"/>
      <c r="AL719" s="296"/>
      <c r="AM719" s="296"/>
      <c r="AN719" s="296"/>
      <c r="AO719" s="296"/>
      <c r="AQ719" s="86"/>
      <c r="AR719" s="86"/>
      <c r="AS719" s="86"/>
    </row>
    <row r="720" spans="2:45" ht="18" customHeight="1" thickBot="1" x14ac:dyDescent="0.2">
      <c r="B720" s="42">
        <v>46</v>
      </c>
      <c r="C720" s="86"/>
      <c r="D720" s="94" t="s">
        <v>201</v>
      </c>
      <c r="E720" s="95" t="s">
        <v>72</v>
      </c>
      <c r="F720" s="80"/>
      <c r="G720" s="86"/>
      <c r="H720" s="80"/>
      <c r="I720" s="259"/>
      <c r="J720" s="366" t="str">
        <f>IFERROR(VLOOKUP($F720,補助対象機器一覧20220831!$A$2:$K$200,2,FALSE),"")</f>
        <v/>
      </c>
      <c r="K720" s="367"/>
      <c r="L720" s="368"/>
      <c r="M720" s="248"/>
      <c r="N720" s="366" t="str">
        <f>IFERROR(VLOOKUP($F720,補助対象機器一覧20220831!$A$2:$K$200,7,FALSE),"")</f>
        <v/>
      </c>
      <c r="O720" s="367"/>
      <c r="P720" s="368"/>
      <c r="Q720" s="248"/>
      <c r="R720" s="366" t="str">
        <f>IFERROR(VLOOKUP($F720,補助対象機器一覧20220831!$A$2:$K$200,8,FALSE),"")</f>
        <v/>
      </c>
      <c r="S720" s="367"/>
      <c r="T720" s="368"/>
      <c r="U720" s="248"/>
      <c r="V720" s="244" t="str">
        <f>IFERROR(VLOOKUP($F720,補助対象機器一覧20220831!$A$2:$K$200,9,FALSE),"")</f>
        <v/>
      </c>
      <c r="W720" s="86"/>
      <c r="X720" s="402" t="str">
        <f>IF($B720&lt;=入力シート!$F$85,""&amp;中間シート!X649,"")</f>
        <v/>
      </c>
      <c r="Y720" s="402"/>
      <c r="Z720" s="402"/>
      <c r="AA720" s="402"/>
      <c r="AB720" s="402"/>
      <c r="AC720" s="402"/>
      <c r="AD720" s="402"/>
      <c r="AE720" s="402"/>
      <c r="AF720" s="402"/>
      <c r="AG720" s="402"/>
      <c r="AH720" s="402"/>
      <c r="AI720" s="402"/>
      <c r="AJ720" s="402"/>
      <c r="AK720" s="402"/>
      <c r="AL720" s="402"/>
      <c r="AM720" s="402"/>
      <c r="AN720" s="402"/>
      <c r="AO720" s="402"/>
      <c r="AQ720" s="81">
        <f>IF(J720&lt;&gt;"",1,IF(H720="なし",2,0))</f>
        <v>0</v>
      </c>
      <c r="AR720" s="86"/>
      <c r="AS720" s="86"/>
    </row>
    <row r="721" spans="2:45" ht="5.0999999999999996" customHeight="1" thickBot="1" x14ac:dyDescent="0.2">
      <c r="C721" s="86"/>
      <c r="D721" s="94"/>
      <c r="E721" s="95"/>
      <c r="F721" s="248"/>
      <c r="G721" s="86"/>
      <c r="H721" s="86"/>
      <c r="I721" s="259"/>
      <c r="J721" s="248"/>
      <c r="K721" s="248"/>
      <c r="L721" s="248"/>
      <c r="M721" s="248"/>
      <c r="N721" s="248"/>
      <c r="O721" s="248"/>
      <c r="P721" s="248"/>
      <c r="Q721" s="248"/>
      <c r="R721" s="248"/>
      <c r="S721" s="248"/>
      <c r="T721" s="248"/>
      <c r="U721" s="248"/>
      <c r="V721" s="248"/>
      <c r="W721" s="86"/>
      <c r="X721" s="402"/>
      <c r="Y721" s="402"/>
      <c r="Z721" s="402"/>
      <c r="AA721" s="402"/>
      <c r="AB721" s="402"/>
      <c r="AC721" s="402"/>
      <c r="AD721" s="402"/>
      <c r="AE721" s="402"/>
      <c r="AF721" s="402"/>
      <c r="AG721" s="402"/>
      <c r="AH721" s="402"/>
      <c r="AI721" s="402"/>
      <c r="AJ721" s="402"/>
      <c r="AK721" s="402"/>
      <c r="AL721" s="402"/>
      <c r="AM721" s="402"/>
      <c r="AN721" s="402"/>
      <c r="AO721" s="402"/>
      <c r="AP721" s="41"/>
      <c r="AQ721" s="86"/>
      <c r="AR721" s="86"/>
      <c r="AS721" s="86"/>
    </row>
    <row r="722" spans="2:45" ht="18" customHeight="1" thickBot="1" x14ac:dyDescent="0.2">
      <c r="B722" s="42">
        <v>46</v>
      </c>
      <c r="C722" s="86"/>
      <c r="D722" s="94"/>
      <c r="E722" s="95"/>
      <c r="F722" s="247"/>
      <c r="G722" s="86"/>
      <c r="H722" s="86"/>
      <c r="I722" s="260" t="str">
        <f>IF(AQ720=2,"入力してください→",IF(AQ720=1,"入力不要です→",""))</f>
        <v/>
      </c>
      <c r="J722" s="387"/>
      <c r="K722" s="388"/>
      <c r="L722" s="389"/>
      <c r="M722" s="248"/>
      <c r="N722" s="387"/>
      <c r="O722" s="388"/>
      <c r="P722" s="389"/>
      <c r="Q722" s="248"/>
      <c r="R722" s="387"/>
      <c r="S722" s="388"/>
      <c r="T722" s="389"/>
      <c r="U722" s="248"/>
      <c r="V722" s="249"/>
      <c r="W722" s="86"/>
      <c r="X722" s="402"/>
      <c r="Y722" s="402"/>
      <c r="Z722" s="402"/>
      <c r="AA722" s="402"/>
      <c r="AB722" s="402"/>
      <c r="AC722" s="402"/>
      <c r="AD722" s="402"/>
      <c r="AE722" s="402"/>
      <c r="AF722" s="402"/>
      <c r="AG722" s="402"/>
      <c r="AH722" s="402"/>
      <c r="AI722" s="402"/>
      <c r="AJ722" s="402"/>
      <c r="AK722" s="402"/>
      <c r="AL722" s="402"/>
      <c r="AM722" s="402"/>
      <c r="AN722" s="402"/>
      <c r="AO722" s="402"/>
      <c r="AP722" s="41"/>
      <c r="AQ722" s="86"/>
      <c r="AR722" s="86"/>
      <c r="AS722" s="86"/>
    </row>
    <row r="723" spans="2:45" ht="5.0999999999999996" customHeight="1" thickBot="1" x14ac:dyDescent="0.2">
      <c r="C723" s="86"/>
      <c r="D723" s="86"/>
      <c r="E723" s="93"/>
      <c r="F723" s="248"/>
      <c r="G723" s="93"/>
      <c r="H723" s="93"/>
      <c r="I723" s="259"/>
      <c r="J723" s="248"/>
      <c r="K723" s="248"/>
      <c r="L723" s="248"/>
      <c r="M723" s="248"/>
      <c r="N723" s="248"/>
      <c r="O723" s="248"/>
      <c r="P723" s="248"/>
      <c r="Q723" s="248"/>
      <c r="R723" s="248"/>
      <c r="S723" s="248"/>
      <c r="T723" s="248"/>
      <c r="U723" s="248"/>
      <c r="V723" s="248"/>
      <c r="W723" s="86"/>
      <c r="X723" s="296" t="s">
        <v>212</v>
      </c>
      <c r="Y723" s="296"/>
      <c r="Z723" s="296"/>
      <c r="AA723" s="296"/>
      <c r="AB723" s="296"/>
      <c r="AC723" s="296"/>
      <c r="AD723" s="296"/>
      <c r="AE723" s="296"/>
      <c r="AF723" s="296"/>
      <c r="AG723" s="296"/>
      <c r="AH723" s="296"/>
      <c r="AI723" s="296"/>
      <c r="AJ723" s="296"/>
      <c r="AK723" s="296"/>
      <c r="AL723" s="296"/>
      <c r="AM723" s="296"/>
      <c r="AN723" s="296"/>
      <c r="AO723" s="296"/>
      <c r="AP723" s="41"/>
      <c r="AQ723" s="86"/>
      <c r="AR723" s="86"/>
      <c r="AS723" s="86"/>
    </row>
    <row r="724" spans="2:45" ht="18" customHeight="1" thickBot="1" x14ac:dyDescent="0.2">
      <c r="B724" s="42">
        <v>46</v>
      </c>
      <c r="C724" s="86"/>
      <c r="D724" s="86"/>
      <c r="E724" s="95" t="s">
        <v>73</v>
      </c>
      <c r="F724" s="80"/>
      <c r="G724" s="93"/>
      <c r="H724" s="80"/>
      <c r="I724" s="259"/>
      <c r="J724" s="366" t="str">
        <f>IFERROR(VLOOKUP($F724,補助対象機器一覧20220831!$A$2:$K$200,2,FALSE),"")</f>
        <v/>
      </c>
      <c r="K724" s="367"/>
      <c r="L724" s="368"/>
      <c r="M724" s="248"/>
      <c r="N724" s="366" t="str">
        <f>IFERROR(VLOOKUP($F724,補助対象機器一覧20220831!$A$2:$K$200,7,FALSE),"")</f>
        <v/>
      </c>
      <c r="O724" s="367"/>
      <c r="P724" s="368"/>
      <c r="Q724" s="248"/>
      <c r="R724" s="366" t="str">
        <f>IFERROR(VLOOKUP($F724,補助対象機器一覧20220831!$A$2:$K$200,8,FALSE),"")</f>
        <v/>
      </c>
      <c r="S724" s="367"/>
      <c r="T724" s="368"/>
      <c r="U724" s="248"/>
      <c r="V724" s="244" t="str">
        <f>IFERROR(VLOOKUP($F724,補助対象機器一覧20220831!$A$2:$K$200,9,FALSE),"")</f>
        <v/>
      </c>
      <c r="W724" s="86"/>
      <c r="X724" s="402" t="str">
        <f>IF($B724&lt;=入力シート!$F$85,""&amp;中間シート!X650,"")</f>
        <v/>
      </c>
      <c r="Y724" s="402"/>
      <c r="Z724" s="402"/>
      <c r="AA724" s="402"/>
      <c r="AB724" s="402"/>
      <c r="AC724" s="402"/>
      <c r="AD724" s="402"/>
      <c r="AE724" s="402"/>
      <c r="AF724" s="402"/>
      <c r="AG724" s="402"/>
      <c r="AH724" s="402"/>
      <c r="AI724" s="402"/>
      <c r="AJ724" s="402"/>
      <c r="AK724" s="402"/>
      <c r="AL724" s="402"/>
      <c r="AM724" s="402"/>
      <c r="AN724" s="402"/>
      <c r="AO724" s="402"/>
      <c r="AP724" s="41"/>
      <c r="AQ724" s="81">
        <f>IF(J724&lt;&gt;"",1,IF(H724="なし",2,0))</f>
        <v>0</v>
      </c>
      <c r="AR724" s="86"/>
      <c r="AS724" s="86"/>
    </row>
    <row r="725" spans="2:45" ht="5.0999999999999996" customHeight="1" thickBot="1" x14ac:dyDescent="0.2">
      <c r="C725" s="86"/>
      <c r="D725" s="86"/>
      <c r="E725" s="95"/>
      <c r="F725" s="247"/>
      <c r="G725" s="93"/>
      <c r="H725" s="93"/>
      <c r="I725" s="259"/>
      <c r="J725" s="247"/>
      <c r="K725" s="247"/>
      <c r="L725" s="247"/>
      <c r="M725" s="248"/>
      <c r="N725" s="247"/>
      <c r="O725" s="247"/>
      <c r="P725" s="247"/>
      <c r="Q725" s="248"/>
      <c r="R725" s="247"/>
      <c r="S725" s="247"/>
      <c r="T725" s="247"/>
      <c r="U725" s="248"/>
      <c r="V725" s="247"/>
      <c r="W725" s="86"/>
      <c r="X725" s="402"/>
      <c r="Y725" s="402"/>
      <c r="Z725" s="402"/>
      <c r="AA725" s="402"/>
      <c r="AB725" s="402"/>
      <c r="AC725" s="402"/>
      <c r="AD725" s="402"/>
      <c r="AE725" s="402"/>
      <c r="AF725" s="402"/>
      <c r="AG725" s="402"/>
      <c r="AH725" s="402"/>
      <c r="AI725" s="402"/>
      <c r="AJ725" s="402"/>
      <c r="AK725" s="402"/>
      <c r="AL725" s="402"/>
      <c r="AM725" s="402"/>
      <c r="AN725" s="402"/>
      <c r="AO725" s="402"/>
      <c r="AP725" s="41"/>
      <c r="AQ725" s="86"/>
      <c r="AR725" s="86"/>
      <c r="AS725" s="86"/>
    </row>
    <row r="726" spans="2:45" ht="18" customHeight="1" thickBot="1" x14ac:dyDescent="0.2">
      <c r="B726" s="42">
        <v>46</v>
      </c>
      <c r="C726" s="86"/>
      <c r="D726" s="86"/>
      <c r="E726" s="95"/>
      <c r="F726" s="247"/>
      <c r="G726" s="93"/>
      <c r="H726" s="93"/>
      <c r="I726" s="260" t="str">
        <f>IF(AQ724=2,"入力してください→",IF(AQ724=1,"入力不要です→",""))</f>
        <v/>
      </c>
      <c r="J726" s="387"/>
      <c r="K726" s="388"/>
      <c r="L726" s="389"/>
      <c r="M726" s="248"/>
      <c r="N726" s="387"/>
      <c r="O726" s="388"/>
      <c r="P726" s="389"/>
      <c r="Q726" s="248"/>
      <c r="R726" s="387"/>
      <c r="S726" s="388"/>
      <c r="T726" s="389"/>
      <c r="U726" s="248"/>
      <c r="V726" s="249"/>
      <c r="W726" s="86"/>
      <c r="X726" s="402"/>
      <c r="Y726" s="402"/>
      <c r="Z726" s="402"/>
      <c r="AA726" s="402"/>
      <c r="AB726" s="402"/>
      <c r="AC726" s="402"/>
      <c r="AD726" s="402"/>
      <c r="AE726" s="402"/>
      <c r="AF726" s="402"/>
      <c r="AG726" s="402"/>
      <c r="AH726" s="402"/>
      <c r="AI726" s="402"/>
      <c r="AJ726" s="402"/>
      <c r="AK726" s="402"/>
      <c r="AL726" s="402"/>
      <c r="AM726" s="402"/>
      <c r="AN726" s="402"/>
      <c r="AO726" s="402"/>
      <c r="AP726" s="41"/>
      <c r="AQ726" s="86"/>
      <c r="AR726" s="86"/>
      <c r="AS726" s="86"/>
    </row>
    <row r="727" spans="2:45" ht="5.0999999999999996" customHeight="1" thickBot="1" x14ac:dyDescent="0.2">
      <c r="C727" s="86"/>
      <c r="D727" s="86"/>
      <c r="E727" s="95"/>
      <c r="F727" s="247"/>
      <c r="G727" s="93"/>
      <c r="H727" s="93"/>
      <c r="I727" s="259"/>
      <c r="J727" s="247"/>
      <c r="K727" s="247"/>
      <c r="L727" s="247"/>
      <c r="M727" s="248"/>
      <c r="N727" s="247"/>
      <c r="O727" s="247"/>
      <c r="P727" s="247"/>
      <c r="Q727" s="248"/>
      <c r="R727" s="247"/>
      <c r="S727" s="247"/>
      <c r="T727" s="247"/>
      <c r="U727" s="248"/>
      <c r="V727" s="247"/>
      <c r="W727" s="86"/>
      <c r="X727" s="296" t="s">
        <v>212</v>
      </c>
      <c r="Y727" s="296"/>
      <c r="Z727" s="296"/>
      <c r="AA727" s="296"/>
      <c r="AB727" s="296"/>
      <c r="AC727" s="296"/>
      <c r="AD727" s="296"/>
      <c r="AE727" s="296"/>
      <c r="AF727" s="296"/>
      <c r="AG727" s="296"/>
      <c r="AH727" s="296"/>
      <c r="AI727" s="296"/>
      <c r="AJ727" s="296"/>
      <c r="AK727" s="296"/>
      <c r="AL727" s="296"/>
      <c r="AM727" s="296"/>
      <c r="AN727" s="296"/>
      <c r="AO727" s="296"/>
      <c r="AP727" s="41"/>
      <c r="AQ727" s="86"/>
      <c r="AR727" s="86"/>
      <c r="AS727" s="86"/>
    </row>
    <row r="728" spans="2:45" ht="18" customHeight="1" thickBot="1" x14ac:dyDescent="0.2">
      <c r="B728" s="42">
        <v>46</v>
      </c>
      <c r="C728" s="86"/>
      <c r="D728" s="86"/>
      <c r="E728" s="95" t="s">
        <v>74</v>
      </c>
      <c r="F728" s="80"/>
      <c r="G728" s="93"/>
      <c r="H728" s="80"/>
      <c r="I728" s="259"/>
      <c r="J728" s="366" t="str">
        <f>IFERROR(VLOOKUP($F728,補助対象機器一覧20220831!$A$2:$K$200,2,FALSE),"")</f>
        <v/>
      </c>
      <c r="K728" s="367"/>
      <c r="L728" s="368"/>
      <c r="M728" s="248"/>
      <c r="N728" s="366" t="str">
        <f>IFERROR(VLOOKUP($F728,補助対象機器一覧20220831!$A$2:$K$200,7,FALSE),"")</f>
        <v/>
      </c>
      <c r="O728" s="367"/>
      <c r="P728" s="368"/>
      <c r="Q728" s="248"/>
      <c r="R728" s="366" t="str">
        <f>IFERROR(VLOOKUP($F728,補助対象機器一覧20220831!$A$2:$K$200,8,FALSE),"")</f>
        <v/>
      </c>
      <c r="S728" s="367"/>
      <c r="T728" s="368"/>
      <c r="U728" s="248"/>
      <c r="V728" s="244" t="str">
        <f>IFERROR(VLOOKUP($F728,補助対象機器一覧20220831!$A$2:$K$200,9,FALSE),"")</f>
        <v/>
      </c>
      <c r="W728" s="86"/>
      <c r="X728" s="402" t="str">
        <f>IF($B728&lt;=入力シート!$F$85,""&amp;中間シート!X651,"")</f>
        <v/>
      </c>
      <c r="Y728" s="402"/>
      <c r="Z728" s="402"/>
      <c r="AA728" s="402"/>
      <c r="AB728" s="402"/>
      <c r="AC728" s="402"/>
      <c r="AD728" s="402"/>
      <c r="AE728" s="402"/>
      <c r="AF728" s="402"/>
      <c r="AG728" s="402"/>
      <c r="AH728" s="402"/>
      <c r="AI728" s="402"/>
      <c r="AJ728" s="402"/>
      <c r="AK728" s="402"/>
      <c r="AL728" s="402"/>
      <c r="AM728" s="402"/>
      <c r="AN728" s="402"/>
      <c r="AO728" s="402"/>
      <c r="AP728" s="41"/>
      <c r="AQ728" s="81">
        <f>IF(J728&lt;&gt;"",1,IF(H728="なし",2,0))</f>
        <v>0</v>
      </c>
      <c r="AR728" s="86"/>
      <c r="AS728" s="86"/>
    </row>
    <row r="729" spans="2:45" ht="5.0999999999999996" customHeight="1" thickBot="1" x14ac:dyDescent="0.2">
      <c r="C729" s="86"/>
      <c r="D729" s="86"/>
      <c r="E729" s="95"/>
      <c r="F729" s="247"/>
      <c r="G729" s="93"/>
      <c r="H729" s="93"/>
      <c r="I729" s="259"/>
      <c r="J729" s="247"/>
      <c r="K729" s="247"/>
      <c r="L729" s="247"/>
      <c r="M729" s="248"/>
      <c r="N729" s="247"/>
      <c r="O729" s="247"/>
      <c r="P729" s="247"/>
      <c r="Q729" s="248"/>
      <c r="R729" s="247"/>
      <c r="S729" s="247"/>
      <c r="T729" s="247"/>
      <c r="U729" s="248"/>
      <c r="V729" s="247"/>
      <c r="W729" s="86"/>
      <c r="X729" s="402"/>
      <c r="Y729" s="402"/>
      <c r="Z729" s="402"/>
      <c r="AA729" s="402"/>
      <c r="AB729" s="402"/>
      <c r="AC729" s="402"/>
      <c r="AD729" s="402"/>
      <c r="AE729" s="402"/>
      <c r="AF729" s="402"/>
      <c r="AG729" s="402"/>
      <c r="AH729" s="402"/>
      <c r="AI729" s="402"/>
      <c r="AJ729" s="402"/>
      <c r="AK729" s="402"/>
      <c r="AL729" s="402"/>
      <c r="AM729" s="402"/>
      <c r="AN729" s="402"/>
      <c r="AO729" s="402"/>
      <c r="AP729" s="41"/>
      <c r="AQ729" s="86"/>
      <c r="AR729" s="86"/>
      <c r="AS729" s="86"/>
    </row>
    <row r="730" spans="2:45" ht="18" customHeight="1" thickBot="1" x14ac:dyDescent="0.2">
      <c r="B730" s="42">
        <v>46</v>
      </c>
      <c r="C730" s="86"/>
      <c r="D730" s="86"/>
      <c r="E730" s="93"/>
      <c r="F730" s="247"/>
      <c r="G730" s="93"/>
      <c r="H730" s="93"/>
      <c r="I730" s="260" t="str">
        <f>IF(AQ728=2,"入力してください→",IF(AQ728=1,"入力不要です→",""))</f>
        <v/>
      </c>
      <c r="J730" s="387"/>
      <c r="K730" s="388"/>
      <c r="L730" s="389"/>
      <c r="M730" s="248"/>
      <c r="N730" s="387"/>
      <c r="O730" s="388"/>
      <c r="P730" s="389"/>
      <c r="Q730" s="248"/>
      <c r="R730" s="387"/>
      <c r="S730" s="388"/>
      <c r="T730" s="389"/>
      <c r="U730" s="248"/>
      <c r="V730" s="249"/>
      <c r="W730" s="86"/>
      <c r="X730" s="402"/>
      <c r="Y730" s="402"/>
      <c r="Z730" s="402"/>
      <c r="AA730" s="402"/>
      <c r="AB730" s="402"/>
      <c r="AC730" s="402"/>
      <c r="AD730" s="402"/>
      <c r="AE730" s="402"/>
      <c r="AF730" s="402"/>
      <c r="AG730" s="402"/>
      <c r="AH730" s="402"/>
      <c r="AI730" s="402"/>
      <c r="AJ730" s="402"/>
      <c r="AK730" s="402"/>
      <c r="AL730" s="402"/>
      <c r="AM730" s="402"/>
      <c r="AN730" s="402"/>
      <c r="AO730" s="402"/>
      <c r="AP730" s="41"/>
      <c r="AQ730" s="86"/>
      <c r="AR730" s="86"/>
      <c r="AS730" s="86"/>
    </row>
    <row r="731" spans="2:45" x14ac:dyDescent="0.15">
      <c r="C731" s="86"/>
      <c r="D731" s="86"/>
      <c r="E731" s="93"/>
      <c r="F731" s="247"/>
      <c r="G731" s="93"/>
      <c r="H731" s="93"/>
      <c r="I731" s="258"/>
      <c r="J731" s="248"/>
      <c r="K731" s="248"/>
      <c r="L731" s="248"/>
      <c r="M731" s="248"/>
      <c r="N731" s="248"/>
      <c r="O731" s="248"/>
      <c r="P731" s="248"/>
      <c r="Q731" s="248"/>
      <c r="R731" s="248"/>
      <c r="S731" s="248"/>
      <c r="T731" s="248"/>
      <c r="U731" s="248"/>
      <c r="V731" s="248"/>
      <c r="W731" s="86"/>
      <c r="X731" s="296" t="s">
        <v>212</v>
      </c>
      <c r="Y731" s="296"/>
      <c r="Z731" s="296"/>
      <c r="AA731" s="296"/>
      <c r="AB731" s="296"/>
      <c r="AC731" s="296"/>
      <c r="AD731" s="296"/>
      <c r="AE731" s="296"/>
      <c r="AF731" s="296"/>
      <c r="AG731" s="296"/>
      <c r="AH731" s="296"/>
      <c r="AI731" s="296"/>
      <c r="AJ731" s="296"/>
      <c r="AK731" s="296"/>
      <c r="AL731" s="296"/>
      <c r="AM731" s="296"/>
      <c r="AN731" s="296"/>
      <c r="AO731" s="296"/>
      <c r="AQ731" s="86"/>
      <c r="AR731" s="86"/>
      <c r="AS731" s="86"/>
    </row>
    <row r="732" spans="2:45" ht="14.25" thickBot="1" x14ac:dyDescent="0.2">
      <c r="C732" s="46"/>
      <c r="D732" s="46"/>
      <c r="E732" s="47"/>
      <c r="F732" s="246"/>
      <c r="G732" s="47"/>
      <c r="H732" s="47"/>
      <c r="I732" s="257"/>
      <c r="J732" s="245"/>
      <c r="K732" s="245"/>
      <c r="L732" s="245"/>
      <c r="M732" s="245"/>
      <c r="N732" s="245"/>
      <c r="O732" s="245"/>
      <c r="P732" s="245"/>
      <c r="Q732" s="245"/>
      <c r="R732" s="245"/>
      <c r="S732" s="245"/>
      <c r="T732" s="245"/>
      <c r="U732" s="245"/>
      <c r="V732" s="245"/>
      <c r="W732" s="46"/>
      <c r="X732" s="296" t="s">
        <v>212</v>
      </c>
      <c r="Y732" s="296"/>
      <c r="Z732" s="296"/>
      <c r="AA732" s="296"/>
      <c r="AB732" s="296"/>
      <c r="AC732" s="296"/>
      <c r="AD732" s="296"/>
      <c r="AE732" s="296"/>
      <c r="AF732" s="296"/>
      <c r="AG732" s="296"/>
      <c r="AH732" s="296"/>
      <c r="AI732" s="296"/>
      <c r="AJ732" s="296"/>
      <c r="AK732" s="296"/>
      <c r="AL732" s="296"/>
      <c r="AM732" s="296"/>
      <c r="AN732" s="296"/>
      <c r="AO732" s="296"/>
      <c r="AQ732" s="86"/>
      <c r="AR732" s="86"/>
      <c r="AS732" s="86"/>
    </row>
    <row r="733" spans="2:45" ht="18" customHeight="1" thickBot="1" x14ac:dyDescent="0.2">
      <c r="B733" s="42">
        <v>47</v>
      </c>
      <c r="C733" s="46"/>
      <c r="D733" s="82" t="s">
        <v>202</v>
      </c>
      <c r="E733" s="48" t="s">
        <v>72</v>
      </c>
      <c r="F733" s="80"/>
      <c r="G733" s="47"/>
      <c r="H733" s="80"/>
      <c r="I733" s="255"/>
      <c r="J733" s="366" t="str">
        <f>IFERROR(VLOOKUP($F733,補助対象機器一覧20220831!$A$2:$K$200,2,FALSE),"")</f>
        <v/>
      </c>
      <c r="K733" s="367"/>
      <c r="L733" s="368"/>
      <c r="M733" s="245"/>
      <c r="N733" s="366" t="str">
        <f>IFERROR(VLOOKUP($F733,補助対象機器一覧20220831!$A$2:$K$200,7,FALSE),"")</f>
        <v/>
      </c>
      <c r="O733" s="367"/>
      <c r="P733" s="368"/>
      <c r="Q733" s="245"/>
      <c r="R733" s="366" t="str">
        <f>IFERROR(VLOOKUP($F733,補助対象機器一覧20220831!$A$2:$K$200,8,FALSE),"")</f>
        <v/>
      </c>
      <c r="S733" s="367"/>
      <c r="T733" s="368"/>
      <c r="U733" s="245"/>
      <c r="V733" s="244" t="str">
        <f>IFERROR(VLOOKUP($F733,補助対象機器一覧20220831!$A$2:$K$200,9,FALSE),"")</f>
        <v/>
      </c>
      <c r="W733" s="46"/>
      <c r="X733" s="402" t="str">
        <f>IF($B733&lt;=入力シート!$F$85,""&amp;中間シート!X652,"")</f>
        <v/>
      </c>
      <c r="Y733" s="402"/>
      <c r="Z733" s="402"/>
      <c r="AA733" s="402"/>
      <c r="AB733" s="402"/>
      <c r="AC733" s="402"/>
      <c r="AD733" s="402"/>
      <c r="AE733" s="402"/>
      <c r="AF733" s="402"/>
      <c r="AG733" s="402"/>
      <c r="AH733" s="402"/>
      <c r="AI733" s="402"/>
      <c r="AJ733" s="402"/>
      <c r="AK733" s="402"/>
      <c r="AL733" s="402"/>
      <c r="AM733" s="402"/>
      <c r="AN733" s="402"/>
      <c r="AO733" s="402"/>
      <c r="AQ733" s="81">
        <f>IF(J733&lt;&gt;"",1,IF(H733="なし",2,0))</f>
        <v>0</v>
      </c>
      <c r="AR733" s="86"/>
      <c r="AS733" s="86"/>
    </row>
    <row r="734" spans="2:45" ht="5.0999999999999996" customHeight="1" thickBot="1" x14ac:dyDescent="0.2">
      <c r="C734" s="46"/>
      <c r="D734" s="82"/>
      <c r="E734" s="48"/>
      <c r="F734" s="48"/>
      <c r="G734" s="47"/>
      <c r="H734" s="48"/>
      <c r="I734" s="255"/>
      <c r="J734" s="245"/>
      <c r="K734" s="245"/>
      <c r="L734" s="245"/>
      <c r="M734" s="245"/>
      <c r="N734" s="245"/>
      <c r="O734" s="245"/>
      <c r="P734" s="245"/>
      <c r="Q734" s="245"/>
      <c r="R734" s="245"/>
      <c r="S734" s="245"/>
      <c r="T734" s="245"/>
      <c r="U734" s="245"/>
      <c r="V734" s="245"/>
      <c r="W734" s="46"/>
      <c r="X734" s="402"/>
      <c r="Y734" s="402"/>
      <c r="Z734" s="402"/>
      <c r="AA734" s="402"/>
      <c r="AB734" s="402"/>
      <c r="AC734" s="402"/>
      <c r="AD734" s="402"/>
      <c r="AE734" s="402"/>
      <c r="AF734" s="402"/>
      <c r="AG734" s="402"/>
      <c r="AH734" s="402"/>
      <c r="AI734" s="402"/>
      <c r="AJ734" s="402"/>
      <c r="AK734" s="402"/>
      <c r="AL734" s="402"/>
      <c r="AM734" s="402"/>
      <c r="AN734" s="402"/>
      <c r="AO734" s="402"/>
      <c r="AP734" s="41"/>
      <c r="AQ734" s="86"/>
      <c r="AR734" s="86"/>
      <c r="AS734" s="86"/>
    </row>
    <row r="735" spans="2:45" ht="18" customHeight="1" thickBot="1" x14ac:dyDescent="0.2">
      <c r="B735" s="42">
        <v>47</v>
      </c>
      <c r="C735" s="46"/>
      <c r="D735" s="82"/>
      <c r="E735" s="48"/>
      <c r="F735" s="48"/>
      <c r="G735" s="47"/>
      <c r="H735" s="48"/>
      <c r="I735" s="261" t="str">
        <f>IF(AQ733=2,"入力してください→",IF(AQ733=1,"入力不要です→",""))</f>
        <v/>
      </c>
      <c r="J735" s="387"/>
      <c r="K735" s="388"/>
      <c r="L735" s="389"/>
      <c r="M735" s="245"/>
      <c r="N735" s="387"/>
      <c r="O735" s="388"/>
      <c r="P735" s="389"/>
      <c r="Q735" s="245"/>
      <c r="R735" s="387"/>
      <c r="S735" s="388"/>
      <c r="T735" s="389"/>
      <c r="U735" s="245"/>
      <c r="V735" s="249"/>
      <c r="W735" s="46"/>
      <c r="X735" s="402"/>
      <c r="Y735" s="402"/>
      <c r="Z735" s="402"/>
      <c r="AA735" s="402"/>
      <c r="AB735" s="402"/>
      <c r="AC735" s="402"/>
      <c r="AD735" s="402"/>
      <c r="AE735" s="402"/>
      <c r="AF735" s="402"/>
      <c r="AG735" s="402"/>
      <c r="AH735" s="402"/>
      <c r="AI735" s="402"/>
      <c r="AJ735" s="402"/>
      <c r="AK735" s="402"/>
      <c r="AL735" s="402"/>
      <c r="AM735" s="402"/>
      <c r="AN735" s="402"/>
      <c r="AO735" s="402"/>
      <c r="AP735" s="41"/>
      <c r="AQ735" s="86"/>
      <c r="AR735" s="86"/>
      <c r="AS735" s="86"/>
    </row>
    <row r="736" spans="2:45" ht="5.0999999999999996" customHeight="1" thickBot="1" x14ac:dyDescent="0.2">
      <c r="C736" s="46"/>
      <c r="D736" s="46"/>
      <c r="E736" s="47"/>
      <c r="F736" s="47"/>
      <c r="G736" s="47"/>
      <c r="H736" s="47"/>
      <c r="I736" s="255"/>
      <c r="J736" s="245"/>
      <c r="K736" s="245"/>
      <c r="L736" s="245"/>
      <c r="M736" s="245"/>
      <c r="N736" s="245"/>
      <c r="O736" s="245"/>
      <c r="P736" s="245"/>
      <c r="Q736" s="245"/>
      <c r="R736" s="245"/>
      <c r="S736" s="245"/>
      <c r="T736" s="245"/>
      <c r="U736" s="245"/>
      <c r="V736" s="245"/>
      <c r="W736" s="46"/>
      <c r="X736" s="296" t="s">
        <v>212</v>
      </c>
      <c r="Y736" s="296"/>
      <c r="Z736" s="296"/>
      <c r="AA736" s="296"/>
      <c r="AB736" s="296"/>
      <c r="AC736" s="296"/>
      <c r="AD736" s="296"/>
      <c r="AE736" s="296"/>
      <c r="AF736" s="296"/>
      <c r="AG736" s="296"/>
      <c r="AH736" s="296"/>
      <c r="AI736" s="296"/>
      <c r="AJ736" s="296"/>
      <c r="AK736" s="296"/>
      <c r="AL736" s="296"/>
      <c r="AM736" s="296"/>
      <c r="AN736" s="296"/>
      <c r="AO736" s="296"/>
      <c r="AP736" s="41"/>
      <c r="AQ736" s="86"/>
      <c r="AR736" s="86"/>
      <c r="AS736" s="86"/>
    </row>
    <row r="737" spans="2:45" ht="18" customHeight="1" thickBot="1" x14ac:dyDescent="0.2">
      <c r="B737" s="42">
        <v>47</v>
      </c>
      <c r="C737" s="46"/>
      <c r="D737" s="46"/>
      <c r="E737" s="48" t="s">
        <v>73</v>
      </c>
      <c r="F737" s="80"/>
      <c r="G737" s="47"/>
      <c r="H737" s="80"/>
      <c r="I737" s="255"/>
      <c r="J737" s="366" t="str">
        <f>IFERROR(VLOOKUP($F737,補助対象機器一覧20220831!$A$2:$K$200,2,FALSE),"")</f>
        <v/>
      </c>
      <c r="K737" s="367"/>
      <c r="L737" s="368"/>
      <c r="M737" s="245"/>
      <c r="N737" s="366" t="str">
        <f>IFERROR(VLOOKUP($F737,補助対象機器一覧20220831!$A$2:$K$200,7,FALSE),"")</f>
        <v/>
      </c>
      <c r="O737" s="367"/>
      <c r="P737" s="368"/>
      <c r="Q737" s="245"/>
      <c r="R737" s="366" t="str">
        <f>IFERROR(VLOOKUP($F737,補助対象機器一覧20220831!$A$2:$K$200,8,FALSE),"")</f>
        <v/>
      </c>
      <c r="S737" s="367"/>
      <c r="T737" s="368"/>
      <c r="U737" s="245"/>
      <c r="V737" s="244" t="str">
        <f>IFERROR(VLOOKUP($F737,補助対象機器一覧20220831!$A$2:$K$200,9,FALSE),"")</f>
        <v/>
      </c>
      <c r="W737" s="46"/>
      <c r="X737" s="402" t="str">
        <f>IF($B737&lt;=入力シート!$F$85,""&amp;中間シート!X653,"")</f>
        <v/>
      </c>
      <c r="Y737" s="402"/>
      <c r="Z737" s="402"/>
      <c r="AA737" s="402"/>
      <c r="AB737" s="402"/>
      <c r="AC737" s="402"/>
      <c r="AD737" s="402"/>
      <c r="AE737" s="402"/>
      <c r="AF737" s="402"/>
      <c r="AG737" s="402"/>
      <c r="AH737" s="402"/>
      <c r="AI737" s="402"/>
      <c r="AJ737" s="402"/>
      <c r="AK737" s="402"/>
      <c r="AL737" s="402"/>
      <c r="AM737" s="402"/>
      <c r="AN737" s="402"/>
      <c r="AO737" s="402"/>
      <c r="AP737" s="41"/>
      <c r="AQ737" s="81">
        <f>IF(J737&lt;&gt;"",1,IF(H737="なし",2,0))</f>
        <v>0</v>
      </c>
      <c r="AR737" s="86"/>
      <c r="AS737" s="86"/>
    </row>
    <row r="738" spans="2:45" ht="5.0999999999999996" customHeight="1" thickBot="1" x14ac:dyDescent="0.2">
      <c r="C738" s="46"/>
      <c r="D738" s="46"/>
      <c r="E738" s="48"/>
      <c r="F738" s="48"/>
      <c r="G738" s="47"/>
      <c r="H738" s="48"/>
      <c r="I738" s="255"/>
      <c r="J738" s="246"/>
      <c r="K738" s="246"/>
      <c r="L738" s="246"/>
      <c r="M738" s="245"/>
      <c r="N738" s="246"/>
      <c r="O738" s="246"/>
      <c r="P738" s="246"/>
      <c r="Q738" s="245"/>
      <c r="R738" s="246"/>
      <c r="S738" s="246"/>
      <c r="T738" s="246"/>
      <c r="U738" s="245"/>
      <c r="V738" s="246"/>
      <c r="W738" s="46"/>
      <c r="X738" s="402"/>
      <c r="Y738" s="402"/>
      <c r="Z738" s="402"/>
      <c r="AA738" s="402"/>
      <c r="AB738" s="402"/>
      <c r="AC738" s="402"/>
      <c r="AD738" s="402"/>
      <c r="AE738" s="402"/>
      <c r="AF738" s="402"/>
      <c r="AG738" s="402"/>
      <c r="AH738" s="402"/>
      <c r="AI738" s="402"/>
      <c r="AJ738" s="402"/>
      <c r="AK738" s="402"/>
      <c r="AL738" s="402"/>
      <c r="AM738" s="402"/>
      <c r="AN738" s="402"/>
      <c r="AO738" s="402"/>
      <c r="AP738" s="41"/>
      <c r="AQ738" s="86"/>
      <c r="AR738" s="86"/>
      <c r="AS738" s="86"/>
    </row>
    <row r="739" spans="2:45" ht="18" customHeight="1" thickBot="1" x14ac:dyDescent="0.2">
      <c r="B739" s="42">
        <v>47</v>
      </c>
      <c r="C739" s="46"/>
      <c r="D739" s="46"/>
      <c r="E739" s="48"/>
      <c r="F739" s="48"/>
      <c r="G739" s="47"/>
      <c r="H739" s="48"/>
      <c r="I739" s="261" t="str">
        <f>IF(AQ737=2,"入力してください→",IF(AQ737=1,"入力不要です→",""))</f>
        <v/>
      </c>
      <c r="J739" s="387"/>
      <c r="K739" s="388"/>
      <c r="L739" s="389"/>
      <c r="M739" s="245"/>
      <c r="N739" s="387"/>
      <c r="O739" s="388"/>
      <c r="P739" s="389"/>
      <c r="Q739" s="245"/>
      <c r="R739" s="387"/>
      <c r="S739" s="388"/>
      <c r="T739" s="389"/>
      <c r="U739" s="245"/>
      <c r="V739" s="249"/>
      <c r="W739" s="46"/>
      <c r="X739" s="402"/>
      <c r="Y739" s="402"/>
      <c r="Z739" s="402"/>
      <c r="AA739" s="402"/>
      <c r="AB739" s="402"/>
      <c r="AC739" s="402"/>
      <c r="AD739" s="402"/>
      <c r="AE739" s="402"/>
      <c r="AF739" s="402"/>
      <c r="AG739" s="402"/>
      <c r="AH739" s="402"/>
      <c r="AI739" s="402"/>
      <c r="AJ739" s="402"/>
      <c r="AK739" s="402"/>
      <c r="AL739" s="402"/>
      <c r="AM739" s="402"/>
      <c r="AN739" s="402"/>
      <c r="AO739" s="402"/>
      <c r="AP739" s="41"/>
      <c r="AQ739" s="86"/>
      <c r="AR739" s="86"/>
      <c r="AS739" s="86"/>
    </row>
    <row r="740" spans="2:45" ht="5.0999999999999996" customHeight="1" thickBot="1" x14ac:dyDescent="0.2">
      <c r="C740" s="46"/>
      <c r="D740" s="46"/>
      <c r="E740" s="48"/>
      <c r="F740" s="48"/>
      <c r="G740" s="47"/>
      <c r="H740" s="48"/>
      <c r="I740" s="255"/>
      <c r="J740" s="246"/>
      <c r="K740" s="246"/>
      <c r="L740" s="246"/>
      <c r="M740" s="245"/>
      <c r="N740" s="246"/>
      <c r="O740" s="246"/>
      <c r="P740" s="246"/>
      <c r="Q740" s="245"/>
      <c r="R740" s="246"/>
      <c r="S740" s="246"/>
      <c r="T740" s="246"/>
      <c r="U740" s="245"/>
      <c r="V740" s="246"/>
      <c r="W740" s="46"/>
      <c r="X740" s="296" t="s">
        <v>212</v>
      </c>
      <c r="Y740" s="296"/>
      <c r="Z740" s="296"/>
      <c r="AA740" s="296"/>
      <c r="AB740" s="296"/>
      <c r="AC740" s="296"/>
      <c r="AD740" s="296"/>
      <c r="AE740" s="296"/>
      <c r="AF740" s="296"/>
      <c r="AG740" s="296"/>
      <c r="AH740" s="296"/>
      <c r="AI740" s="296"/>
      <c r="AJ740" s="296"/>
      <c r="AK740" s="296"/>
      <c r="AL740" s="296"/>
      <c r="AM740" s="296"/>
      <c r="AN740" s="296"/>
      <c r="AO740" s="296"/>
      <c r="AP740" s="41"/>
      <c r="AQ740" s="86"/>
      <c r="AR740" s="86"/>
      <c r="AS740" s="86"/>
    </row>
    <row r="741" spans="2:45" ht="18" customHeight="1" thickBot="1" x14ac:dyDescent="0.2">
      <c r="B741" s="42">
        <v>47</v>
      </c>
      <c r="C741" s="46"/>
      <c r="D741" s="46"/>
      <c r="E741" s="48" t="s">
        <v>74</v>
      </c>
      <c r="F741" s="80"/>
      <c r="G741" s="47"/>
      <c r="H741" s="80"/>
      <c r="I741" s="255"/>
      <c r="J741" s="366" t="str">
        <f>IFERROR(VLOOKUP($F741,補助対象機器一覧20220831!$A$2:$K$200,2,FALSE),"")</f>
        <v/>
      </c>
      <c r="K741" s="367"/>
      <c r="L741" s="368"/>
      <c r="M741" s="245"/>
      <c r="N741" s="366" t="str">
        <f>IFERROR(VLOOKUP($F741,補助対象機器一覧20220831!$A$2:$K$200,7,FALSE),"")</f>
        <v/>
      </c>
      <c r="O741" s="367"/>
      <c r="P741" s="368"/>
      <c r="Q741" s="245"/>
      <c r="R741" s="366" t="str">
        <f>IFERROR(VLOOKUP($F741,補助対象機器一覧20220831!$A$2:$K$200,8,FALSE),"")</f>
        <v/>
      </c>
      <c r="S741" s="367"/>
      <c r="T741" s="368"/>
      <c r="U741" s="245"/>
      <c r="V741" s="244" t="str">
        <f>IFERROR(VLOOKUP($F741,補助対象機器一覧20220831!$A$2:$K$200,9,FALSE),"")</f>
        <v/>
      </c>
      <c r="W741" s="46"/>
      <c r="X741" s="402" t="str">
        <f>IF($B741&lt;=入力シート!$F$85,""&amp;中間シート!X654,"")</f>
        <v/>
      </c>
      <c r="Y741" s="402"/>
      <c r="Z741" s="402"/>
      <c r="AA741" s="402"/>
      <c r="AB741" s="402"/>
      <c r="AC741" s="402"/>
      <c r="AD741" s="402"/>
      <c r="AE741" s="402"/>
      <c r="AF741" s="402"/>
      <c r="AG741" s="402"/>
      <c r="AH741" s="402"/>
      <c r="AI741" s="402"/>
      <c r="AJ741" s="402"/>
      <c r="AK741" s="402"/>
      <c r="AL741" s="402"/>
      <c r="AM741" s="402"/>
      <c r="AN741" s="402"/>
      <c r="AO741" s="402"/>
      <c r="AP741" s="41"/>
      <c r="AQ741" s="81">
        <f>IF(J741&lt;&gt;"",1,IF(H741="なし",2,0))</f>
        <v>0</v>
      </c>
      <c r="AR741" s="86"/>
      <c r="AS741" s="86"/>
    </row>
    <row r="742" spans="2:45" ht="5.0999999999999996" customHeight="1" thickBot="1" x14ac:dyDescent="0.2">
      <c r="C742" s="46"/>
      <c r="D742" s="46"/>
      <c r="E742" s="48"/>
      <c r="F742" s="246"/>
      <c r="G742" s="47"/>
      <c r="H742" s="47"/>
      <c r="I742" s="255"/>
      <c r="J742" s="246"/>
      <c r="K742" s="246"/>
      <c r="L742" s="246"/>
      <c r="M742" s="245"/>
      <c r="N742" s="246"/>
      <c r="O742" s="246"/>
      <c r="P742" s="246"/>
      <c r="Q742" s="245"/>
      <c r="R742" s="246"/>
      <c r="S742" s="246"/>
      <c r="T742" s="246"/>
      <c r="U742" s="245"/>
      <c r="V742" s="246"/>
      <c r="W742" s="46"/>
      <c r="X742" s="402"/>
      <c r="Y742" s="402"/>
      <c r="Z742" s="402"/>
      <c r="AA742" s="402"/>
      <c r="AB742" s="402"/>
      <c r="AC742" s="402"/>
      <c r="AD742" s="402"/>
      <c r="AE742" s="402"/>
      <c r="AF742" s="402"/>
      <c r="AG742" s="402"/>
      <c r="AH742" s="402"/>
      <c r="AI742" s="402"/>
      <c r="AJ742" s="402"/>
      <c r="AK742" s="402"/>
      <c r="AL742" s="402"/>
      <c r="AM742" s="402"/>
      <c r="AN742" s="402"/>
      <c r="AO742" s="402"/>
      <c r="AP742" s="41"/>
      <c r="AQ742" s="86"/>
      <c r="AR742" s="86"/>
      <c r="AS742" s="86"/>
    </row>
    <row r="743" spans="2:45" ht="18" customHeight="1" thickBot="1" x14ac:dyDescent="0.2">
      <c r="B743" s="42">
        <v>47</v>
      </c>
      <c r="C743" s="46"/>
      <c r="D743" s="46"/>
      <c r="E743" s="47"/>
      <c r="F743" s="246"/>
      <c r="G743" s="47"/>
      <c r="H743" s="47"/>
      <c r="I743" s="261" t="str">
        <f>IF(AQ741=2,"入力してください→",IF(AQ741=1,"入力不要です→",""))</f>
        <v/>
      </c>
      <c r="J743" s="387"/>
      <c r="K743" s="388"/>
      <c r="L743" s="389"/>
      <c r="M743" s="245"/>
      <c r="N743" s="387"/>
      <c r="O743" s="388"/>
      <c r="P743" s="389"/>
      <c r="Q743" s="245"/>
      <c r="R743" s="387"/>
      <c r="S743" s="388"/>
      <c r="T743" s="389"/>
      <c r="U743" s="245"/>
      <c r="V743" s="249"/>
      <c r="W743" s="46"/>
      <c r="X743" s="402"/>
      <c r="Y743" s="402"/>
      <c r="Z743" s="402"/>
      <c r="AA743" s="402"/>
      <c r="AB743" s="402"/>
      <c r="AC743" s="402"/>
      <c r="AD743" s="402"/>
      <c r="AE743" s="402"/>
      <c r="AF743" s="402"/>
      <c r="AG743" s="402"/>
      <c r="AH743" s="402"/>
      <c r="AI743" s="402"/>
      <c r="AJ743" s="402"/>
      <c r="AK743" s="402"/>
      <c r="AL743" s="402"/>
      <c r="AM743" s="402"/>
      <c r="AN743" s="402"/>
      <c r="AO743" s="402"/>
      <c r="AP743" s="41"/>
      <c r="AQ743" s="86"/>
      <c r="AR743" s="86"/>
      <c r="AS743" s="86"/>
    </row>
    <row r="744" spans="2:45" x14ac:dyDescent="0.15">
      <c r="C744" s="46"/>
      <c r="D744" s="46"/>
      <c r="E744" s="47"/>
      <c r="F744" s="246"/>
      <c r="G744" s="47"/>
      <c r="H744" s="47"/>
      <c r="I744" s="257"/>
      <c r="J744" s="245"/>
      <c r="K744" s="245"/>
      <c r="L744" s="245"/>
      <c r="M744" s="245"/>
      <c r="N744" s="245"/>
      <c r="O744" s="245"/>
      <c r="P744" s="245"/>
      <c r="Q744" s="245"/>
      <c r="R744" s="245"/>
      <c r="S744" s="245"/>
      <c r="T744" s="245"/>
      <c r="U744" s="245"/>
      <c r="V744" s="245"/>
      <c r="W744" s="46"/>
      <c r="X744" s="296" t="s">
        <v>212</v>
      </c>
      <c r="Y744" s="296"/>
      <c r="Z744" s="296"/>
      <c r="AA744" s="296"/>
      <c r="AB744" s="296"/>
      <c r="AC744" s="296"/>
      <c r="AD744" s="296"/>
      <c r="AE744" s="296"/>
      <c r="AF744" s="296"/>
      <c r="AG744" s="296"/>
      <c r="AH744" s="296"/>
      <c r="AI744" s="296"/>
      <c r="AJ744" s="296"/>
      <c r="AK744" s="296"/>
      <c r="AL744" s="296"/>
      <c r="AM744" s="296"/>
      <c r="AN744" s="296"/>
      <c r="AO744" s="296"/>
      <c r="AQ744" s="86"/>
      <c r="AR744" s="86"/>
      <c r="AS744" s="86"/>
    </row>
    <row r="745" spans="2:45" ht="14.25" thickBot="1" x14ac:dyDescent="0.2">
      <c r="C745" s="86"/>
      <c r="D745" s="86"/>
      <c r="E745" s="93"/>
      <c r="F745" s="247"/>
      <c r="G745" s="93"/>
      <c r="H745" s="93"/>
      <c r="I745" s="258"/>
      <c r="J745" s="248"/>
      <c r="K745" s="248"/>
      <c r="L745" s="248"/>
      <c r="M745" s="248"/>
      <c r="N745" s="248"/>
      <c r="O745" s="248"/>
      <c r="P745" s="248"/>
      <c r="Q745" s="248"/>
      <c r="R745" s="248"/>
      <c r="S745" s="248"/>
      <c r="T745" s="248"/>
      <c r="U745" s="248"/>
      <c r="V745" s="248"/>
      <c r="W745" s="86"/>
      <c r="X745" s="296" t="s">
        <v>212</v>
      </c>
      <c r="Y745" s="296"/>
      <c r="Z745" s="296"/>
      <c r="AA745" s="296"/>
      <c r="AB745" s="296"/>
      <c r="AC745" s="296"/>
      <c r="AD745" s="296"/>
      <c r="AE745" s="296"/>
      <c r="AF745" s="296"/>
      <c r="AG745" s="296"/>
      <c r="AH745" s="296"/>
      <c r="AI745" s="296"/>
      <c r="AJ745" s="296"/>
      <c r="AK745" s="296"/>
      <c r="AL745" s="296"/>
      <c r="AM745" s="296"/>
      <c r="AN745" s="296"/>
      <c r="AO745" s="296"/>
      <c r="AQ745" s="86"/>
      <c r="AR745" s="86"/>
      <c r="AS745" s="86"/>
    </row>
    <row r="746" spans="2:45" ht="18" customHeight="1" thickBot="1" x14ac:dyDescent="0.2">
      <c r="B746" s="42">
        <v>48</v>
      </c>
      <c r="C746" s="86"/>
      <c r="D746" s="94" t="s">
        <v>203</v>
      </c>
      <c r="E746" s="95" t="s">
        <v>72</v>
      </c>
      <c r="F746" s="80"/>
      <c r="G746" s="86"/>
      <c r="H746" s="80"/>
      <c r="I746" s="259"/>
      <c r="J746" s="366" t="str">
        <f>IFERROR(VLOOKUP($F746,補助対象機器一覧20220831!$A$2:$K$200,2,FALSE),"")</f>
        <v/>
      </c>
      <c r="K746" s="367"/>
      <c r="L746" s="368"/>
      <c r="M746" s="248"/>
      <c r="N746" s="366" t="str">
        <f>IFERROR(VLOOKUP($F746,補助対象機器一覧20220831!$A$2:$K$200,7,FALSE),"")</f>
        <v/>
      </c>
      <c r="O746" s="367"/>
      <c r="P746" s="368"/>
      <c r="Q746" s="248"/>
      <c r="R746" s="366" t="str">
        <f>IFERROR(VLOOKUP($F746,補助対象機器一覧20220831!$A$2:$K$200,8,FALSE),"")</f>
        <v/>
      </c>
      <c r="S746" s="367"/>
      <c r="T746" s="368"/>
      <c r="U746" s="248"/>
      <c r="V746" s="244" t="str">
        <f>IFERROR(VLOOKUP($F746,補助対象機器一覧20220831!$A$2:$K$200,9,FALSE),"")</f>
        <v/>
      </c>
      <c r="W746" s="86"/>
      <c r="X746" s="402" t="str">
        <f>IF($B746&lt;=入力シート!$F$85,""&amp;中間シート!X655,"")</f>
        <v/>
      </c>
      <c r="Y746" s="402"/>
      <c r="Z746" s="402"/>
      <c r="AA746" s="402"/>
      <c r="AB746" s="402"/>
      <c r="AC746" s="402"/>
      <c r="AD746" s="402"/>
      <c r="AE746" s="402"/>
      <c r="AF746" s="402"/>
      <c r="AG746" s="402"/>
      <c r="AH746" s="402"/>
      <c r="AI746" s="402"/>
      <c r="AJ746" s="402"/>
      <c r="AK746" s="402"/>
      <c r="AL746" s="402"/>
      <c r="AM746" s="402"/>
      <c r="AN746" s="402"/>
      <c r="AO746" s="402"/>
      <c r="AQ746" s="81">
        <f>IF(J746&lt;&gt;"",1,IF(H746="なし",2,0))</f>
        <v>0</v>
      </c>
      <c r="AR746" s="86"/>
      <c r="AS746" s="86"/>
    </row>
    <row r="747" spans="2:45" ht="5.0999999999999996" customHeight="1" thickBot="1" x14ac:dyDescent="0.2">
      <c r="C747" s="86"/>
      <c r="D747" s="94"/>
      <c r="E747" s="95"/>
      <c r="F747" s="248"/>
      <c r="G747" s="86"/>
      <c r="H747" s="86"/>
      <c r="I747" s="259"/>
      <c r="J747" s="248"/>
      <c r="K747" s="248"/>
      <c r="L747" s="248"/>
      <c r="M747" s="248"/>
      <c r="N747" s="248"/>
      <c r="O747" s="248"/>
      <c r="P747" s="248"/>
      <c r="Q747" s="248"/>
      <c r="R747" s="248"/>
      <c r="S747" s="248"/>
      <c r="T747" s="248"/>
      <c r="U747" s="248"/>
      <c r="V747" s="248"/>
      <c r="W747" s="86"/>
      <c r="X747" s="402"/>
      <c r="Y747" s="402"/>
      <c r="Z747" s="402"/>
      <c r="AA747" s="402"/>
      <c r="AB747" s="402"/>
      <c r="AC747" s="402"/>
      <c r="AD747" s="402"/>
      <c r="AE747" s="402"/>
      <c r="AF747" s="402"/>
      <c r="AG747" s="402"/>
      <c r="AH747" s="402"/>
      <c r="AI747" s="402"/>
      <c r="AJ747" s="402"/>
      <c r="AK747" s="402"/>
      <c r="AL747" s="402"/>
      <c r="AM747" s="402"/>
      <c r="AN747" s="402"/>
      <c r="AO747" s="402"/>
      <c r="AP747" s="41"/>
      <c r="AQ747" s="86"/>
      <c r="AR747" s="86"/>
      <c r="AS747" s="86"/>
    </row>
    <row r="748" spans="2:45" ht="18" customHeight="1" thickBot="1" x14ac:dyDescent="0.2">
      <c r="B748" s="42">
        <v>48</v>
      </c>
      <c r="C748" s="86"/>
      <c r="D748" s="94"/>
      <c r="E748" s="95"/>
      <c r="F748" s="247"/>
      <c r="G748" s="86"/>
      <c r="H748" s="86"/>
      <c r="I748" s="260" t="str">
        <f>IF(AQ746=2,"入力してください→",IF(AQ746=1,"入力不要です→",""))</f>
        <v/>
      </c>
      <c r="J748" s="387"/>
      <c r="K748" s="388"/>
      <c r="L748" s="389"/>
      <c r="M748" s="248"/>
      <c r="N748" s="387"/>
      <c r="O748" s="388"/>
      <c r="P748" s="389"/>
      <c r="Q748" s="248"/>
      <c r="R748" s="387"/>
      <c r="S748" s="388"/>
      <c r="T748" s="389"/>
      <c r="U748" s="248"/>
      <c r="V748" s="249"/>
      <c r="W748" s="86"/>
      <c r="X748" s="402"/>
      <c r="Y748" s="402"/>
      <c r="Z748" s="402"/>
      <c r="AA748" s="402"/>
      <c r="AB748" s="402"/>
      <c r="AC748" s="402"/>
      <c r="AD748" s="402"/>
      <c r="AE748" s="402"/>
      <c r="AF748" s="402"/>
      <c r="AG748" s="402"/>
      <c r="AH748" s="402"/>
      <c r="AI748" s="402"/>
      <c r="AJ748" s="402"/>
      <c r="AK748" s="402"/>
      <c r="AL748" s="402"/>
      <c r="AM748" s="402"/>
      <c r="AN748" s="402"/>
      <c r="AO748" s="402"/>
      <c r="AP748" s="41"/>
      <c r="AQ748" s="86"/>
      <c r="AR748" s="86"/>
      <c r="AS748" s="86"/>
    </row>
    <row r="749" spans="2:45" ht="5.0999999999999996" customHeight="1" thickBot="1" x14ac:dyDescent="0.2">
      <c r="C749" s="86"/>
      <c r="D749" s="86"/>
      <c r="E749" s="93"/>
      <c r="F749" s="248"/>
      <c r="G749" s="93"/>
      <c r="H749" s="93"/>
      <c r="I749" s="259"/>
      <c r="J749" s="248"/>
      <c r="K749" s="248"/>
      <c r="L749" s="248"/>
      <c r="M749" s="248"/>
      <c r="N749" s="248"/>
      <c r="O749" s="248"/>
      <c r="P749" s="248"/>
      <c r="Q749" s="248"/>
      <c r="R749" s="248"/>
      <c r="S749" s="248"/>
      <c r="T749" s="248"/>
      <c r="U749" s="248"/>
      <c r="V749" s="248"/>
      <c r="W749" s="86"/>
      <c r="X749" s="296" t="s">
        <v>212</v>
      </c>
      <c r="Y749" s="296"/>
      <c r="Z749" s="296"/>
      <c r="AA749" s="296"/>
      <c r="AB749" s="296"/>
      <c r="AC749" s="296"/>
      <c r="AD749" s="296"/>
      <c r="AE749" s="296"/>
      <c r="AF749" s="296"/>
      <c r="AG749" s="296"/>
      <c r="AH749" s="296"/>
      <c r="AI749" s="296"/>
      <c r="AJ749" s="296"/>
      <c r="AK749" s="296"/>
      <c r="AL749" s="296"/>
      <c r="AM749" s="296"/>
      <c r="AN749" s="296"/>
      <c r="AO749" s="296"/>
      <c r="AP749" s="41"/>
      <c r="AQ749" s="86"/>
      <c r="AR749" s="86"/>
      <c r="AS749" s="86"/>
    </row>
    <row r="750" spans="2:45" ht="18" customHeight="1" thickBot="1" x14ac:dyDescent="0.2">
      <c r="B750" s="42">
        <v>48</v>
      </c>
      <c r="C750" s="86"/>
      <c r="D750" s="86"/>
      <c r="E750" s="95" t="s">
        <v>73</v>
      </c>
      <c r="F750" s="80"/>
      <c r="G750" s="93"/>
      <c r="H750" s="80"/>
      <c r="I750" s="259"/>
      <c r="J750" s="366" t="str">
        <f>IFERROR(VLOOKUP($F750,補助対象機器一覧20220831!$A$2:$K$200,2,FALSE),"")</f>
        <v/>
      </c>
      <c r="K750" s="367"/>
      <c r="L750" s="368"/>
      <c r="M750" s="248"/>
      <c r="N750" s="366" t="str">
        <f>IFERROR(VLOOKUP($F750,補助対象機器一覧20220831!$A$2:$K$200,7,FALSE),"")</f>
        <v/>
      </c>
      <c r="O750" s="367"/>
      <c r="P750" s="368"/>
      <c r="Q750" s="248"/>
      <c r="R750" s="366" t="str">
        <f>IFERROR(VLOOKUP($F750,補助対象機器一覧20220831!$A$2:$K$200,8,FALSE),"")</f>
        <v/>
      </c>
      <c r="S750" s="367"/>
      <c r="T750" s="368"/>
      <c r="U750" s="248"/>
      <c r="V750" s="244" t="str">
        <f>IFERROR(VLOOKUP($F750,補助対象機器一覧20220831!$A$2:$K$200,9,FALSE),"")</f>
        <v/>
      </c>
      <c r="W750" s="86"/>
      <c r="X750" s="402" t="str">
        <f>IF($B750&lt;=入力シート!$F$85,""&amp;中間シート!X656,"")</f>
        <v/>
      </c>
      <c r="Y750" s="402"/>
      <c r="Z750" s="402"/>
      <c r="AA750" s="402"/>
      <c r="AB750" s="402"/>
      <c r="AC750" s="402"/>
      <c r="AD750" s="402"/>
      <c r="AE750" s="402"/>
      <c r="AF750" s="402"/>
      <c r="AG750" s="402"/>
      <c r="AH750" s="402"/>
      <c r="AI750" s="402"/>
      <c r="AJ750" s="402"/>
      <c r="AK750" s="402"/>
      <c r="AL750" s="402"/>
      <c r="AM750" s="402"/>
      <c r="AN750" s="402"/>
      <c r="AO750" s="402"/>
      <c r="AP750" s="41"/>
      <c r="AQ750" s="81">
        <f>IF(J750&lt;&gt;"",1,IF(H750="なし",2,0))</f>
        <v>0</v>
      </c>
      <c r="AR750" s="86"/>
      <c r="AS750" s="86"/>
    </row>
    <row r="751" spans="2:45" ht="5.0999999999999996" customHeight="1" thickBot="1" x14ac:dyDescent="0.2">
      <c r="C751" s="86"/>
      <c r="D751" s="86"/>
      <c r="E751" s="95"/>
      <c r="F751" s="247"/>
      <c r="G751" s="93"/>
      <c r="H751" s="93"/>
      <c r="I751" s="259"/>
      <c r="J751" s="247"/>
      <c r="K751" s="247"/>
      <c r="L751" s="247"/>
      <c r="M751" s="248"/>
      <c r="N751" s="247"/>
      <c r="O751" s="247"/>
      <c r="P751" s="247"/>
      <c r="Q751" s="248"/>
      <c r="R751" s="247"/>
      <c r="S751" s="247"/>
      <c r="T751" s="247"/>
      <c r="U751" s="248"/>
      <c r="V751" s="247"/>
      <c r="W751" s="86"/>
      <c r="X751" s="402"/>
      <c r="Y751" s="402"/>
      <c r="Z751" s="402"/>
      <c r="AA751" s="402"/>
      <c r="AB751" s="402"/>
      <c r="AC751" s="402"/>
      <c r="AD751" s="402"/>
      <c r="AE751" s="402"/>
      <c r="AF751" s="402"/>
      <c r="AG751" s="402"/>
      <c r="AH751" s="402"/>
      <c r="AI751" s="402"/>
      <c r="AJ751" s="402"/>
      <c r="AK751" s="402"/>
      <c r="AL751" s="402"/>
      <c r="AM751" s="402"/>
      <c r="AN751" s="402"/>
      <c r="AO751" s="402"/>
      <c r="AP751" s="41"/>
      <c r="AQ751" s="86"/>
      <c r="AR751" s="86"/>
      <c r="AS751" s="86"/>
    </row>
    <row r="752" spans="2:45" ht="18" customHeight="1" thickBot="1" x14ac:dyDescent="0.2">
      <c r="B752" s="42">
        <v>48</v>
      </c>
      <c r="C752" s="86"/>
      <c r="D752" s="86"/>
      <c r="E752" s="95"/>
      <c r="F752" s="247"/>
      <c r="G752" s="93"/>
      <c r="H752" s="93"/>
      <c r="I752" s="260" t="str">
        <f>IF(AQ750=2,"入力してください→",IF(AQ750=1,"入力不要です→",""))</f>
        <v/>
      </c>
      <c r="J752" s="387"/>
      <c r="K752" s="388"/>
      <c r="L752" s="389"/>
      <c r="M752" s="248"/>
      <c r="N752" s="387"/>
      <c r="O752" s="388"/>
      <c r="P752" s="389"/>
      <c r="Q752" s="248"/>
      <c r="R752" s="387"/>
      <c r="S752" s="388"/>
      <c r="T752" s="389"/>
      <c r="U752" s="248"/>
      <c r="V752" s="249"/>
      <c r="W752" s="86"/>
      <c r="X752" s="402"/>
      <c r="Y752" s="402"/>
      <c r="Z752" s="402"/>
      <c r="AA752" s="402"/>
      <c r="AB752" s="402"/>
      <c r="AC752" s="402"/>
      <c r="AD752" s="402"/>
      <c r="AE752" s="402"/>
      <c r="AF752" s="402"/>
      <c r="AG752" s="402"/>
      <c r="AH752" s="402"/>
      <c r="AI752" s="402"/>
      <c r="AJ752" s="402"/>
      <c r="AK752" s="402"/>
      <c r="AL752" s="402"/>
      <c r="AM752" s="402"/>
      <c r="AN752" s="402"/>
      <c r="AO752" s="402"/>
      <c r="AP752" s="41"/>
      <c r="AQ752" s="86"/>
      <c r="AR752" s="86"/>
      <c r="AS752" s="86"/>
    </row>
    <row r="753" spans="2:45" ht="5.0999999999999996" customHeight="1" thickBot="1" x14ac:dyDescent="0.2">
      <c r="C753" s="86"/>
      <c r="D753" s="86"/>
      <c r="E753" s="95"/>
      <c r="F753" s="247"/>
      <c r="G753" s="93"/>
      <c r="H753" s="93"/>
      <c r="I753" s="259"/>
      <c r="J753" s="247"/>
      <c r="K753" s="247"/>
      <c r="L753" s="247"/>
      <c r="M753" s="248"/>
      <c r="N753" s="247"/>
      <c r="O753" s="247"/>
      <c r="P753" s="247"/>
      <c r="Q753" s="248"/>
      <c r="R753" s="247"/>
      <c r="S753" s="247"/>
      <c r="T753" s="247"/>
      <c r="U753" s="248"/>
      <c r="V753" s="247"/>
      <c r="W753" s="86"/>
      <c r="X753" s="296" t="s">
        <v>212</v>
      </c>
      <c r="Y753" s="296"/>
      <c r="Z753" s="296"/>
      <c r="AA753" s="296"/>
      <c r="AB753" s="296"/>
      <c r="AC753" s="296"/>
      <c r="AD753" s="296"/>
      <c r="AE753" s="296"/>
      <c r="AF753" s="296"/>
      <c r="AG753" s="296"/>
      <c r="AH753" s="296"/>
      <c r="AI753" s="296"/>
      <c r="AJ753" s="296"/>
      <c r="AK753" s="296"/>
      <c r="AL753" s="296"/>
      <c r="AM753" s="296"/>
      <c r="AN753" s="296"/>
      <c r="AO753" s="296"/>
      <c r="AP753" s="41"/>
      <c r="AQ753" s="86"/>
      <c r="AR753" s="86"/>
      <c r="AS753" s="86"/>
    </row>
    <row r="754" spans="2:45" ht="18" customHeight="1" thickBot="1" x14ac:dyDescent="0.2">
      <c r="B754" s="42">
        <v>48</v>
      </c>
      <c r="C754" s="86"/>
      <c r="D754" s="86"/>
      <c r="E754" s="95" t="s">
        <v>74</v>
      </c>
      <c r="F754" s="80"/>
      <c r="G754" s="93"/>
      <c r="H754" s="80"/>
      <c r="I754" s="259"/>
      <c r="J754" s="366" t="str">
        <f>IFERROR(VLOOKUP($F754,補助対象機器一覧20220831!$A$2:$K$200,2,FALSE),"")</f>
        <v/>
      </c>
      <c r="K754" s="367"/>
      <c r="L754" s="368"/>
      <c r="M754" s="248"/>
      <c r="N754" s="366" t="str">
        <f>IFERROR(VLOOKUP($F754,補助対象機器一覧20220831!$A$2:$K$200,7,FALSE),"")</f>
        <v/>
      </c>
      <c r="O754" s="367"/>
      <c r="P754" s="368"/>
      <c r="Q754" s="248"/>
      <c r="R754" s="366" t="str">
        <f>IFERROR(VLOOKUP($F754,補助対象機器一覧20220831!$A$2:$K$200,8,FALSE),"")</f>
        <v/>
      </c>
      <c r="S754" s="367"/>
      <c r="T754" s="368"/>
      <c r="U754" s="248"/>
      <c r="V754" s="244" t="str">
        <f>IFERROR(VLOOKUP($F754,補助対象機器一覧20220831!$A$2:$K$200,9,FALSE),"")</f>
        <v/>
      </c>
      <c r="W754" s="86"/>
      <c r="X754" s="402" t="str">
        <f>IF($B754&lt;=入力シート!$F$85,""&amp;中間シート!X657,"")</f>
        <v/>
      </c>
      <c r="Y754" s="402"/>
      <c r="Z754" s="402"/>
      <c r="AA754" s="402"/>
      <c r="AB754" s="402"/>
      <c r="AC754" s="402"/>
      <c r="AD754" s="402"/>
      <c r="AE754" s="402"/>
      <c r="AF754" s="402"/>
      <c r="AG754" s="402"/>
      <c r="AH754" s="402"/>
      <c r="AI754" s="402"/>
      <c r="AJ754" s="402"/>
      <c r="AK754" s="402"/>
      <c r="AL754" s="402"/>
      <c r="AM754" s="402"/>
      <c r="AN754" s="402"/>
      <c r="AO754" s="402"/>
      <c r="AP754" s="41"/>
      <c r="AQ754" s="81">
        <f>IF(J754&lt;&gt;"",1,IF(H754="なし",2,0))</f>
        <v>0</v>
      </c>
      <c r="AR754" s="86"/>
      <c r="AS754" s="86"/>
    </row>
    <row r="755" spans="2:45" ht="5.0999999999999996" customHeight="1" thickBot="1" x14ac:dyDescent="0.2">
      <c r="C755" s="86"/>
      <c r="D755" s="86"/>
      <c r="E755" s="95"/>
      <c r="F755" s="247"/>
      <c r="G755" s="93"/>
      <c r="H755" s="93"/>
      <c r="I755" s="259"/>
      <c r="J755" s="247"/>
      <c r="K755" s="247"/>
      <c r="L755" s="247"/>
      <c r="M755" s="248"/>
      <c r="N755" s="247"/>
      <c r="O755" s="247"/>
      <c r="P755" s="247"/>
      <c r="Q755" s="248"/>
      <c r="R755" s="247"/>
      <c r="S755" s="247"/>
      <c r="T755" s="247"/>
      <c r="U755" s="248"/>
      <c r="V755" s="247"/>
      <c r="W755" s="86"/>
      <c r="X755" s="402"/>
      <c r="Y755" s="402"/>
      <c r="Z755" s="402"/>
      <c r="AA755" s="402"/>
      <c r="AB755" s="402"/>
      <c r="AC755" s="402"/>
      <c r="AD755" s="402"/>
      <c r="AE755" s="402"/>
      <c r="AF755" s="402"/>
      <c r="AG755" s="402"/>
      <c r="AH755" s="402"/>
      <c r="AI755" s="402"/>
      <c r="AJ755" s="402"/>
      <c r="AK755" s="402"/>
      <c r="AL755" s="402"/>
      <c r="AM755" s="402"/>
      <c r="AN755" s="402"/>
      <c r="AO755" s="402"/>
      <c r="AP755" s="41"/>
      <c r="AQ755" s="86"/>
      <c r="AR755" s="86"/>
      <c r="AS755" s="86"/>
    </row>
    <row r="756" spans="2:45" ht="18" customHeight="1" thickBot="1" x14ac:dyDescent="0.2">
      <c r="B756" s="42">
        <v>48</v>
      </c>
      <c r="C756" s="86"/>
      <c r="D756" s="86"/>
      <c r="E756" s="93"/>
      <c r="F756" s="247"/>
      <c r="G756" s="93"/>
      <c r="H756" s="93"/>
      <c r="I756" s="260" t="str">
        <f>IF(AQ754=2,"入力してください→",IF(AQ754=1,"入力不要です→",""))</f>
        <v/>
      </c>
      <c r="J756" s="387"/>
      <c r="K756" s="388"/>
      <c r="L756" s="389"/>
      <c r="M756" s="248"/>
      <c r="N756" s="387"/>
      <c r="O756" s="388"/>
      <c r="P756" s="389"/>
      <c r="Q756" s="248"/>
      <c r="R756" s="387"/>
      <c r="S756" s="388"/>
      <c r="T756" s="389"/>
      <c r="U756" s="248"/>
      <c r="V756" s="249"/>
      <c r="W756" s="86"/>
      <c r="X756" s="402"/>
      <c r="Y756" s="402"/>
      <c r="Z756" s="402"/>
      <c r="AA756" s="402"/>
      <c r="AB756" s="402"/>
      <c r="AC756" s="402"/>
      <c r="AD756" s="402"/>
      <c r="AE756" s="402"/>
      <c r="AF756" s="402"/>
      <c r="AG756" s="402"/>
      <c r="AH756" s="402"/>
      <c r="AI756" s="402"/>
      <c r="AJ756" s="402"/>
      <c r="AK756" s="402"/>
      <c r="AL756" s="402"/>
      <c r="AM756" s="402"/>
      <c r="AN756" s="402"/>
      <c r="AO756" s="402"/>
      <c r="AP756" s="41"/>
      <c r="AQ756" s="86"/>
      <c r="AR756" s="86"/>
      <c r="AS756" s="86"/>
    </row>
    <row r="757" spans="2:45" x14ac:dyDescent="0.15">
      <c r="C757" s="86"/>
      <c r="D757" s="86"/>
      <c r="E757" s="93"/>
      <c r="F757" s="247"/>
      <c r="G757" s="93"/>
      <c r="H757" s="93"/>
      <c r="I757" s="258"/>
      <c r="J757" s="248"/>
      <c r="K757" s="248"/>
      <c r="L757" s="248"/>
      <c r="M757" s="248"/>
      <c r="N757" s="248"/>
      <c r="O757" s="248"/>
      <c r="P757" s="248"/>
      <c r="Q757" s="248"/>
      <c r="R757" s="248"/>
      <c r="S757" s="248"/>
      <c r="T757" s="248"/>
      <c r="U757" s="248"/>
      <c r="V757" s="248"/>
      <c r="W757" s="86"/>
      <c r="X757" s="296" t="s">
        <v>212</v>
      </c>
      <c r="Y757" s="296"/>
      <c r="Z757" s="296"/>
      <c r="AA757" s="296"/>
      <c r="AB757" s="296"/>
      <c r="AC757" s="296"/>
      <c r="AD757" s="296"/>
      <c r="AE757" s="296"/>
      <c r="AF757" s="296"/>
      <c r="AG757" s="296"/>
      <c r="AH757" s="296"/>
      <c r="AI757" s="296"/>
      <c r="AJ757" s="296"/>
      <c r="AK757" s="296"/>
      <c r="AL757" s="296"/>
      <c r="AM757" s="296"/>
      <c r="AN757" s="296"/>
      <c r="AO757" s="296"/>
      <c r="AQ757" s="86"/>
      <c r="AR757" s="86"/>
      <c r="AS757" s="86"/>
    </row>
    <row r="758" spans="2:45" ht="14.25" thickBot="1" x14ac:dyDescent="0.2">
      <c r="C758" s="46"/>
      <c r="D758" s="46"/>
      <c r="E758" s="47"/>
      <c r="F758" s="246"/>
      <c r="G758" s="47"/>
      <c r="H758" s="47"/>
      <c r="I758" s="257"/>
      <c r="J758" s="245"/>
      <c r="K758" s="245"/>
      <c r="L758" s="245"/>
      <c r="M758" s="245"/>
      <c r="N758" s="245"/>
      <c r="O758" s="245"/>
      <c r="P758" s="245"/>
      <c r="Q758" s="245"/>
      <c r="R758" s="245"/>
      <c r="S758" s="245"/>
      <c r="T758" s="245"/>
      <c r="U758" s="245"/>
      <c r="V758" s="245"/>
      <c r="W758" s="46"/>
      <c r="X758" s="296" t="s">
        <v>212</v>
      </c>
      <c r="Y758" s="296"/>
      <c r="Z758" s="296"/>
      <c r="AA758" s="296"/>
      <c r="AB758" s="296"/>
      <c r="AC758" s="296"/>
      <c r="AD758" s="296"/>
      <c r="AE758" s="296"/>
      <c r="AF758" s="296"/>
      <c r="AG758" s="296"/>
      <c r="AH758" s="296"/>
      <c r="AI758" s="296"/>
      <c r="AJ758" s="296"/>
      <c r="AK758" s="296"/>
      <c r="AL758" s="296"/>
      <c r="AM758" s="296"/>
      <c r="AN758" s="296"/>
      <c r="AO758" s="296"/>
      <c r="AQ758" s="86"/>
      <c r="AR758" s="86"/>
      <c r="AS758" s="86"/>
    </row>
    <row r="759" spans="2:45" ht="18" customHeight="1" thickBot="1" x14ac:dyDescent="0.2">
      <c r="B759" s="42">
        <v>49</v>
      </c>
      <c r="C759" s="46"/>
      <c r="D759" s="82" t="s">
        <v>204</v>
      </c>
      <c r="E759" s="48" t="s">
        <v>72</v>
      </c>
      <c r="F759" s="80"/>
      <c r="G759" s="46"/>
      <c r="H759" s="109"/>
      <c r="I759" s="255"/>
      <c r="J759" s="366" t="str">
        <f>IFERROR(VLOOKUP($F759,補助対象機器一覧20220831!$A$2:$K$200,2,FALSE),"")</f>
        <v/>
      </c>
      <c r="K759" s="367"/>
      <c r="L759" s="368"/>
      <c r="M759" s="245"/>
      <c r="N759" s="366" t="str">
        <f>IFERROR(VLOOKUP($F759,補助対象機器一覧20220831!$A$2:$K$200,7,FALSE),"")</f>
        <v/>
      </c>
      <c r="O759" s="367"/>
      <c r="P759" s="368"/>
      <c r="Q759" s="245"/>
      <c r="R759" s="366" t="str">
        <f>IFERROR(VLOOKUP($F759,補助対象機器一覧20220831!$A$2:$K$200,8,FALSE),"")</f>
        <v/>
      </c>
      <c r="S759" s="367"/>
      <c r="T759" s="368"/>
      <c r="U759" s="245"/>
      <c r="V759" s="244" t="str">
        <f>IFERROR(VLOOKUP($F759,補助対象機器一覧20220831!$A$2:$K$200,9,FALSE),"")</f>
        <v/>
      </c>
      <c r="W759" s="46"/>
      <c r="X759" s="402" t="str">
        <f>IF($B759&lt;=入力シート!$F$85,""&amp;中間シート!X658,"")</f>
        <v/>
      </c>
      <c r="Y759" s="402"/>
      <c r="Z759" s="402"/>
      <c r="AA759" s="402"/>
      <c r="AB759" s="402"/>
      <c r="AC759" s="402"/>
      <c r="AD759" s="402"/>
      <c r="AE759" s="402"/>
      <c r="AF759" s="402"/>
      <c r="AG759" s="402"/>
      <c r="AH759" s="402"/>
      <c r="AI759" s="402"/>
      <c r="AJ759" s="402"/>
      <c r="AK759" s="402"/>
      <c r="AL759" s="402"/>
      <c r="AM759" s="402"/>
      <c r="AN759" s="402"/>
      <c r="AO759" s="402"/>
      <c r="AQ759" s="81">
        <f>IF(J759&lt;&gt;"",1,IF(H759="なし",2,0))</f>
        <v>0</v>
      </c>
      <c r="AR759" s="86"/>
      <c r="AS759" s="86"/>
    </row>
    <row r="760" spans="2:45" ht="5.0999999999999996" customHeight="1" thickBot="1" x14ac:dyDescent="0.2">
      <c r="C760" s="46"/>
      <c r="D760" s="46"/>
      <c r="E760" s="48"/>
      <c r="F760" s="245"/>
      <c r="G760" s="46"/>
      <c r="H760" s="46"/>
      <c r="I760" s="255"/>
      <c r="J760" s="245"/>
      <c r="K760" s="245"/>
      <c r="L760" s="245"/>
      <c r="M760" s="245"/>
      <c r="N760" s="245"/>
      <c r="O760" s="245"/>
      <c r="P760" s="245"/>
      <c r="Q760" s="245"/>
      <c r="R760" s="245"/>
      <c r="S760" s="245"/>
      <c r="T760" s="245"/>
      <c r="U760" s="245"/>
      <c r="V760" s="245"/>
      <c r="W760" s="46"/>
      <c r="X760" s="402"/>
      <c r="Y760" s="402"/>
      <c r="Z760" s="402"/>
      <c r="AA760" s="402"/>
      <c r="AB760" s="402"/>
      <c r="AC760" s="402"/>
      <c r="AD760" s="402"/>
      <c r="AE760" s="402"/>
      <c r="AF760" s="402"/>
      <c r="AG760" s="402"/>
      <c r="AH760" s="402"/>
      <c r="AI760" s="402"/>
      <c r="AJ760" s="402"/>
      <c r="AK760" s="402"/>
      <c r="AL760" s="402"/>
      <c r="AM760" s="402"/>
      <c r="AN760" s="402"/>
      <c r="AO760" s="402"/>
      <c r="AP760" s="41"/>
      <c r="AQ760" s="86"/>
      <c r="AR760" s="86"/>
      <c r="AS760" s="86"/>
    </row>
    <row r="761" spans="2:45" ht="18" customHeight="1" thickBot="1" x14ac:dyDescent="0.2">
      <c r="B761" s="42">
        <v>49</v>
      </c>
      <c r="C761" s="46"/>
      <c r="D761" s="82"/>
      <c r="E761" s="48"/>
      <c r="F761" s="246"/>
      <c r="G761" s="46"/>
      <c r="H761" s="46"/>
      <c r="I761" s="261" t="str">
        <f>IF(AQ759=2,"入力してください→",IF(AQ759=1,"入力不要です→",""))</f>
        <v/>
      </c>
      <c r="J761" s="387"/>
      <c r="K761" s="388"/>
      <c r="L761" s="389"/>
      <c r="M761" s="245"/>
      <c r="N761" s="387"/>
      <c r="O761" s="388"/>
      <c r="P761" s="389"/>
      <c r="Q761" s="245"/>
      <c r="R761" s="387"/>
      <c r="S761" s="388"/>
      <c r="T761" s="389"/>
      <c r="U761" s="245"/>
      <c r="V761" s="249"/>
      <c r="W761" s="46"/>
      <c r="X761" s="402"/>
      <c r="Y761" s="402"/>
      <c r="Z761" s="402"/>
      <c r="AA761" s="402"/>
      <c r="AB761" s="402"/>
      <c r="AC761" s="402"/>
      <c r="AD761" s="402"/>
      <c r="AE761" s="402"/>
      <c r="AF761" s="402"/>
      <c r="AG761" s="402"/>
      <c r="AH761" s="402"/>
      <c r="AI761" s="402"/>
      <c r="AJ761" s="402"/>
      <c r="AK761" s="402"/>
      <c r="AL761" s="402"/>
      <c r="AM761" s="402"/>
      <c r="AN761" s="402"/>
      <c r="AO761" s="402"/>
      <c r="AP761" s="41"/>
      <c r="AQ761" s="86"/>
      <c r="AR761" s="86"/>
      <c r="AS761" s="86"/>
    </row>
    <row r="762" spans="2:45" ht="5.0999999999999996" customHeight="1" thickBot="1" x14ac:dyDescent="0.2">
      <c r="C762" s="46"/>
      <c r="D762" s="46"/>
      <c r="E762" s="48"/>
      <c r="F762" s="245"/>
      <c r="G762" s="47"/>
      <c r="H762" s="47"/>
      <c r="I762" s="255"/>
      <c r="J762" s="245"/>
      <c r="K762" s="245"/>
      <c r="L762" s="245"/>
      <c r="M762" s="245"/>
      <c r="N762" s="245"/>
      <c r="O762" s="245"/>
      <c r="P762" s="245"/>
      <c r="Q762" s="245"/>
      <c r="R762" s="245"/>
      <c r="S762" s="245"/>
      <c r="T762" s="245"/>
      <c r="U762" s="245"/>
      <c r="V762" s="245"/>
      <c r="W762" s="46"/>
      <c r="X762" s="296" t="s">
        <v>212</v>
      </c>
      <c r="Y762" s="296"/>
      <c r="Z762" s="296"/>
      <c r="AA762" s="296"/>
      <c r="AB762" s="296"/>
      <c r="AC762" s="296"/>
      <c r="AD762" s="296"/>
      <c r="AE762" s="296"/>
      <c r="AF762" s="296"/>
      <c r="AG762" s="296"/>
      <c r="AH762" s="296"/>
      <c r="AI762" s="296"/>
      <c r="AJ762" s="296"/>
      <c r="AK762" s="296"/>
      <c r="AL762" s="296"/>
      <c r="AM762" s="296"/>
      <c r="AN762" s="296"/>
      <c r="AO762" s="296"/>
      <c r="AP762" s="41"/>
      <c r="AQ762" s="86"/>
      <c r="AR762" s="86"/>
      <c r="AS762" s="86"/>
    </row>
    <row r="763" spans="2:45" ht="18" customHeight="1" thickBot="1" x14ac:dyDescent="0.2">
      <c r="B763" s="42">
        <v>49</v>
      </c>
      <c r="C763" s="46"/>
      <c r="D763" s="46"/>
      <c r="E763" s="48" t="s">
        <v>73</v>
      </c>
      <c r="F763" s="80"/>
      <c r="G763" s="47"/>
      <c r="H763" s="109"/>
      <c r="I763" s="255"/>
      <c r="J763" s="366" t="str">
        <f>IFERROR(VLOOKUP($F763,補助対象機器一覧20220831!$A$2:$K$200,2,FALSE),"")</f>
        <v/>
      </c>
      <c r="K763" s="367"/>
      <c r="L763" s="368"/>
      <c r="M763" s="245"/>
      <c r="N763" s="366" t="str">
        <f>IFERROR(VLOOKUP($F763,補助対象機器一覧20220831!$A$2:$K$200,7,FALSE),"")</f>
        <v/>
      </c>
      <c r="O763" s="367"/>
      <c r="P763" s="368"/>
      <c r="Q763" s="245"/>
      <c r="R763" s="366" t="str">
        <f>IFERROR(VLOOKUP($F763,補助対象機器一覧20220831!$A$2:$K$200,8,FALSE),"")</f>
        <v/>
      </c>
      <c r="S763" s="367"/>
      <c r="T763" s="368"/>
      <c r="U763" s="245"/>
      <c r="V763" s="244" t="str">
        <f>IFERROR(VLOOKUP($F763,補助対象機器一覧20220831!$A$2:$K$200,9,FALSE),"")</f>
        <v/>
      </c>
      <c r="W763" s="46"/>
      <c r="X763" s="402" t="str">
        <f>IF($B763&lt;=入力シート!$F$85,""&amp;中間シート!X659,"")</f>
        <v/>
      </c>
      <c r="Y763" s="402"/>
      <c r="Z763" s="402"/>
      <c r="AA763" s="402"/>
      <c r="AB763" s="402"/>
      <c r="AC763" s="402"/>
      <c r="AD763" s="402"/>
      <c r="AE763" s="402"/>
      <c r="AF763" s="402"/>
      <c r="AG763" s="402"/>
      <c r="AH763" s="402"/>
      <c r="AI763" s="402"/>
      <c r="AJ763" s="402"/>
      <c r="AK763" s="402"/>
      <c r="AL763" s="402"/>
      <c r="AM763" s="402"/>
      <c r="AN763" s="402"/>
      <c r="AO763" s="402"/>
      <c r="AP763" s="41"/>
      <c r="AQ763" s="81">
        <f>IF(J763&lt;&gt;"",1,IF(H763="なし",2,0))</f>
        <v>0</v>
      </c>
      <c r="AR763" s="86"/>
      <c r="AS763" s="86"/>
    </row>
    <row r="764" spans="2:45" ht="5.0999999999999996" customHeight="1" thickBot="1" x14ac:dyDescent="0.2">
      <c r="C764" s="46"/>
      <c r="D764" s="46"/>
      <c r="E764" s="48"/>
      <c r="F764" s="246"/>
      <c r="G764" s="47"/>
      <c r="H764" s="47"/>
      <c r="I764" s="255"/>
      <c r="J764" s="246"/>
      <c r="K764" s="246"/>
      <c r="L764" s="246"/>
      <c r="M764" s="245"/>
      <c r="N764" s="246"/>
      <c r="O764" s="246"/>
      <c r="P764" s="246"/>
      <c r="Q764" s="245"/>
      <c r="R764" s="246"/>
      <c r="S764" s="246"/>
      <c r="T764" s="246"/>
      <c r="U764" s="245"/>
      <c r="V764" s="246"/>
      <c r="W764" s="46"/>
      <c r="X764" s="402"/>
      <c r="Y764" s="402"/>
      <c r="Z764" s="402"/>
      <c r="AA764" s="402"/>
      <c r="AB764" s="402"/>
      <c r="AC764" s="402"/>
      <c r="AD764" s="402"/>
      <c r="AE764" s="402"/>
      <c r="AF764" s="402"/>
      <c r="AG764" s="402"/>
      <c r="AH764" s="402"/>
      <c r="AI764" s="402"/>
      <c r="AJ764" s="402"/>
      <c r="AK764" s="402"/>
      <c r="AL764" s="402"/>
      <c r="AM764" s="402"/>
      <c r="AN764" s="402"/>
      <c r="AO764" s="402"/>
      <c r="AP764" s="41"/>
      <c r="AQ764" s="86"/>
      <c r="AR764" s="86"/>
      <c r="AS764" s="86"/>
    </row>
    <row r="765" spans="2:45" ht="18" customHeight="1" thickBot="1" x14ac:dyDescent="0.2">
      <c r="B765" s="42">
        <v>49</v>
      </c>
      <c r="C765" s="46"/>
      <c r="D765" s="46"/>
      <c r="E765" s="48"/>
      <c r="F765" s="246"/>
      <c r="G765" s="47"/>
      <c r="H765" s="47"/>
      <c r="I765" s="261" t="str">
        <f>IF(AQ763=2,"入力してください→",IF(AQ763=1,"入力不要です→",""))</f>
        <v/>
      </c>
      <c r="J765" s="387"/>
      <c r="K765" s="388"/>
      <c r="L765" s="389"/>
      <c r="M765" s="245"/>
      <c r="N765" s="387"/>
      <c r="O765" s="388"/>
      <c r="P765" s="389"/>
      <c r="Q765" s="245"/>
      <c r="R765" s="387"/>
      <c r="S765" s="388"/>
      <c r="T765" s="389"/>
      <c r="U765" s="245"/>
      <c r="V765" s="249"/>
      <c r="W765" s="46"/>
      <c r="X765" s="402"/>
      <c r="Y765" s="402"/>
      <c r="Z765" s="402"/>
      <c r="AA765" s="402"/>
      <c r="AB765" s="402"/>
      <c r="AC765" s="402"/>
      <c r="AD765" s="402"/>
      <c r="AE765" s="402"/>
      <c r="AF765" s="402"/>
      <c r="AG765" s="402"/>
      <c r="AH765" s="402"/>
      <c r="AI765" s="402"/>
      <c r="AJ765" s="402"/>
      <c r="AK765" s="402"/>
      <c r="AL765" s="402"/>
      <c r="AM765" s="402"/>
      <c r="AN765" s="402"/>
      <c r="AO765" s="402"/>
      <c r="AP765" s="41"/>
      <c r="AQ765" s="86"/>
      <c r="AR765" s="86"/>
      <c r="AS765" s="86"/>
    </row>
    <row r="766" spans="2:45" ht="5.0999999999999996" customHeight="1" thickBot="1" x14ac:dyDescent="0.2">
      <c r="C766" s="46"/>
      <c r="D766" s="46"/>
      <c r="E766" s="48"/>
      <c r="F766" s="246"/>
      <c r="G766" s="47"/>
      <c r="H766" s="47"/>
      <c r="I766" s="255"/>
      <c r="J766" s="246"/>
      <c r="K766" s="246"/>
      <c r="L766" s="246"/>
      <c r="M766" s="245"/>
      <c r="N766" s="246"/>
      <c r="O766" s="246"/>
      <c r="P766" s="246"/>
      <c r="Q766" s="245"/>
      <c r="R766" s="246"/>
      <c r="S766" s="246"/>
      <c r="T766" s="246"/>
      <c r="U766" s="245"/>
      <c r="V766" s="246"/>
      <c r="W766" s="46"/>
      <c r="X766" s="296" t="s">
        <v>212</v>
      </c>
      <c r="Y766" s="296"/>
      <c r="Z766" s="296"/>
      <c r="AA766" s="296"/>
      <c r="AB766" s="296"/>
      <c r="AC766" s="296"/>
      <c r="AD766" s="296"/>
      <c r="AE766" s="296"/>
      <c r="AF766" s="296"/>
      <c r="AG766" s="296"/>
      <c r="AH766" s="296"/>
      <c r="AI766" s="296"/>
      <c r="AJ766" s="296"/>
      <c r="AK766" s="296"/>
      <c r="AL766" s="296"/>
      <c r="AM766" s="296"/>
      <c r="AN766" s="296"/>
      <c r="AO766" s="296"/>
      <c r="AP766" s="41"/>
      <c r="AQ766" s="86"/>
      <c r="AR766" s="86"/>
      <c r="AS766" s="86"/>
    </row>
    <row r="767" spans="2:45" ht="18" customHeight="1" thickBot="1" x14ac:dyDescent="0.2">
      <c r="B767" s="42">
        <v>49</v>
      </c>
      <c r="C767" s="46"/>
      <c r="D767" s="46"/>
      <c r="E767" s="48" t="s">
        <v>74</v>
      </c>
      <c r="F767" s="80"/>
      <c r="G767" s="47"/>
      <c r="H767" s="109"/>
      <c r="I767" s="255"/>
      <c r="J767" s="366" t="str">
        <f>IFERROR(VLOOKUP($F767,補助対象機器一覧20220831!$A$2:$K$200,2,FALSE),"")</f>
        <v/>
      </c>
      <c r="K767" s="367"/>
      <c r="L767" s="368"/>
      <c r="M767" s="245"/>
      <c r="N767" s="366" t="str">
        <f>IFERROR(VLOOKUP($F767,補助対象機器一覧20220831!$A$2:$K$200,7,FALSE),"")</f>
        <v/>
      </c>
      <c r="O767" s="367"/>
      <c r="P767" s="368"/>
      <c r="Q767" s="245"/>
      <c r="R767" s="366" t="str">
        <f>IFERROR(VLOOKUP($F767,補助対象機器一覧20220831!$A$2:$K$200,8,FALSE),"")</f>
        <v/>
      </c>
      <c r="S767" s="367"/>
      <c r="T767" s="368"/>
      <c r="U767" s="245"/>
      <c r="V767" s="244" t="str">
        <f>IFERROR(VLOOKUP($F767,補助対象機器一覧20220831!$A$2:$K$200,9,FALSE),"")</f>
        <v/>
      </c>
      <c r="W767" s="46"/>
      <c r="X767" s="402" t="str">
        <f>IF($B767&lt;=入力シート!$F$85,""&amp;中間シート!X660,"")</f>
        <v/>
      </c>
      <c r="Y767" s="402"/>
      <c r="Z767" s="402"/>
      <c r="AA767" s="402"/>
      <c r="AB767" s="402"/>
      <c r="AC767" s="402"/>
      <c r="AD767" s="402"/>
      <c r="AE767" s="402"/>
      <c r="AF767" s="402"/>
      <c r="AG767" s="402"/>
      <c r="AH767" s="402"/>
      <c r="AI767" s="402"/>
      <c r="AJ767" s="402"/>
      <c r="AK767" s="402"/>
      <c r="AL767" s="402"/>
      <c r="AM767" s="402"/>
      <c r="AN767" s="402"/>
      <c r="AO767" s="402"/>
      <c r="AP767" s="41"/>
      <c r="AQ767" s="81">
        <f>IF(J767&lt;&gt;"",1,IF(H767="なし",2,0))</f>
        <v>0</v>
      </c>
      <c r="AR767" s="86"/>
      <c r="AS767" s="86"/>
    </row>
    <row r="768" spans="2:45" ht="5.0999999999999996" customHeight="1" thickBot="1" x14ac:dyDescent="0.2">
      <c r="C768" s="46"/>
      <c r="D768" s="46"/>
      <c r="E768" s="48"/>
      <c r="F768" s="246"/>
      <c r="G768" s="47"/>
      <c r="H768" s="47"/>
      <c r="I768" s="255"/>
      <c r="J768" s="246"/>
      <c r="K768" s="246"/>
      <c r="L768" s="246"/>
      <c r="M768" s="245"/>
      <c r="N768" s="246"/>
      <c r="O768" s="246"/>
      <c r="P768" s="246"/>
      <c r="Q768" s="245"/>
      <c r="R768" s="246"/>
      <c r="S768" s="246"/>
      <c r="T768" s="246"/>
      <c r="U768" s="245"/>
      <c r="V768" s="246"/>
      <c r="W768" s="46"/>
      <c r="X768" s="402"/>
      <c r="Y768" s="402"/>
      <c r="Z768" s="402"/>
      <c r="AA768" s="402"/>
      <c r="AB768" s="402"/>
      <c r="AC768" s="402"/>
      <c r="AD768" s="402"/>
      <c r="AE768" s="402"/>
      <c r="AF768" s="402"/>
      <c r="AG768" s="402"/>
      <c r="AH768" s="402"/>
      <c r="AI768" s="402"/>
      <c r="AJ768" s="402"/>
      <c r="AK768" s="402"/>
      <c r="AL768" s="402"/>
      <c r="AM768" s="402"/>
      <c r="AN768" s="402"/>
      <c r="AO768" s="402"/>
      <c r="AP768" s="41"/>
      <c r="AQ768" s="86"/>
      <c r="AR768" s="86"/>
      <c r="AS768" s="86"/>
    </row>
    <row r="769" spans="2:45" ht="18" customHeight="1" thickBot="1" x14ac:dyDescent="0.2">
      <c r="B769" s="42">
        <v>49</v>
      </c>
      <c r="C769" s="46"/>
      <c r="D769" s="46"/>
      <c r="E769" s="47"/>
      <c r="F769" s="246"/>
      <c r="G769" s="47"/>
      <c r="H769" s="47"/>
      <c r="I769" s="261" t="str">
        <f>IF(AQ767=2,"入力してください→",IF(AQ767=1,"入力不要です→",""))</f>
        <v/>
      </c>
      <c r="J769" s="387"/>
      <c r="K769" s="388"/>
      <c r="L769" s="389"/>
      <c r="M769" s="245"/>
      <c r="N769" s="387"/>
      <c r="O769" s="388"/>
      <c r="P769" s="389"/>
      <c r="Q769" s="245"/>
      <c r="R769" s="387"/>
      <c r="S769" s="388"/>
      <c r="T769" s="389"/>
      <c r="U769" s="245"/>
      <c r="V769" s="249"/>
      <c r="W769" s="46"/>
      <c r="X769" s="402"/>
      <c r="Y769" s="402"/>
      <c r="Z769" s="402"/>
      <c r="AA769" s="402"/>
      <c r="AB769" s="402"/>
      <c r="AC769" s="402"/>
      <c r="AD769" s="402"/>
      <c r="AE769" s="402"/>
      <c r="AF769" s="402"/>
      <c r="AG769" s="402"/>
      <c r="AH769" s="402"/>
      <c r="AI769" s="402"/>
      <c r="AJ769" s="402"/>
      <c r="AK769" s="402"/>
      <c r="AL769" s="402"/>
      <c r="AM769" s="402"/>
      <c r="AN769" s="402"/>
      <c r="AO769" s="402"/>
      <c r="AP769" s="41"/>
      <c r="AQ769" s="86"/>
      <c r="AR769" s="86"/>
      <c r="AS769" s="86"/>
    </row>
    <row r="770" spans="2:45" x14ac:dyDescent="0.15">
      <c r="C770" s="46"/>
      <c r="D770" s="46"/>
      <c r="E770" s="47"/>
      <c r="F770" s="246"/>
      <c r="G770" s="47"/>
      <c r="H770" s="47"/>
      <c r="I770" s="257"/>
      <c r="J770" s="245"/>
      <c r="K770" s="245"/>
      <c r="L770" s="245"/>
      <c r="M770" s="245"/>
      <c r="N770" s="245"/>
      <c r="O770" s="245"/>
      <c r="P770" s="245"/>
      <c r="Q770" s="245"/>
      <c r="R770" s="245"/>
      <c r="S770" s="245"/>
      <c r="T770" s="245"/>
      <c r="U770" s="245"/>
      <c r="V770" s="245"/>
      <c r="W770" s="46"/>
      <c r="X770" s="296" t="s">
        <v>212</v>
      </c>
      <c r="Y770" s="296"/>
      <c r="Z770" s="296"/>
      <c r="AA770" s="296"/>
      <c r="AB770" s="296"/>
      <c r="AC770" s="296"/>
      <c r="AD770" s="296"/>
      <c r="AE770" s="296"/>
      <c r="AF770" s="296"/>
      <c r="AG770" s="296"/>
      <c r="AH770" s="296"/>
      <c r="AI770" s="296"/>
      <c r="AJ770" s="296"/>
      <c r="AK770" s="296"/>
      <c r="AL770" s="296"/>
      <c r="AM770" s="296"/>
      <c r="AN770" s="296"/>
      <c r="AO770" s="296"/>
      <c r="AQ770" s="86"/>
      <c r="AR770" s="86"/>
      <c r="AS770" s="86"/>
    </row>
    <row r="771" spans="2:45" ht="14.25" thickBot="1" x14ac:dyDescent="0.2">
      <c r="C771" s="86"/>
      <c r="D771" s="86"/>
      <c r="E771" s="93"/>
      <c r="F771" s="247"/>
      <c r="G771" s="93"/>
      <c r="H771" s="93"/>
      <c r="I771" s="258"/>
      <c r="J771" s="248"/>
      <c r="K771" s="248"/>
      <c r="L771" s="248"/>
      <c r="M771" s="248"/>
      <c r="N771" s="248"/>
      <c r="O771" s="248"/>
      <c r="P771" s="248"/>
      <c r="Q771" s="248"/>
      <c r="R771" s="248"/>
      <c r="S771" s="248"/>
      <c r="T771" s="248"/>
      <c r="U771" s="248"/>
      <c r="V771" s="248"/>
      <c r="W771" s="86"/>
      <c r="X771" s="296" t="s">
        <v>212</v>
      </c>
      <c r="Y771" s="296"/>
      <c r="Z771" s="296"/>
      <c r="AA771" s="296"/>
      <c r="AB771" s="296"/>
      <c r="AC771" s="296"/>
      <c r="AD771" s="296"/>
      <c r="AE771" s="296"/>
      <c r="AF771" s="296"/>
      <c r="AG771" s="296"/>
      <c r="AH771" s="296"/>
      <c r="AI771" s="296"/>
      <c r="AJ771" s="296"/>
      <c r="AK771" s="296"/>
      <c r="AL771" s="296"/>
      <c r="AM771" s="296"/>
      <c r="AN771" s="296"/>
      <c r="AO771" s="296"/>
      <c r="AQ771" s="86"/>
      <c r="AR771" s="86"/>
      <c r="AS771" s="86"/>
    </row>
    <row r="772" spans="2:45" ht="18" customHeight="1" thickBot="1" x14ac:dyDescent="0.2">
      <c r="B772" s="42">
        <v>50</v>
      </c>
      <c r="C772" s="86"/>
      <c r="D772" s="94" t="s">
        <v>205</v>
      </c>
      <c r="E772" s="95" t="s">
        <v>72</v>
      </c>
      <c r="F772" s="80"/>
      <c r="G772" s="86"/>
      <c r="H772" s="80"/>
      <c r="I772" s="259"/>
      <c r="J772" s="366" t="str">
        <f>IFERROR(VLOOKUP($F772,補助対象機器一覧20220831!$A$2:$K$200,2,FALSE),"")</f>
        <v/>
      </c>
      <c r="K772" s="367"/>
      <c r="L772" s="368"/>
      <c r="M772" s="248"/>
      <c r="N772" s="366" t="str">
        <f>IFERROR(VLOOKUP($F772,補助対象機器一覧20220831!$A$2:$K$200,7,FALSE),"")</f>
        <v/>
      </c>
      <c r="O772" s="367"/>
      <c r="P772" s="368"/>
      <c r="Q772" s="248"/>
      <c r="R772" s="366" t="str">
        <f>IFERROR(VLOOKUP($F772,補助対象機器一覧20220831!$A$2:$K$200,8,FALSE),"")</f>
        <v/>
      </c>
      <c r="S772" s="367"/>
      <c r="T772" s="368"/>
      <c r="U772" s="248"/>
      <c r="V772" s="244" t="str">
        <f>IFERROR(VLOOKUP($F772,補助対象機器一覧20220831!$A$2:$K$200,9,FALSE),"")</f>
        <v/>
      </c>
      <c r="W772" s="86"/>
      <c r="X772" s="402" t="str">
        <f>IF($B772&lt;=入力シート!$F$85,""&amp;中間シート!X661,"")</f>
        <v/>
      </c>
      <c r="Y772" s="402"/>
      <c r="Z772" s="402"/>
      <c r="AA772" s="402"/>
      <c r="AB772" s="402"/>
      <c r="AC772" s="402"/>
      <c r="AD772" s="402"/>
      <c r="AE772" s="402"/>
      <c r="AF772" s="402"/>
      <c r="AG772" s="402"/>
      <c r="AH772" s="402"/>
      <c r="AI772" s="402"/>
      <c r="AJ772" s="402"/>
      <c r="AK772" s="402"/>
      <c r="AL772" s="402"/>
      <c r="AM772" s="402"/>
      <c r="AN772" s="402"/>
      <c r="AO772" s="402"/>
      <c r="AQ772" s="81">
        <f>IF(J772&lt;&gt;"",1,IF(H772="なし",2,0))</f>
        <v>0</v>
      </c>
      <c r="AR772" s="86"/>
      <c r="AS772" s="86"/>
    </row>
    <row r="773" spans="2:45" ht="5.0999999999999996" customHeight="1" thickBot="1" x14ac:dyDescent="0.2">
      <c r="C773" s="86"/>
      <c r="D773" s="94"/>
      <c r="E773" s="95"/>
      <c r="F773" s="248"/>
      <c r="G773" s="86"/>
      <c r="H773" s="86"/>
      <c r="I773" s="259"/>
      <c r="J773" s="248"/>
      <c r="K773" s="248"/>
      <c r="L773" s="248"/>
      <c r="M773" s="248"/>
      <c r="N773" s="248"/>
      <c r="O773" s="248"/>
      <c r="P773" s="248"/>
      <c r="Q773" s="248"/>
      <c r="R773" s="248"/>
      <c r="S773" s="248"/>
      <c r="T773" s="248"/>
      <c r="U773" s="248"/>
      <c r="V773" s="248"/>
      <c r="W773" s="86"/>
      <c r="X773" s="402"/>
      <c r="Y773" s="402"/>
      <c r="Z773" s="402"/>
      <c r="AA773" s="402"/>
      <c r="AB773" s="402"/>
      <c r="AC773" s="402"/>
      <c r="AD773" s="402"/>
      <c r="AE773" s="402"/>
      <c r="AF773" s="402"/>
      <c r="AG773" s="402"/>
      <c r="AH773" s="402"/>
      <c r="AI773" s="402"/>
      <c r="AJ773" s="402"/>
      <c r="AK773" s="402"/>
      <c r="AL773" s="402"/>
      <c r="AM773" s="402"/>
      <c r="AN773" s="402"/>
      <c r="AO773" s="402"/>
      <c r="AP773" s="41"/>
      <c r="AQ773" s="86"/>
      <c r="AR773" s="86"/>
      <c r="AS773" s="86"/>
    </row>
    <row r="774" spans="2:45" ht="18" customHeight="1" thickBot="1" x14ac:dyDescent="0.2">
      <c r="B774" s="42">
        <v>50</v>
      </c>
      <c r="C774" s="86"/>
      <c r="D774" s="94"/>
      <c r="E774" s="95"/>
      <c r="F774" s="247"/>
      <c r="G774" s="86"/>
      <c r="H774" s="86"/>
      <c r="I774" s="260" t="str">
        <f>IF(AQ772=2,"入力してください→",IF(AQ772=1,"入力不要です→",""))</f>
        <v/>
      </c>
      <c r="J774" s="387"/>
      <c r="K774" s="388"/>
      <c r="L774" s="389"/>
      <c r="M774" s="248"/>
      <c r="N774" s="387"/>
      <c r="O774" s="388"/>
      <c r="P774" s="389"/>
      <c r="Q774" s="248"/>
      <c r="R774" s="387"/>
      <c r="S774" s="388"/>
      <c r="T774" s="389"/>
      <c r="U774" s="248"/>
      <c r="V774" s="249"/>
      <c r="W774" s="86"/>
      <c r="X774" s="402"/>
      <c r="Y774" s="402"/>
      <c r="Z774" s="402"/>
      <c r="AA774" s="402"/>
      <c r="AB774" s="402"/>
      <c r="AC774" s="402"/>
      <c r="AD774" s="402"/>
      <c r="AE774" s="402"/>
      <c r="AF774" s="402"/>
      <c r="AG774" s="402"/>
      <c r="AH774" s="402"/>
      <c r="AI774" s="402"/>
      <c r="AJ774" s="402"/>
      <c r="AK774" s="402"/>
      <c r="AL774" s="402"/>
      <c r="AM774" s="402"/>
      <c r="AN774" s="402"/>
      <c r="AO774" s="402"/>
      <c r="AP774" s="41"/>
      <c r="AQ774" s="86"/>
      <c r="AR774" s="86"/>
      <c r="AS774" s="86"/>
    </row>
    <row r="775" spans="2:45" ht="5.0999999999999996" customHeight="1" thickBot="1" x14ac:dyDescent="0.2">
      <c r="C775" s="86"/>
      <c r="D775" s="86"/>
      <c r="E775" s="93"/>
      <c r="F775" s="248"/>
      <c r="G775" s="93"/>
      <c r="H775" s="93"/>
      <c r="I775" s="259"/>
      <c r="J775" s="248"/>
      <c r="K775" s="248"/>
      <c r="L775" s="248"/>
      <c r="M775" s="248"/>
      <c r="N775" s="248"/>
      <c r="O775" s="248"/>
      <c r="P775" s="248"/>
      <c r="Q775" s="248"/>
      <c r="R775" s="248"/>
      <c r="S775" s="248"/>
      <c r="T775" s="248"/>
      <c r="U775" s="248"/>
      <c r="V775" s="248"/>
      <c r="W775" s="86"/>
      <c r="X775" s="296" t="s">
        <v>212</v>
      </c>
      <c r="Y775" s="296"/>
      <c r="Z775" s="296"/>
      <c r="AA775" s="296"/>
      <c r="AB775" s="296"/>
      <c r="AC775" s="296"/>
      <c r="AD775" s="296"/>
      <c r="AE775" s="296"/>
      <c r="AF775" s="296"/>
      <c r="AG775" s="296"/>
      <c r="AH775" s="296"/>
      <c r="AI775" s="296"/>
      <c r="AJ775" s="296"/>
      <c r="AK775" s="296"/>
      <c r="AL775" s="296"/>
      <c r="AM775" s="296"/>
      <c r="AN775" s="296"/>
      <c r="AO775" s="296"/>
      <c r="AP775" s="41"/>
      <c r="AQ775" s="86"/>
      <c r="AR775" s="86"/>
      <c r="AS775" s="86"/>
    </row>
    <row r="776" spans="2:45" ht="18" customHeight="1" thickBot="1" x14ac:dyDescent="0.2">
      <c r="B776" s="42">
        <v>50</v>
      </c>
      <c r="C776" s="86"/>
      <c r="D776" s="86"/>
      <c r="E776" s="95" t="s">
        <v>73</v>
      </c>
      <c r="F776" s="80"/>
      <c r="G776" s="93"/>
      <c r="H776" s="80"/>
      <c r="I776" s="259"/>
      <c r="J776" s="366" t="str">
        <f>IFERROR(VLOOKUP($F776,補助対象機器一覧20220831!$A$2:$K$200,2,FALSE),"")</f>
        <v/>
      </c>
      <c r="K776" s="367"/>
      <c r="L776" s="368"/>
      <c r="M776" s="248"/>
      <c r="N776" s="366" t="str">
        <f>IFERROR(VLOOKUP($F776,補助対象機器一覧20220831!$A$2:$K$200,7,FALSE),"")</f>
        <v/>
      </c>
      <c r="O776" s="367"/>
      <c r="P776" s="368"/>
      <c r="Q776" s="248"/>
      <c r="R776" s="366" t="str">
        <f>IFERROR(VLOOKUP($F776,補助対象機器一覧20220831!$A$2:$K$200,8,FALSE),"")</f>
        <v/>
      </c>
      <c r="S776" s="367"/>
      <c r="T776" s="368"/>
      <c r="U776" s="248"/>
      <c r="V776" s="244" t="str">
        <f>IFERROR(VLOOKUP($F776,補助対象機器一覧20220831!$A$2:$K$200,9,FALSE),"")</f>
        <v/>
      </c>
      <c r="W776" s="86"/>
      <c r="X776" s="402" t="str">
        <f>IF($B776&lt;=入力シート!$F$85,""&amp;中間シート!X662,"")</f>
        <v/>
      </c>
      <c r="Y776" s="402"/>
      <c r="Z776" s="402"/>
      <c r="AA776" s="402"/>
      <c r="AB776" s="402"/>
      <c r="AC776" s="402"/>
      <c r="AD776" s="402"/>
      <c r="AE776" s="402"/>
      <c r="AF776" s="402"/>
      <c r="AG776" s="402"/>
      <c r="AH776" s="402"/>
      <c r="AI776" s="402"/>
      <c r="AJ776" s="402"/>
      <c r="AK776" s="402"/>
      <c r="AL776" s="402"/>
      <c r="AM776" s="402"/>
      <c r="AN776" s="402"/>
      <c r="AO776" s="402"/>
      <c r="AP776" s="41"/>
      <c r="AQ776" s="81">
        <f>IF(J776&lt;&gt;"",1,IF(H776="なし",2,0))</f>
        <v>0</v>
      </c>
      <c r="AR776" s="86"/>
      <c r="AS776" s="86"/>
    </row>
    <row r="777" spans="2:45" ht="5.0999999999999996" customHeight="1" thickBot="1" x14ac:dyDescent="0.2">
      <c r="C777" s="86"/>
      <c r="D777" s="86"/>
      <c r="E777" s="95"/>
      <c r="F777" s="247"/>
      <c r="G777" s="93"/>
      <c r="H777" s="93"/>
      <c r="I777" s="259"/>
      <c r="J777" s="247"/>
      <c r="K777" s="247"/>
      <c r="L777" s="247"/>
      <c r="M777" s="248"/>
      <c r="N777" s="247"/>
      <c r="O777" s="247"/>
      <c r="P777" s="247"/>
      <c r="Q777" s="248"/>
      <c r="R777" s="247"/>
      <c r="S777" s="247"/>
      <c r="T777" s="247"/>
      <c r="U777" s="248"/>
      <c r="V777" s="247"/>
      <c r="W777" s="86"/>
      <c r="X777" s="402"/>
      <c r="Y777" s="402"/>
      <c r="Z777" s="402"/>
      <c r="AA777" s="402"/>
      <c r="AB777" s="402"/>
      <c r="AC777" s="402"/>
      <c r="AD777" s="402"/>
      <c r="AE777" s="402"/>
      <c r="AF777" s="402"/>
      <c r="AG777" s="402"/>
      <c r="AH777" s="402"/>
      <c r="AI777" s="402"/>
      <c r="AJ777" s="402"/>
      <c r="AK777" s="402"/>
      <c r="AL777" s="402"/>
      <c r="AM777" s="402"/>
      <c r="AN777" s="402"/>
      <c r="AO777" s="402"/>
      <c r="AP777" s="41"/>
      <c r="AQ777" s="86"/>
      <c r="AR777" s="86"/>
      <c r="AS777" s="86"/>
    </row>
    <row r="778" spans="2:45" ht="18" customHeight="1" thickBot="1" x14ac:dyDescent="0.2">
      <c r="B778" s="42">
        <v>50</v>
      </c>
      <c r="C778" s="86"/>
      <c r="D778" s="86"/>
      <c r="E778" s="95"/>
      <c r="F778" s="247"/>
      <c r="G778" s="93"/>
      <c r="H778" s="93"/>
      <c r="I778" s="260" t="str">
        <f>IF(AQ776=2,"入力してください→",IF(AQ776=1,"入力不要です→",""))</f>
        <v/>
      </c>
      <c r="J778" s="387"/>
      <c r="K778" s="388"/>
      <c r="L778" s="389"/>
      <c r="M778" s="248"/>
      <c r="N778" s="387"/>
      <c r="O778" s="388"/>
      <c r="P778" s="389"/>
      <c r="Q778" s="248"/>
      <c r="R778" s="387"/>
      <c r="S778" s="388"/>
      <c r="T778" s="389"/>
      <c r="U778" s="248"/>
      <c r="V778" s="249"/>
      <c r="W778" s="86"/>
      <c r="X778" s="402"/>
      <c r="Y778" s="402"/>
      <c r="Z778" s="402"/>
      <c r="AA778" s="402"/>
      <c r="AB778" s="402"/>
      <c r="AC778" s="402"/>
      <c r="AD778" s="402"/>
      <c r="AE778" s="402"/>
      <c r="AF778" s="402"/>
      <c r="AG778" s="402"/>
      <c r="AH778" s="402"/>
      <c r="AI778" s="402"/>
      <c r="AJ778" s="402"/>
      <c r="AK778" s="402"/>
      <c r="AL778" s="402"/>
      <c r="AM778" s="402"/>
      <c r="AN778" s="402"/>
      <c r="AO778" s="402"/>
      <c r="AP778" s="41"/>
      <c r="AQ778" s="86"/>
      <c r="AR778" s="86"/>
      <c r="AS778" s="86"/>
    </row>
    <row r="779" spans="2:45" ht="5.0999999999999996" customHeight="1" thickBot="1" x14ac:dyDescent="0.2">
      <c r="C779" s="86"/>
      <c r="D779" s="86"/>
      <c r="E779" s="95"/>
      <c r="F779" s="247"/>
      <c r="G779" s="93"/>
      <c r="H779" s="93"/>
      <c r="I779" s="259"/>
      <c r="J779" s="247"/>
      <c r="K779" s="247"/>
      <c r="L779" s="247"/>
      <c r="M779" s="248"/>
      <c r="N779" s="247"/>
      <c r="O779" s="247"/>
      <c r="P779" s="247"/>
      <c r="Q779" s="248"/>
      <c r="R779" s="247"/>
      <c r="S779" s="247"/>
      <c r="T779" s="247"/>
      <c r="U779" s="248"/>
      <c r="V779" s="247"/>
      <c r="W779" s="86"/>
      <c r="X779" s="296" t="s">
        <v>212</v>
      </c>
      <c r="Y779" s="296"/>
      <c r="Z779" s="296"/>
      <c r="AA779" s="296"/>
      <c r="AB779" s="296"/>
      <c r="AC779" s="296"/>
      <c r="AD779" s="296"/>
      <c r="AE779" s="296"/>
      <c r="AF779" s="296"/>
      <c r="AG779" s="296"/>
      <c r="AH779" s="296"/>
      <c r="AI779" s="296"/>
      <c r="AJ779" s="296"/>
      <c r="AK779" s="296"/>
      <c r="AL779" s="296"/>
      <c r="AM779" s="296"/>
      <c r="AN779" s="296"/>
      <c r="AO779" s="296"/>
      <c r="AP779" s="41"/>
      <c r="AQ779" s="86"/>
      <c r="AR779" s="86"/>
      <c r="AS779" s="86"/>
    </row>
    <row r="780" spans="2:45" ht="18" customHeight="1" thickBot="1" x14ac:dyDescent="0.2">
      <c r="B780" s="42">
        <v>50</v>
      </c>
      <c r="C780" s="86"/>
      <c r="D780" s="86"/>
      <c r="E780" s="95" t="s">
        <v>74</v>
      </c>
      <c r="F780" s="80"/>
      <c r="G780" s="93"/>
      <c r="H780" s="80"/>
      <c r="I780" s="259"/>
      <c r="J780" s="366" t="str">
        <f>IFERROR(VLOOKUP($F780,補助対象機器一覧20220831!$A$2:$K$200,2,FALSE),"")</f>
        <v/>
      </c>
      <c r="K780" s="367"/>
      <c r="L780" s="368"/>
      <c r="M780" s="248"/>
      <c r="N780" s="366" t="str">
        <f>IFERROR(VLOOKUP($F780,補助対象機器一覧20220831!$A$2:$K$200,7,FALSE),"")</f>
        <v/>
      </c>
      <c r="O780" s="367"/>
      <c r="P780" s="368"/>
      <c r="Q780" s="248"/>
      <c r="R780" s="366" t="str">
        <f>IFERROR(VLOOKUP($F780,補助対象機器一覧20220831!$A$2:$K$200,8,FALSE),"")</f>
        <v/>
      </c>
      <c r="S780" s="367"/>
      <c r="T780" s="368"/>
      <c r="U780" s="248"/>
      <c r="V780" s="244" t="str">
        <f>IFERROR(VLOOKUP($F780,補助対象機器一覧20220831!$A$2:$K$200,9,FALSE),"")</f>
        <v/>
      </c>
      <c r="W780" s="86"/>
      <c r="X780" s="402" t="str">
        <f>IF($B780&lt;=入力シート!$F$85,""&amp;中間シート!X663,"")</f>
        <v/>
      </c>
      <c r="Y780" s="402"/>
      <c r="Z780" s="402"/>
      <c r="AA780" s="402"/>
      <c r="AB780" s="402"/>
      <c r="AC780" s="402"/>
      <c r="AD780" s="402"/>
      <c r="AE780" s="402"/>
      <c r="AF780" s="402"/>
      <c r="AG780" s="402"/>
      <c r="AH780" s="402"/>
      <c r="AI780" s="402"/>
      <c r="AJ780" s="402"/>
      <c r="AK780" s="402"/>
      <c r="AL780" s="402"/>
      <c r="AM780" s="402"/>
      <c r="AN780" s="402"/>
      <c r="AO780" s="402"/>
      <c r="AP780" s="41"/>
      <c r="AQ780" s="81">
        <f>IF(J780&lt;&gt;"",1,IF(H780="なし",2,0))</f>
        <v>0</v>
      </c>
      <c r="AR780" s="86"/>
      <c r="AS780" s="86"/>
    </row>
    <row r="781" spans="2:45" ht="5.0999999999999996" customHeight="1" thickBot="1" x14ac:dyDescent="0.2">
      <c r="C781" s="86"/>
      <c r="D781" s="86"/>
      <c r="E781" s="95"/>
      <c r="F781" s="93"/>
      <c r="G781" s="93"/>
      <c r="H781" s="247"/>
      <c r="I781" s="259"/>
      <c r="J781" s="247"/>
      <c r="K781" s="247"/>
      <c r="L781" s="247"/>
      <c r="M781" s="248"/>
      <c r="N781" s="247"/>
      <c r="O781" s="247"/>
      <c r="P781" s="247"/>
      <c r="Q781" s="248"/>
      <c r="R781" s="247"/>
      <c r="S781" s="247"/>
      <c r="T781" s="247"/>
      <c r="U781" s="248"/>
      <c r="V781" s="247"/>
      <c r="W781" s="86"/>
      <c r="X781" s="402"/>
      <c r="Y781" s="402"/>
      <c r="Z781" s="402"/>
      <c r="AA781" s="402"/>
      <c r="AB781" s="402"/>
      <c r="AC781" s="402"/>
      <c r="AD781" s="402"/>
      <c r="AE781" s="402"/>
      <c r="AF781" s="402"/>
      <c r="AG781" s="402"/>
      <c r="AH781" s="402"/>
      <c r="AI781" s="402"/>
      <c r="AJ781" s="402"/>
      <c r="AK781" s="402"/>
      <c r="AL781" s="402"/>
      <c r="AM781" s="402"/>
      <c r="AN781" s="402"/>
      <c r="AO781" s="402"/>
      <c r="AP781" s="41"/>
      <c r="AQ781" s="86"/>
      <c r="AR781" s="86"/>
      <c r="AS781" s="86"/>
    </row>
    <row r="782" spans="2:45" ht="18" customHeight="1" thickBot="1" x14ac:dyDescent="0.2">
      <c r="B782" s="42">
        <v>50</v>
      </c>
      <c r="C782" s="86"/>
      <c r="D782" s="86"/>
      <c r="E782" s="93"/>
      <c r="F782" s="93"/>
      <c r="G782" s="93"/>
      <c r="H782" s="247"/>
      <c r="I782" s="260" t="str">
        <f>IF(AQ780=2,"入力してください→",IF(AQ780=1,"入力不要です→",""))</f>
        <v/>
      </c>
      <c r="J782" s="387"/>
      <c r="K782" s="388"/>
      <c r="L782" s="389"/>
      <c r="M782" s="248"/>
      <c r="N782" s="387"/>
      <c r="O782" s="388"/>
      <c r="P782" s="389"/>
      <c r="Q782" s="248"/>
      <c r="R782" s="387"/>
      <c r="S782" s="388"/>
      <c r="T782" s="389"/>
      <c r="U782" s="248"/>
      <c r="V782" s="249"/>
      <c r="W782" s="86"/>
      <c r="X782" s="402"/>
      <c r="Y782" s="402"/>
      <c r="Z782" s="402"/>
      <c r="AA782" s="402"/>
      <c r="AB782" s="402"/>
      <c r="AC782" s="402"/>
      <c r="AD782" s="402"/>
      <c r="AE782" s="402"/>
      <c r="AF782" s="402"/>
      <c r="AG782" s="402"/>
      <c r="AH782" s="402"/>
      <c r="AI782" s="402"/>
      <c r="AJ782" s="402"/>
      <c r="AK782" s="402"/>
      <c r="AL782" s="402"/>
      <c r="AM782" s="402"/>
      <c r="AN782" s="402"/>
      <c r="AO782" s="402"/>
      <c r="AP782" s="41"/>
      <c r="AQ782" s="86"/>
      <c r="AR782" s="86"/>
      <c r="AS782" s="86"/>
    </row>
    <row r="783" spans="2:45" x14ac:dyDescent="0.15">
      <c r="C783" s="86"/>
      <c r="D783" s="86"/>
      <c r="E783" s="93"/>
      <c r="F783" s="93"/>
      <c r="G783" s="93"/>
      <c r="H783" s="93"/>
      <c r="I783" s="258"/>
      <c r="J783" s="86"/>
      <c r="K783" s="86"/>
      <c r="L783" s="86"/>
      <c r="M783" s="86"/>
      <c r="N783" s="86"/>
      <c r="O783" s="86"/>
      <c r="P783" s="86"/>
      <c r="Q783" s="86"/>
      <c r="R783" s="86"/>
      <c r="S783" s="86"/>
      <c r="T783" s="86"/>
      <c r="U783" s="86"/>
      <c r="V783" s="86"/>
      <c r="W783" s="86"/>
      <c r="AQ783" s="86"/>
      <c r="AR783" s="86"/>
      <c r="AS783" s="86"/>
    </row>
    <row r="784" spans="2:45" x14ac:dyDescent="0.15">
      <c r="C784" s="86"/>
      <c r="D784" s="86"/>
      <c r="E784" s="93"/>
      <c r="F784" s="86"/>
      <c r="G784" s="86"/>
      <c r="H784" s="86"/>
      <c r="I784" s="259"/>
      <c r="J784" s="86"/>
      <c r="K784" s="86"/>
      <c r="L784" s="86"/>
      <c r="M784" s="86"/>
      <c r="N784" s="86"/>
      <c r="O784" s="86"/>
      <c r="P784" s="86"/>
      <c r="Q784" s="86"/>
      <c r="R784" s="86"/>
      <c r="S784" s="86"/>
      <c r="T784" s="400" t="s">
        <v>206</v>
      </c>
      <c r="U784" s="400"/>
      <c r="V784" s="400"/>
      <c r="W784" s="86"/>
      <c r="AQ784" s="86"/>
      <c r="AR784" s="86"/>
      <c r="AS784" s="86"/>
    </row>
    <row r="785" spans="3:55" x14ac:dyDescent="0.15">
      <c r="C785" s="86"/>
      <c r="D785" s="86"/>
      <c r="E785" s="93"/>
      <c r="F785" s="86"/>
      <c r="G785" s="86"/>
      <c r="H785" s="86"/>
      <c r="I785" s="259"/>
      <c r="J785" s="86"/>
      <c r="K785" s="86"/>
      <c r="L785" s="86"/>
      <c r="M785" s="86"/>
      <c r="N785" s="86"/>
      <c r="O785" s="86"/>
      <c r="P785" s="86"/>
      <c r="Q785" s="86"/>
      <c r="R785" s="86"/>
      <c r="S785" s="86"/>
      <c r="T785" s="106"/>
      <c r="U785" s="106"/>
      <c r="V785" s="106"/>
      <c r="W785" s="86"/>
      <c r="AQ785" s="86"/>
      <c r="AR785" s="86"/>
      <c r="AS785" s="86"/>
    </row>
    <row r="786" spans="3:55" x14ac:dyDescent="0.15">
      <c r="AQ786" s="86"/>
      <c r="AR786" s="86"/>
      <c r="AS786" s="86"/>
    </row>
    <row r="787" spans="3:55" ht="5.0999999999999996" customHeight="1" x14ac:dyDescent="0.15">
      <c r="C787" s="49"/>
      <c r="D787" s="49"/>
      <c r="E787" s="14"/>
      <c r="F787" s="22"/>
      <c r="G787" s="22"/>
      <c r="H787" s="22"/>
      <c r="I787" s="262"/>
      <c r="J787" s="104"/>
      <c r="K787" s="104"/>
      <c r="L787" s="104"/>
      <c r="M787" s="104"/>
      <c r="N787" s="104"/>
      <c r="O787" s="31"/>
      <c r="P787" s="78"/>
      <c r="Q787" s="22"/>
      <c r="R787" s="78"/>
      <c r="S787" s="78"/>
      <c r="T787" s="22"/>
      <c r="U787" s="78"/>
      <c r="V787" s="78"/>
      <c r="W787" s="49"/>
      <c r="AQ787" s="86"/>
      <c r="AR787" s="86"/>
      <c r="AS787" s="86"/>
    </row>
    <row r="788" spans="3:55" x14ac:dyDescent="0.15">
      <c r="C788" s="49" t="str">
        <f>"５-３．事業場２"&amp;IF(2&lt;中間シート!G60,"～事業場"&amp;DBCS(中間シート!G60),"")&amp;"の補助事業に要する経費を税抜で入力してください。"</f>
        <v>５-３．事業場２の補助事業に要する経費を税抜で入力してください。</v>
      </c>
      <c r="D788" s="49"/>
      <c r="E788" s="50"/>
      <c r="F788" s="49"/>
      <c r="G788" s="49"/>
      <c r="H788" s="49"/>
      <c r="I788" s="252"/>
      <c r="J788" s="49"/>
      <c r="K788" s="49"/>
      <c r="L788" s="49"/>
      <c r="M788" s="49"/>
      <c r="N788" s="49"/>
      <c r="O788" s="49"/>
      <c r="P788" s="49"/>
      <c r="Q788" s="49"/>
      <c r="R788" s="49"/>
      <c r="S788" s="49"/>
      <c r="T788" s="49"/>
      <c r="U788" s="49"/>
      <c r="V788" s="49"/>
      <c r="W788" s="49"/>
      <c r="AQ788" s="86"/>
      <c r="AR788" s="86"/>
      <c r="AS788" s="86"/>
    </row>
    <row r="789" spans="3:55" ht="5.0999999999999996" customHeight="1" x14ac:dyDescent="0.15">
      <c r="C789" s="49"/>
      <c r="D789" s="49"/>
      <c r="E789" s="14"/>
      <c r="F789" s="22"/>
      <c r="G789" s="22"/>
      <c r="H789" s="22"/>
      <c r="I789" s="262"/>
      <c r="J789" s="31"/>
      <c r="K789" s="31"/>
      <c r="L789" s="31"/>
      <c r="M789" s="31"/>
      <c r="N789" s="31"/>
      <c r="O789" s="31"/>
      <c r="P789" s="78"/>
      <c r="Q789" s="22"/>
      <c r="R789" s="78"/>
      <c r="S789" s="78"/>
      <c r="T789" s="22"/>
      <c r="U789" s="78"/>
      <c r="V789" s="78"/>
      <c r="W789" s="49"/>
      <c r="AQ789" s="86"/>
      <c r="AR789" s="86"/>
      <c r="AS789" s="86"/>
    </row>
    <row r="790" spans="3:55" s="74" customFormat="1" x14ac:dyDescent="0.15">
      <c r="C790" s="78"/>
      <c r="D790" s="78" t="s">
        <v>76</v>
      </c>
      <c r="E790" s="78"/>
      <c r="F790" s="78"/>
      <c r="G790" s="78"/>
      <c r="H790" s="78"/>
      <c r="I790" s="263"/>
      <c r="J790" s="78"/>
      <c r="K790" s="78"/>
      <c r="L790" s="78"/>
      <c r="M790" s="78"/>
      <c r="N790" s="78"/>
      <c r="O790" s="78"/>
      <c r="P790" s="78"/>
      <c r="Q790" s="78"/>
      <c r="R790" s="78"/>
      <c r="S790" s="78"/>
      <c r="T790" s="78"/>
      <c r="U790" s="78"/>
      <c r="V790" s="78"/>
      <c r="W790" s="78"/>
      <c r="X790" s="42"/>
      <c r="Y790" s="42"/>
      <c r="Z790" s="42"/>
      <c r="AA790" s="42"/>
      <c r="AB790" s="42"/>
      <c r="AQ790" s="108"/>
      <c r="AR790" s="86"/>
      <c r="AS790" s="108"/>
      <c r="AT790" s="151"/>
      <c r="AU790" s="39"/>
      <c r="AV790" s="39"/>
      <c r="AW790" s="39"/>
      <c r="AX790" s="39"/>
      <c r="AY790" s="39"/>
      <c r="AZ790" s="39"/>
      <c r="BA790" s="39"/>
      <c r="BB790" s="39"/>
      <c r="BC790" s="39"/>
    </row>
    <row r="791" spans="3:55" s="74" customFormat="1" x14ac:dyDescent="0.15">
      <c r="C791" s="78"/>
      <c r="D791" s="78" t="s">
        <v>213</v>
      </c>
      <c r="E791" s="78"/>
      <c r="F791" s="78"/>
      <c r="G791" s="78"/>
      <c r="H791" s="78"/>
      <c r="I791" s="263"/>
      <c r="J791" s="78"/>
      <c r="K791" s="78"/>
      <c r="L791" s="78"/>
      <c r="M791" s="78"/>
      <c r="N791" s="78"/>
      <c r="O791" s="78"/>
      <c r="P791" s="78"/>
      <c r="Q791" s="78"/>
      <c r="R791" s="78"/>
      <c r="S791" s="78"/>
      <c r="T791" s="78"/>
      <c r="U791" s="78"/>
      <c r="V791" s="78"/>
      <c r="W791" s="78"/>
      <c r="X791" s="42"/>
      <c r="Y791" s="42"/>
      <c r="Z791" s="42"/>
      <c r="AA791" s="42"/>
      <c r="AB791" s="42"/>
      <c r="AQ791" s="108"/>
      <c r="AR791" s="86"/>
      <c r="AS791" s="108"/>
      <c r="AT791" s="151"/>
      <c r="AU791" s="39"/>
      <c r="AV791" s="39"/>
      <c r="AW791" s="39"/>
      <c r="AX791" s="39"/>
      <c r="AY791" s="39"/>
      <c r="AZ791" s="39"/>
      <c r="BA791" s="39"/>
      <c r="BB791" s="39"/>
      <c r="BC791" s="39"/>
    </row>
    <row r="792" spans="3:55" s="74" customFormat="1" x14ac:dyDescent="0.15">
      <c r="C792" s="78"/>
      <c r="D792" s="78" t="s">
        <v>214</v>
      </c>
      <c r="E792" s="78"/>
      <c r="F792" s="78"/>
      <c r="G792" s="78"/>
      <c r="H792" s="78"/>
      <c r="I792" s="263"/>
      <c r="J792" s="78"/>
      <c r="K792" s="78"/>
      <c r="L792" s="78"/>
      <c r="M792" s="78"/>
      <c r="N792" s="78"/>
      <c r="O792" s="78"/>
      <c r="P792" s="78"/>
      <c r="Q792" s="78"/>
      <c r="R792" s="78"/>
      <c r="S792" s="78"/>
      <c r="T792" s="78"/>
      <c r="U792" s="78"/>
      <c r="V792" s="78"/>
      <c r="W792" s="78"/>
      <c r="X792" s="42"/>
      <c r="Y792" s="42"/>
      <c r="Z792" s="42"/>
      <c r="AA792" s="42"/>
      <c r="AB792" s="42"/>
      <c r="AQ792" s="108"/>
      <c r="AR792" s="86"/>
      <c r="AS792" s="108"/>
      <c r="AT792" s="151"/>
      <c r="AU792" s="39"/>
      <c r="AV792" s="39"/>
      <c r="AW792" s="39"/>
      <c r="AX792" s="39"/>
      <c r="AY792" s="39"/>
      <c r="AZ792" s="39"/>
      <c r="BA792" s="39"/>
      <c r="BB792" s="39"/>
      <c r="BC792" s="39"/>
    </row>
    <row r="793" spans="3:55" s="74" customFormat="1" x14ac:dyDescent="0.15">
      <c r="C793" s="78"/>
      <c r="D793" s="78"/>
      <c r="E793" s="78"/>
      <c r="F793" s="78"/>
      <c r="G793" s="78"/>
      <c r="H793" s="78"/>
      <c r="I793" s="263"/>
      <c r="J793" s="78"/>
      <c r="K793" s="78"/>
      <c r="L793" s="78"/>
      <c r="M793" s="78"/>
      <c r="N793" s="78"/>
      <c r="O793" s="78"/>
      <c r="P793" s="78"/>
      <c r="Q793" s="78"/>
      <c r="R793" s="78"/>
      <c r="S793" s="78"/>
      <c r="T793" s="78"/>
      <c r="U793" s="78"/>
      <c r="V793" s="78"/>
      <c r="W793" s="78"/>
      <c r="X793" s="42"/>
      <c r="Y793" s="42"/>
      <c r="Z793" s="42"/>
      <c r="AA793" s="42"/>
      <c r="AB793" s="42"/>
      <c r="AQ793" s="108"/>
      <c r="AR793" s="86"/>
      <c r="AS793" s="108"/>
      <c r="AT793" s="151"/>
      <c r="AU793" s="39"/>
      <c r="AV793" s="39"/>
      <c r="AW793" s="39"/>
      <c r="AX793" s="39"/>
      <c r="AY793" s="39"/>
      <c r="AZ793" s="39"/>
      <c r="BA793" s="39"/>
      <c r="BB793" s="39"/>
      <c r="BC793" s="39"/>
    </row>
    <row r="794" spans="3:55" s="74" customFormat="1" x14ac:dyDescent="0.15">
      <c r="C794" s="78"/>
      <c r="D794" s="78" t="s">
        <v>79</v>
      </c>
      <c r="E794" s="78"/>
      <c r="F794" s="78"/>
      <c r="G794" s="78"/>
      <c r="H794" s="78"/>
      <c r="I794" s="263"/>
      <c r="J794" s="78"/>
      <c r="K794" s="78"/>
      <c r="L794" s="78"/>
      <c r="M794" s="78"/>
      <c r="N794" s="78"/>
      <c r="O794" s="78"/>
      <c r="P794" s="78"/>
      <c r="Q794" s="78"/>
      <c r="R794" s="78"/>
      <c r="S794" s="78"/>
      <c r="T794" s="78"/>
      <c r="U794" s="78"/>
      <c r="V794" s="78"/>
      <c r="W794" s="78"/>
      <c r="X794" s="42"/>
      <c r="Y794" s="42"/>
      <c r="Z794" s="42"/>
      <c r="AA794" s="42"/>
      <c r="AB794" s="42"/>
      <c r="AQ794" s="108"/>
      <c r="AR794" s="86"/>
      <c r="AS794" s="108"/>
      <c r="AT794" s="151"/>
      <c r="AU794" s="39"/>
      <c r="AV794" s="39"/>
      <c r="AW794" s="39"/>
      <c r="AX794" s="39"/>
      <c r="AY794" s="39"/>
      <c r="AZ794" s="39"/>
      <c r="BA794" s="39"/>
      <c r="BB794" s="39"/>
      <c r="BC794" s="39"/>
    </row>
    <row r="795" spans="3:55" s="74" customFormat="1" ht="30" customHeight="1" x14ac:dyDescent="0.15">
      <c r="C795" s="78"/>
      <c r="D795" s="393" t="s">
        <v>215</v>
      </c>
      <c r="E795" s="393"/>
      <c r="F795" s="393"/>
      <c r="G795" s="393"/>
      <c r="H795" s="393"/>
      <c r="I795" s="393"/>
      <c r="J795" s="393"/>
      <c r="K795" s="393"/>
      <c r="L795" s="393"/>
      <c r="M795" s="393"/>
      <c r="N795" s="393"/>
      <c r="O795" s="393"/>
      <c r="P795" s="393"/>
      <c r="Q795" s="393"/>
      <c r="R795" s="393"/>
      <c r="S795" s="393"/>
      <c r="T795" s="393"/>
      <c r="U795" s="393"/>
      <c r="V795" s="393"/>
      <c r="W795" s="393"/>
      <c r="X795" s="42"/>
      <c r="Y795" s="42"/>
      <c r="Z795" s="42"/>
      <c r="AA795" s="42"/>
      <c r="AB795" s="42"/>
      <c r="AQ795" s="108"/>
      <c r="AR795" s="86"/>
      <c r="AS795" s="108"/>
      <c r="AT795" s="151"/>
      <c r="AU795" s="39"/>
      <c r="AV795" s="39"/>
      <c r="AW795" s="39"/>
      <c r="AX795" s="39"/>
      <c r="AY795" s="39"/>
      <c r="AZ795" s="39"/>
      <c r="BA795" s="39"/>
      <c r="BB795" s="39"/>
      <c r="BC795" s="39"/>
    </row>
    <row r="796" spans="3:55" s="74" customFormat="1" x14ac:dyDescent="0.15">
      <c r="C796" s="78"/>
      <c r="D796" s="78" t="s">
        <v>216</v>
      </c>
      <c r="E796" s="78"/>
      <c r="F796" s="78"/>
      <c r="G796" s="78"/>
      <c r="H796" s="78"/>
      <c r="I796" s="263"/>
      <c r="J796" s="78"/>
      <c r="K796" s="78"/>
      <c r="L796" s="78"/>
      <c r="M796" s="78"/>
      <c r="N796" s="78"/>
      <c r="O796" s="78"/>
      <c r="P796" s="78"/>
      <c r="Q796" s="78"/>
      <c r="R796" s="78"/>
      <c r="S796" s="78"/>
      <c r="T796" s="78"/>
      <c r="U796" s="78"/>
      <c r="V796" s="78"/>
      <c r="W796" s="78"/>
      <c r="X796" s="42"/>
      <c r="Y796" s="42"/>
      <c r="Z796" s="42"/>
      <c r="AA796" s="42"/>
      <c r="AB796" s="42"/>
      <c r="AQ796" s="108"/>
      <c r="AR796" s="86"/>
      <c r="AS796" s="108"/>
      <c r="AT796" s="151"/>
      <c r="AU796" s="39"/>
      <c r="AV796" s="39"/>
      <c r="AW796" s="39"/>
      <c r="AX796" s="39"/>
      <c r="AY796" s="39"/>
      <c r="AZ796" s="39"/>
      <c r="BA796" s="39"/>
      <c r="BB796" s="39"/>
      <c r="BC796" s="39"/>
    </row>
    <row r="797" spans="3:55" x14ac:dyDescent="0.15">
      <c r="C797" s="49"/>
      <c r="D797" s="49" t="s">
        <v>217</v>
      </c>
      <c r="E797" s="50"/>
      <c r="F797" s="49"/>
      <c r="G797" s="49"/>
      <c r="H797" s="49"/>
      <c r="I797" s="252"/>
      <c r="J797" s="49"/>
      <c r="K797" s="49"/>
      <c r="L797" s="49"/>
      <c r="M797" s="49"/>
      <c r="N797" s="49"/>
      <c r="O797" s="49"/>
      <c r="P797" s="49"/>
      <c r="Q797" s="49"/>
      <c r="R797" s="49"/>
      <c r="S797" s="49"/>
      <c r="T797" s="49"/>
      <c r="U797" s="49"/>
      <c r="V797" s="49"/>
      <c r="W797" s="49"/>
      <c r="AQ797" s="86"/>
      <c r="AR797" s="86"/>
      <c r="AS797" s="86"/>
    </row>
    <row r="798" spans="3:55" x14ac:dyDescent="0.15">
      <c r="C798" s="49"/>
      <c r="D798" s="102" t="s">
        <v>218</v>
      </c>
      <c r="E798" s="50"/>
      <c r="F798" s="49"/>
      <c r="G798" s="49"/>
      <c r="H798" s="49"/>
      <c r="I798" s="252"/>
      <c r="J798" s="49"/>
      <c r="K798" s="49"/>
      <c r="L798" s="49"/>
      <c r="M798" s="49"/>
      <c r="N798" s="49"/>
      <c r="O798" s="49"/>
      <c r="P798" s="49"/>
      <c r="Q798" s="49"/>
      <c r="R798" s="49"/>
      <c r="S798" s="49"/>
      <c r="T798" s="49"/>
      <c r="U798" s="49"/>
      <c r="V798" s="49"/>
      <c r="W798" s="49"/>
      <c r="AQ798" s="86"/>
      <c r="AR798" s="86"/>
      <c r="AS798" s="86"/>
    </row>
    <row r="799" spans="3:55" x14ac:dyDescent="0.15">
      <c r="C799" s="49"/>
      <c r="D799" s="49"/>
      <c r="E799" s="50"/>
      <c r="F799" s="49"/>
      <c r="G799" s="49"/>
      <c r="H799" s="49"/>
      <c r="I799" s="252"/>
      <c r="J799" s="49"/>
      <c r="K799" s="49"/>
      <c r="L799" s="49"/>
      <c r="M799" s="49"/>
      <c r="N799" s="49"/>
      <c r="O799" s="49"/>
      <c r="P799" s="49"/>
      <c r="Q799" s="49"/>
      <c r="R799" s="49"/>
      <c r="S799" s="49"/>
      <c r="T799" s="49"/>
      <c r="U799" s="49"/>
      <c r="V799" s="49"/>
      <c r="W799" s="49"/>
      <c r="AQ799" s="86"/>
      <c r="AR799" s="86"/>
      <c r="AS799" s="86"/>
    </row>
    <row r="800" spans="3:55" ht="27" customHeight="1" x14ac:dyDescent="0.15">
      <c r="C800" s="49"/>
      <c r="D800" s="49"/>
      <c r="E800" s="50"/>
      <c r="F800" s="394" t="s">
        <v>85</v>
      </c>
      <c r="G800" s="394"/>
      <c r="H800" s="394"/>
      <c r="I800" s="264"/>
      <c r="J800" s="29" t="s">
        <v>86</v>
      </c>
      <c r="K800" s="29"/>
      <c r="L800" s="29" t="s">
        <v>87</v>
      </c>
      <c r="M800" s="29"/>
      <c r="N800" s="29" t="s">
        <v>88</v>
      </c>
      <c r="O800" s="29"/>
      <c r="P800" s="96" t="s">
        <v>89</v>
      </c>
      <c r="Q800" s="28"/>
      <c r="R800" s="96" t="s">
        <v>90</v>
      </c>
      <c r="S800" s="96"/>
      <c r="T800" s="27" t="s">
        <v>91</v>
      </c>
      <c r="U800" s="28"/>
      <c r="V800" s="96" t="s">
        <v>92</v>
      </c>
      <c r="W800" s="49"/>
      <c r="AQ800" s="86" t="s">
        <v>93</v>
      </c>
      <c r="AR800" s="86" t="s">
        <v>94</v>
      </c>
      <c r="AS800" s="86" t="s">
        <v>219</v>
      </c>
    </row>
    <row r="801" spans="2:45" ht="14.25" thickBot="1" x14ac:dyDescent="0.2">
      <c r="C801" s="49"/>
      <c r="D801" s="49"/>
      <c r="E801" s="50"/>
      <c r="F801" s="22"/>
      <c r="G801" s="22"/>
      <c r="H801" s="22"/>
      <c r="I801" s="262"/>
      <c r="J801" s="22"/>
      <c r="K801" s="22"/>
      <c r="L801" s="22"/>
      <c r="M801" s="22"/>
      <c r="N801" s="22"/>
      <c r="O801" s="22"/>
      <c r="P801" s="22"/>
      <c r="Q801" s="78"/>
      <c r="R801" s="22"/>
      <c r="S801" s="22"/>
      <c r="T801" s="78"/>
      <c r="U801" s="78"/>
      <c r="V801" s="22"/>
      <c r="W801" s="49"/>
      <c r="AQ801" s="86"/>
      <c r="AR801" s="86"/>
      <c r="AS801" s="86"/>
    </row>
    <row r="802" spans="2:45" ht="18" customHeight="1" thickBot="1" x14ac:dyDescent="0.2">
      <c r="C802" s="49"/>
      <c r="D802" s="52" t="s">
        <v>61</v>
      </c>
      <c r="E802" s="275" t="s">
        <v>220</v>
      </c>
      <c r="F802" s="395" t="str">
        <f>IF(中間シート!F668=1,"含まれている",IF(中間シート!F668=2,"含まれていない",""))</f>
        <v/>
      </c>
      <c r="G802" s="396"/>
      <c r="H802" s="397"/>
      <c r="I802" s="263"/>
      <c r="J802" s="282">
        <f>中間シート!J668</f>
        <v>0</v>
      </c>
      <c r="K802" s="103"/>
      <c r="L802" s="282">
        <f>中間シート!K668</f>
        <v>0</v>
      </c>
      <c r="M802" s="103"/>
      <c r="N802" s="282">
        <f>中間シート!L668</f>
        <v>0</v>
      </c>
      <c r="O802" s="30"/>
      <c r="P802" s="283">
        <f>中間シート!D820</f>
        <v>0</v>
      </c>
      <c r="Q802" s="78"/>
      <c r="R802" s="283">
        <f>中間シート!G820</f>
        <v>0</v>
      </c>
      <c r="S802" s="78"/>
      <c r="T802" s="97" t="s">
        <v>95</v>
      </c>
      <c r="U802" s="78"/>
      <c r="V802" s="283">
        <f>中間シート!H820</f>
        <v>0</v>
      </c>
      <c r="W802" s="49"/>
      <c r="X802" s="42" t="str">
        <f ca="1">""&amp;中間シート!X668</f>
        <v>先に機器情報を入力してください。</v>
      </c>
      <c r="AQ802" s="81">
        <v>1</v>
      </c>
      <c r="AR802" s="86">
        <f>IF(F802="含まれている",1,IF(F802="含まれていない",2,0))</f>
        <v>0</v>
      </c>
      <c r="AS802" s="86" t="str">
        <f>中間シート!P514</f>
        <v/>
      </c>
    </row>
    <row r="803" spans="2:45" ht="5.0999999999999996" customHeight="1" thickBot="1" x14ac:dyDescent="0.2">
      <c r="C803" s="49"/>
      <c r="D803" s="49"/>
      <c r="E803" s="276"/>
      <c r="F803" s="22"/>
      <c r="G803" s="22"/>
      <c r="H803" s="22"/>
      <c r="I803" s="262"/>
      <c r="J803" s="104"/>
      <c r="K803" s="104"/>
      <c r="L803" s="104"/>
      <c r="M803" s="104"/>
      <c r="N803" s="104"/>
      <c r="O803" s="31"/>
      <c r="P803" s="78"/>
      <c r="Q803" s="22"/>
      <c r="R803" s="78"/>
      <c r="S803" s="78"/>
      <c r="T803" s="22"/>
      <c r="U803" s="78"/>
      <c r="V803" s="78"/>
      <c r="W803" s="49"/>
      <c r="AQ803" s="21"/>
      <c r="AR803" s="86"/>
      <c r="AS803" s="86" t="s">
        <v>212</v>
      </c>
    </row>
    <row r="804" spans="2:45" ht="18" customHeight="1" thickBot="1" x14ac:dyDescent="0.2">
      <c r="C804" s="49"/>
      <c r="D804" s="49"/>
      <c r="E804" s="275" t="s">
        <v>221</v>
      </c>
      <c r="F804" s="395" t="str">
        <f>IF(中間シート!F669=1,"含まれている",IF(中間シート!F669=2,"含まれていない",""))</f>
        <v/>
      </c>
      <c r="G804" s="396"/>
      <c r="H804" s="397"/>
      <c r="I804" s="263"/>
      <c r="J804" s="282">
        <f>中間シート!J669</f>
        <v>0</v>
      </c>
      <c r="K804" s="103"/>
      <c r="L804" s="282">
        <f>中間シート!K669</f>
        <v>0</v>
      </c>
      <c r="M804" s="103"/>
      <c r="N804" s="282">
        <f>中間シート!L669</f>
        <v>0</v>
      </c>
      <c r="O804" s="30"/>
      <c r="P804" s="78"/>
      <c r="Q804" s="78"/>
      <c r="R804" s="78"/>
      <c r="S804" s="78"/>
      <c r="T804" s="22"/>
      <c r="U804" s="78"/>
      <c r="V804" s="78"/>
      <c r="W804" s="49"/>
      <c r="X804" s="42" t="str">
        <f ca="1">""&amp;中間シート!X669</f>
        <v/>
      </c>
      <c r="AQ804" s="81">
        <f>中間シート!E669</f>
        <v>0</v>
      </c>
      <c r="AR804" s="86">
        <f>IF(F804="含まれている",1,IF(F804="含まれていない",2,0))</f>
        <v>0</v>
      </c>
      <c r="AS804" s="86" t="str">
        <f>中間シート!P515</f>
        <v/>
      </c>
    </row>
    <row r="805" spans="2:45" ht="5.0999999999999996" customHeight="1" thickBot="1" x14ac:dyDescent="0.2">
      <c r="C805" s="49"/>
      <c r="D805" s="49"/>
      <c r="E805" s="276"/>
      <c r="F805" s="22"/>
      <c r="G805" s="22"/>
      <c r="H805" s="22"/>
      <c r="I805" s="262"/>
      <c r="J805" s="104"/>
      <c r="K805" s="104"/>
      <c r="L805" s="104"/>
      <c r="M805" s="104"/>
      <c r="N805" s="104"/>
      <c r="O805" s="31"/>
      <c r="P805" s="78"/>
      <c r="Q805" s="22"/>
      <c r="R805" s="78"/>
      <c r="S805" s="78"/>
      <c r="T805" s="22"/>
      <c r="U805" s="78"/>
      <c r="V805" s="78"/>
      <c r="W805" s="49"/>
      <c r="AQ805" s="21"/>
      <c r="AR805" s="86"/>
      <c r="AS805" s="86" t="s">
        <v>212</v>
      </c>
    </row>
    <row r="806" spans="2:45" ht="18" customHeight="1" thickBot="1" x14ac:dyDescent="0.2">
      <c r="C806" s="49"/>
      <c r="D806" s="49"/>
      <c r="E806" s="275" t="s">
        <v>222</v>
      </c>
      <c r="F806" s="395" t="str">
        <f>IF(中間シート!F670=1,"含まれている",IF(中間シート!F670=2,"含まれていない",""))</f>
        <v/>
      </c>
      <c r="G806" s="396"/>
      <c r="H806" s="397"/>
      <c r="I806" s="263"/>
      <c r="J806" s="282">
        <f>中間シート!J670</f>
        <v>0</v>
      </c>
      <c r="K806" s="103"/>
      <c r="L806" s="282">
        <f>中間シート!K670</f>
        <v>0</v>
      </c>
      <c r="M806" s="103"/>
      <c r="N806" s="282">
        <f>中間シート!L670</f>
        <v>0</v>
      </c>
      <c r="O806" s="30"/>
      <c r="P806" s="78"/>
      <c r="Q806" s="78"/>
      <c r="R806" s="78"/>
      <c r="S806" s="78"/>
      <c r="T806" s="22"/>
      <c r="U806" s="78"/>
      <c r="V806" s="78"/>
      <c r="W806" s="49"/>
      <c r="X806" s="42" t="str">
        <f ca="1">""&amp;中間シート!X670</f>
        <v/>
      </c>
      <c r="AQ806" s="81">
        <f>中間シート!E670</f>
        <v>0</v>
      </c>
      <c r="AR806" s="86">
        <f>IF(F806="含まれている",1,IF(F806="含まれていない",2,0))</f>
        <v>0</v>
      </c>
      <c r="AS806" s="86" t="str">
        <f>中間シート!P516</f>
        <v/>
      </c>
    </row>
    <row r="807" spans="2:45" x14ac:dyDescent="0.15">
      <c r="C807" s="49"/>
      <c r="D807" s="49"/>
      <c r="E807" s="279"/>
      <c r="F807" s="31"/>
      <c r="G807" s="31"/>
      <c r="H807" s="31"/>
      <c r="I807" s="31"/>
      <c r="J807" s="31"/>
      <c r="K807" s="31"/>
      <c r="L807" s="31"/>
      <c r="M807" s="22"/>
      <c r="N807" s="78"/>
      <c r="O807" s="78"/>
      <c r="P807" s="31"/>
      <c r="Q807" s="78"/>
      <c r="R807" s="78"/>
      <c r="S807" s="78"/>
      <c r="T807" s="78"/>
      <c r="U807" s="78"/>
      <c r="V807" s="78"/>
      <c r="W807" s="49"/>
      <c r="AQ807" s="86"/>
      <c r="AR807" s="86"/>
      <c r="AS807" s="86" t="s">
        <v>212</v>
      </c>
    </row>
    <row r="808" spans="2:45" ht="14.25" thickBot="1" x14ac:dyDescent="0.2">
      <c r="C808" s="89"/>
      <c r="D808" s="89"/>
      <c r="E808" s="280"/>
      <c r="F808" s="89"/>
      <c r="G808" s="89"/>
      <c r="H808" s="89"/>
      <c r="I808" s="265"/>
      <c r="J808" s="89"/>
      <c r="K808" s="89"/>
      <c r="L808" s="89"/>
      <c r="M808" s="89"/>
      <c r="N808" s="89"/>
      <c r="O808" s="89"/>
      <c r="P808" s="89"/>
      <c r="Q808" s="89"/>
      <c r="R808" s="89"/>
      <c r="S808" s="89"/>
      <c r="T808" s="89"/>
      <c r="U808" s="89"/>
      <c r="V808" s="89"/>
      <c r="W808" s="89"/>
      <c r="AQ808" s="86"/>
      <c r="AR808" s="86"/>
      <c r="AS808" s="86" t="s">
        <v>212</v>
      </c>
    </row>
    <row r="809" spans="2:45" ht="18" customHeight="1" thickBot="1" x14ac:dyDescent="0.2">
      <c r="B809" s="42">
        <v>2</v>
      </c>
      <c r="C809" s="89"/>
      <c r="D809" s="91" t="s">
        <v>157</v>
      </c>
      <c r="E809" s="277" t="s">
        <v>220</v>
      </c>
      <c r="F809" s="390"/>
      <c r="G809" s="391"/>
      <c r="H809" s="392"/>
      <c r="I809" s="266"/>
      <c r="J809" s="20"/>
      <c r="K809" s="98"/>
      <c r="L809" s="20"/>
      <c r="M809" s="98"/>
      <c r="N809" s="20"/>
      <c r="O809" s="98"/>
      <c r="P809" s="283">
        <f>中間シート!D821</f>
        <v>0</v>
      </c>
      <c r="Q809" s="75"/>
      <c r="R809" s="283">
        <f>中間シート!G821</f>
        <v>0</v>
      </c>
      <c r="S809" s="75"/>
      <c r="T809" s="99" t="s">
        <v>95</v>
      </c>
      <c r="U809" s="75"/>
      <c r="V809" s="283">
        <f>中間シート!H821</f>
        <v>0</v>
      </c>
      <c r="W809" s="89"/>
      <c r="X809" s="42" t="str">
        <f>IF($B809&lt;=入力シート!$F$85,""&amp;中間シート!X671,"")</f>
        <v/>
      </c>
      <c r="AQ809" s="81">
        <f>中間シート!E671</f>
        <v>0</v>
      </c>
      <c r="AR809" s="86">
        <f>IF(F809="含まれている",1,IF(F809="含まれていない",2,0))</f>
        <v>0</v>
      </c>
      <c r="AS809" s="86" t="str">
        <f>中間シート!P517</f>
        <v/>
      </c>
    </row>
    <row r="810" spans="2:45" ht="5.0999999999999996" customHeight="1" thickBot="1" x14ac:dyDescent="0.2">
      <c r="C810" s="89"/>
      <c r="D810" s="89"/>
      <c r="E810" s="278"/>
      <c r="F810" s="100"/>
      <c r="G810" s="100"/>
      <c r="H810" s="100"/>
      <c r="I810" s="267"/>
      <c r="J810" s="101"/>
      <c r="K810" s="101"/>
      <c r="L810" s="101"/>
      <c r="M810" s="101"/>
      <c r="N810" s="101"/>
      <c r="O810" s="101"/>
      <c r="P810" s="75" t="s">
        <v>212</v>
      </c>
      <c r="Q810" s="100"/>
      <c r="R810" s="75" t="s">
        <v>212</v>
      </c>
      <c r="S810" s="75"/>
      <c r="T810" s="100"/>
      <c r="U810" s="75"/>
      <c r="V810" s="75" t="s">
        <v>212</v>
      </c>
      <c r="W810" s="89"/>
      <c r="X810" s="42" t="s">
        <v>212</v>
      </c>
      <c r="AQ810" s="86" t="s">
        <v>212</v>
      </c>
      <c r="AR810" s="86"/>
      <c r="AS810" s="86" t="s">
        <v>212</v>
      </c>
    </row>
    <row r="811" spans="2:45" ht="18" customHeight="1" thickBot="1" x14ac:dyDescent="0.2">
      <c r="B811" s="42">
        <v>2</v>
      </c>
      <c r="C811" s="89"/>
      <c r="D811" s="89"/>
      <c r="E811" s="277" t="s">
        <v>221</v>
      </c>
      <c r="F811" s="390"/>
      <c r="G811" s="391"/>
      <c r="H811" s="392"/>
      <c r="I811" s="266"/>
      <c r="J811" s="20"/>
      <c r="K811" s="98"/>
      <c r="L811" s="20"/>
      <c r="M811" s="98"/>
      <c r="N811" s="20"/>
      <c r="O811" s="98"/>
      <c r="P811" s="75" t="s">
        <v>212</v>
      </c>
      <c r="Q811" s="75"/>
      <c r="R811" s="75" t="s">
        <v>212</v>
      </c>
      <c r="S811" s="75"/>
      <c r="T811" s="100"/>
      <c r="U811" s="75"/>
      <c r="V811" s="284"/>
      <c r="W811" s="89"/>
      <c r="X811" s="42" t="str">
        <f>IF($B811&lt;=入力シート!$F$85,""&amp;中間シート!X672,"")</f>
        <v/>
      </c>
      <c r="AQ811" s="81">
        <f>中間シート!E672</f>
        <v>0</v>
      </c>
      <c r="AR811" s="86">
        <f>IF(F811="含まれている",1,IF(F811="含まれていない",2,0))</f>
        <v>0</v>
      </c>
      <c r="AS811" s="86" t="str">
        <f>中間シート!P518</f>
        <v/>
      </c>
    </row>
    <row r="812" spans="2:45" ht="5.0999999999999996" customHeight="1" thickBot="1" x14ac:dyDescent="0.2">
      <c r="C812" s="89"/>
      <c r="D812" s="89"/>
      <c r="E812" s="278"/>
      <c r="F812" s="100"/>
      <c r="G812" s="100"/>
      <c r="H812" s="100"/>
      <c r="I812" s="267"/>
      <c r="J812" s="101"/>
      <c r="K812" s="101"/>
      <c r="L812" s="101"/>
      <c r="M812" s="101"/>
      <c r="N812" s="101"/>
      <c r="O812" s="101"/>
      <c r="P812" s="75" t="s">
        <v>212</v>
      </c>
      <c r="Q812" s="100"/>
      <c r="R812" s="75" t="s">
        <v>212</v>
      </c>
      <c r="S812" s="75"/>
      <c r="T812" s="100"/>
      <c r="U812" s="75"/>
      <c r="V812" s="75" t="s">
        <v>212</v>
      </c>
      <c r="W812" s="89"/>
      <c r="X812" s="42" t="s">
        <v>212</v>
      </c>
      <c r="AQ812" s="21" t="s">
        <v>212</v>
      </c>
      <c r="AR812" s="86"/>
      <c r="AS812" s="86" t="s">
        <v>212</v>
      </c>
    </row>
    <row r="813" spans="2:45" ht="18" customHeight="1" thickBot="1" x14ac:dyDescent="0.2">
      <c r="B813" s="42">
        <v>2</v>
      </c>
      <c r="C813" s="89"/>
      <c r="D813" s="89"/>
      <c r="E813" s="277" t="s">
        <v>222</v>
      </c>
      <c r="F813" s="390"/>
      <c r="G813" s="391"/>
      <c r="H813" s="392"/>
      <c r="I813" s="266"/>
      <c r="J813" s="20"/>
      <c r="K813" s="98"/>
      <c r="L813" s="20"/>
      <c r="M813" s="98"/>
      <c r="N813" s="20"/>
      <c r="O813" s="98"/>
      <c r="P813" s="75" t="s">
        <v>212</v>
      </c>
      <c r="Q813" s="75"/>
      <c r="R813" s="75" t="s">
        <v>212</v>
      </c>
      <c r="S813" s="75"/>
      <c r="T813" s="100"/>
      <c r="U813" s="75"/>
      <c r="V813" s="75" t="s">
        <v>212</v>
      </c>
      <c r="W813" s="89"/>
      <c r="X813" s="42" t="str">
        <f>IF($B813&lt;=入力シート!$F$85,""&amp;中間シート!X673,"")</f>
        <v/>
      </c>
      <c r="AQ813" s="81">
        <f>中間シート!E673</f>
        <v>0</v>
      </c>
      <c r="AR813" s="86">
        <f>IF(F813="含まれている",1,IF(F813="含まれていない",2,0))</f>
        <v>0</v>
      </c>
      <c r="AS813" s="86" t="str">
        <f>中間シート!P519</f>
        <v/>
      </c>
    </row>
    <row r="814" spans="2:45" x14ac:dyDescent="0.15">
      <c r="C814" s="89"/>
      <c r="D814" s="89"/>
      <c r="E814" s="280"/>
      <c r="F814" s="101"/>
      <c r="G814" s="101"/>
      <c r="H814" s="101"/>
      <c r="I814" s="101"/>
      <c r="J814" s="101"/>
      <c r="K814" s="101"/>
      <c r="L814" s="101"/>
      <c r="M814" s="100"/>
      <c r="N814" s="75"/>
      <c r="O814" s="75"/>
      <c r="P814" s="101" t="s">
        <v>212</v>
      </c>
      <c r="Q814" s="75"/>
      <c r="R814" s="75" t="s">
        <v>212</v>
      </c>
      <c r="S814" s="75"/>
      <c r="T814" s="75"/>
      <c r="U814" s="75"/>
      <c r="V814" s="75" t="s">
        <v>212</v>
      </c>
      <c r="W814" s="89"/>
      <c r="X814" s="42" t="s">
        <v>212</v>
      </c>
      <c r="AQ814" s="86" t="s">
        <v>212</v>
      </c>
      <c r="AR814" s="86"/>
      <c r="AS814" s="86" t="s">
        <v>212</v>
      </c>
    </row>
    <row r="815" spans="2:45" ht="14.25" thickBot="1" x14ac:dyDescent="0.2">
      <c r="C815" s="49"/>
      <c r="D815" s="49"/>
      <c r="E815" s="279"/>
      <c r="F815" s="22"/>
      <c r="G815" s="22"/>
      <c r="H815" s="22"/>
      <c r="I815" s="262"/>
      <c r="J815" s="22"/>
      <c r="K815" s="22"/>
      <c r="L815" s="22"/>
      <c r="M815" s="22"/>
      <c r="N815" s="22"/>
      <c r="O815" s="22"/>
      <c r="P815" s="22" t="s">
        <v>212</v>
      </c>
      <c r="Q815" s="78"/>
      <c r="R815" s="22" t="s">
        <v>212</v>
      </c>
      <c r="S815" s="22"/>
      <c r="T815" s="78"/>
      <c r="U815" s="78"/>
      <c r="V815" s="22" t="s">
        <v>212</v>
      </c>
      <c r="W815" s="49"/>
      <c r="X815" s="42" t="s">
        <v>212</v>
      </c>
      <c r="AQ815" s="86" t="s">
        <v>212</v>
      </c>
      <c r="AR815" s="86"/>
      <c r="AS815" s="86" t="s">
        <v>212</v>
      </c>
    </row>
    <row r="816" spans="2:45" ht="18" customHeight="1" thickBot="1" x14ac:dyDescent="0.2">
      <c r="B816" s="42">
        <v>3</v>
      </c>
      <c r="C816" s="49"/>
      <c r="D816" s="52" t="s">
        <v>158</v>
      </c>
      <c r="E816" s="275" t="s">
        <v>220</v>
      </c>
      <c r="F816" s="390"/>
      <c r="G816" s="391"/>
      <c r="H816" s="392"/>
      <c r="I816" s="263"/>
      <c r="J816" s="20"/>
      <c r="K816" s="30"/>
      <c r="L816" s="20"/>
      <c r="M816" s="30"/>
      <c r="N816" s="20"/>
      <c r="O816" s="30"/>
      <c r="P816" s="283">
        <f>中間シート!D822</f>
        <v>0</v>
      </c>
      <c r="Q816" s="78"/>
      <c r="R816" s="283">
        <f>中間シート!G822</f>
        <v>0</v>
      </c>
      <c r="S816" s="78"/>
      <c r="T816" s="97" t="s">
        <v>95</v>
      </c>
      <c r="U816" s="78"/>
      <c r="V816" s="283">
        <f>中間シート!H822</f>
        <v>0</v>
      </c>
      <c r="W816" s="49"/>
      <c r="X816" s="42" t="str">
        <f>IF($B816&lt;=入力シート!$F$85,""&amp;中間シート!X674,"")</f>
        <v/>
      </c>
      <c r="AQ816" s="81">
        <f>中間シート!E674</f>
        <v>0</v>
      </c>
      <c r="AR816" s="86">
        <f>IF(F816="含まれている",1,IF(F816="含まれていない",2,0))</f>
        <v>0</v>
      </c>
      <c r="AS816" s="86" t="str">
        <f>中間シート!P520</f>
        <v/>
      </c>
    </row>
    <row r="817" spans="2:45" ht="5.0999999999999996" customHeight="1" thickBot="1" x14ac:dyDescent="0.2">
      <c r="C817" s="49"/>
      <c r="D817" s="49"/>
      <c r="E817" s="276"/>
      <c r="F817" s="22"/>
      <c r="G817" s="22"/>
      <c r="H817" s="22"/>
      <c r="I817" s="262"/>
      <c r="J817" s="31"/>
      <c r="K817" s="31"/>
      <c r="L817" s="31"/>
      <c r="M817" s="31"/>
      <c r="N817" s="31"/>
      <c r="O817" s="31"/>
      <c r="P817" s="78" t="s">
        <v>212</v>
      </c>
      <c r="Q817" s="22"/>
      <c r="R817" s="78" t="s">
        <v>212</v>
      </c>
      <c r="S817" s="78"/>
      <c r="T817" s="22"/>
      <c r="U817" s="78"/>
      <c r="V817" s="78" t="s">
        <v>212</v>
      </c>
      <c r="W817" s="49"/>
      <c r="X817" s="42" t="s">
        <v>212</v>
      </c>
      <c r="AQ817" s="86" t="s">
        <v>212</v>
      </c>
      <c r="AR817" s="86"/>
      <c r="AS817" s="86" t="s">
        <v>212</v>
      </c>
    </row>
    <row r="818" spans="2:45" ht="18" customHeight="1" thickBot="1" x14ac:dyDescent="0.2">
      <c r="B818" s="42">
        <v>3</v>
      </c>
      <c r="C818" s="49"/>
      <c r="D818" s="49"/>
      <c r="E818" s="275" t="s">
        <v>221</v>
      </c>
      <c r="F818" s="390"/>
      <c r="G818" s="391"/>
      <c r="H818" s="392"/>
      <c r="I818" s="263"/>
      <c r="J818" s="20"/>
      <c r="K818" s="30"/>
      <c r="L818" s="20"/>
      <c r="M818" s="30"/>
      <c r="N818" s="20"/>
      <c r="O818" s="30"/>
      <c r="P818" s="78" t="s">
        <v>212</v>
      </c>
      <c r="Q818" s="78"/>
      <c r="R818" s="78" t="s">
        <v>212</v>
      </c>
      <c r="S818" s="78"/>
      <c r="T818" s="22"/>
      <c r="U818" s="78"/>
      <c r="V818" s="78" t="s">
        <v>212</v>
      </c>
      <c r="W818" s="49"/>
      <c r="X818" s="42" t="str">
        <f>IF($B818&lt;=入力シート!$F$85,""&amp;中間シート!X675,"")</f>
        <v/>
      </c>
      <c r="AQ818" s="81">
        <f>中間シート!E675</f>
        <v>0</v>
      </c>
      <c r="AR818" s="86">
        <f>IF(F818="含まれている",1,IF(F818="含まれていない",2,0))</f>
        <v>0</v>
      </c>
      <c r="AS818" s="86" t="str">
        <f>中間シート!P521</f>
        <v/>
      </c>
    </row>
    <row r="819" spans="2:45" ht="5.0999999999999996" customHeight="1" thickBot="1" x14ac:dyDescent="0.2">
      <c r="C819" s="49"/>
      <c r="D819" s="49"/>
      <c r="E819" s="276"/>
      <c r="F819" s="22"/>
      <c r="G819" s="22"/>
      <c r="H819" s="22"/>
      <c r="I819" s="262"/>
      <c r="J819" s="31"/>
      <c r="K819" s="31"/>
      <c r="L819" s="31"/>
      <c r="M819" s="31"/>
      <c r="N819" s="31"/>
      <c r="O819" s="31"/>
      <c r="P819" s="78" t="s">
        <v>212</v>
      </c>
      <c r="Q819" s="22"/>
      <c r="R819" s="78" t="s">
        <v>212</v>
      </c>
      <c r="S819" s="78"/>
      <c r="T819" s="22"/>
      <c r="U819" s="78"/>
      <c r="V819" s="78" t="s">
        <v>212</v>
      </c>
      <c r="W819" s="49"/>
      <c r="X819" s="42" t="s">
        <v>212</v>
      </c>
      <c r="AQ819" s="21" t="s">
        <v>212</v>
      </c>
      <c r="AR819" s="86"/>
      <c r="AS819" s="86" t="s">
        <v>212</v>
      </c>
    </row>
    <row r="820" spans="2:45" ht="18" customHeight="1" thickBot="1" x14ac:dyDescent="0.2">
      <c r="B820" s="42">
        <v>3</v>
      </c>
      <c r="C820" s="49"/>
      <c r="D820" s="49"/>
      <c r="E820" s="275" t="s">
        <v>222</v>
      </c>
      <c r="F820" s="390"/>
      <c r="G820" s="391"/>
      <c r="H820" s="392"/>
      <c r="I820" s="263"/>
      <c r="J820" s="20"/>
      <c r="K820" s="30"/>
      <c r="L820" s="20"/>
      <c r="M820" s="30"/>
      <c r="N820" s="20"/>
      <c r="O820" s="30"/>
      <c r="P820" s="78" t="s">
        <v>212</v>
      </c>
      <c r="Q820" s="78"/>
      <c r="R820" s="78" t="s">
        <v>212</v>
      </c>
      <c r="S820" s="78"/>
      <c r="T820" s="22"/>
      <c r="U820" s="78"/>
      <c r="V820" s="78" t="s">
        <v>212</v>
      </c>
      <c r="W820" s="49"/>
      <c r="X820" s="42" t="str">
        <f>IF($B820&lt;=入力シート!$F$85,""&amp;中間シート!X676,"")</f>
        <v/>
      </c>
      <c r="AQ820" s="81">
        <f>中間シート!E676</f>
        <v>0</v>
      </c>
      <c r="AR820" s="86">
        <f>IF(F820="含まれている",1,IF(F820="含まれていない",2,0))</f>
        <v>0</v>
      </c>
      <c r="AS820" s="86" t="str">
        <f>中間シート!P522</f>
        <v/>
      </c>
    </row>
    <row r="821" spans="2:45" x14ac:dyDescent="0.15">
      <c r="C821" s="49"/>
      <c r="D821" s="49"/>
      <c r="E821" s="55"/>
      <c r="F821" s="31"/>
      <c r="G821" s="31"/>
      <c r="H821" s="31"/>
      <c r="I821" s="31"/>
      <c r="J821" s="31"/>
      <c r="K821" s="31"/>
      <c r="L821" s="31"/>
      <c r="M821" s="22"/>
      <c r="N821" s="78"/>
      <c r="O821" s="78"/>
      <c r="P821" s="31" t="s">
        <v>212</v>
      </c>
      <c r="Q821" s="78"/>
      <c r="R821" s="78" t="s">
        <v>212</v>
      </c>
      <c r="S821" s="78"/>
      <c r="T821" s="78"/>
      <c r="U821" s="78"/>
      <c r="V821" s="78" t="s">
        <v>212</v>
      </c>
      <c r="W821" s="49"/>
      <c r="X821" s="42" t="s">
        <v>212</v>
      </c>
      <c r="AQ821" s="86" t="s">
        <v>212</v>
      </c>
      <c r="AR821" s="86"/>
      <c r="AS821" s="86" t="s">
        <v>212</v>
      </c>
    </row>
    <row r="822" spans="2:45" ht="14.25" thickBot="1" x14ac:dyDescent="0.2">
      <c r="C822" s="89"/>
      <c r="D822" s="89"/>
      <c r="E822" s="280"/>
      <c r="F822" s="89"/>
      <c r="G822" s="89"/>
      <c r="H822" s="89"/>
      <c r="I822" s="265"/>
      <c r="J822" s="89"/>
      <c r="K822" s="89"/>
      <c r="L822" s="89"/>
      <c r="M822" s="89"/>
      <c r="N822" s="89"/>
      <c r="O822" s="89"/>
      <c r="P822" s="89" t="s">
        <v>212</v>
      </c>
      <c r="Q822" s="89"/>
      <c r="R822" s="89" t="s">
        <v>212</v>
      </c>
      <c r="S822" s="89"/>
      <c r="T822" s="89"/>
      <c r="U822" s="89"/>
      <c r="V822" s="89" t="s">
        <v>212</v>
      </c>
      <c r="W822" s="89"/>
      <c r="X822" s="42" t="s">
        <v>212</v>
      </c>
      <c r="AQ822" s="86" t="s">
        <v>212</v>
      </c>
      <c r="AR822" s="86"/>
      <c r="AS822" s="86" t="s">
        <v>212</v>
      </c>
    </row>
    <row r="823" spans="2:45" ht="18" customHeight="1" thickBot="1" x14ac:dyDescent="0.2">
      <c r="B823" s="42">
        <v>4</v>
      </c>
      <c r="C823" s="89"/>
      <c r="D823" s="91" t="s">
        <v>159</v>
      </c>
      <c r="E823" s="277" t="s">
        <v>220</v>
      </c>
      <c r="F823" s="390"/>
      <c r="G823" s="391"/>
      <c r="H823" s="392"/>
      <c r="I823" s="266"/>
      <c r="J823" s="20"/>
      <c r="K823" s="98"/>
      <c r="L823" s="20"/>
      <c r="M823" s="98"/>
      <c r="N823" s="20"/>
      <c r="O823" s="98"/>
      <c r="P823" s="283">
        <f>中間シート!D823</f>
        <v>0</v>
      </c>
      <c r="Q823" s="75"/>
      <c r="R823" s="283">
        <f>中間シート!G823</f>
        <v>0</v>
      </c>
      <c r="S823" s="75"/>
      <c r="T823" s="99" t="s">
        <v>95</v>
      </c>
      <c r="U823" s="75"/>
      <c r="V823" s="283">
        <f>中間シート!H823</f>
        <v>0</v>
      </c>
      <c r="W823" s="89"/>
      <c r="X823" s="42" t="str">
        <f>IF($B823&lt;=入力シート!$F$85,""&amp;中間シート!X677,"")</f>
        <v/>
      </c>
      <c r="AQ823" s="81">
        <f>中間シート!E677</f>
        <v>0</v>
      </c>
      <c r="AR823" s="86">
        <f>IF(F823="含まれている",1,IF(F823="含まれていない",2,0))</f>
        <v>0</v>
      </c>
      <c r="AS823" s="86" t="str">
        <f>中間シート!P523</f>
        <v/>
      </c>
    </row>
    <row r="824" spans="2:45" ht="5.0999999999999996" customHeight="1" thickBot="1" x14ac:dyDescent="0.2">
      <c r="C824" s="89"/>
      <c r="D824" s="89"/>
      <c r="E824" s="278"/>
      <c r="F824" s="100"/>
      <c r="G824" s="100"/>
      <c r="H824" s="100"/>
      <c r="I824" s="267"/>
      <c r="J824" s="101"/>
      <c r="K824" s="101"/>
      <c r="L824" s="101"/>
      <c r="M824" s="101"/>
      <c r="N824" s="101"/>
      <c r="O824" s="101"/>
      <c r="P824" s="75" t="s">
        <v>212</v>
      </c>
      <c r="Q824" s="100"/>
      <c r="R824" s="75" t="s">
        <v>212</v>
      </c>
      <c r="S824" s="75"/>
      <c r="T824" s="100"/>
      <c r="U824" s="75"/>
      <c r="V824" s="75" t="s">
        <v>212</v>
      </c>
      <c r="W824" s="89"/>
      <c r="X824" s="42" t="s">
        <v>212</v>
      </c>
      <c r="AQ824" s="86" t="s">
        <v>212</v>
      </c>
      <c r="AR824" s="86"/>
      <c r="AS824" s="86" t="s">
        <v>212</v>
      </c>
    </row>
    <row r="825" spans="2:45" ht="18" customHeight="1" thickBot="1" x14ac:dyDescent="0.2">
      <c r="B825" s="42">
        <v>4</v>
      </c>
      <c r="C825" s="89"/>
      <c r="D825" s="89"/>
      <c r="E825" s="277" t="s">
        <v>221</v>
      </c>
      <c r="F825" s="390"/>
      <c r="G825" s="391"/>
      <c r="H825" s="392"/>
      <c r="I825" s="266"/>
      <c r="J825" s="20"/>
      <c r="K825" s="98"/>
      <c r="L825" s="20"/>
      <c r="M825" s="98"/>
      <c r="N825" s="20"/>
      <c r="O825" s="98"/>
      <c r="P825" s="75" t="s">
        <v>212</v>
      </c>
      <c r="Q825" s="75"/>
      <c r="R825" s="75" t="s">
        <v>212</v>
      </c>
      <c r="S825" s="75"/>
      <c r="T825" s="100"/>
      <c r="U825" s="75"/>
      <c r="V825" s="75" t="s">
        <v>212</v>
      </c>
      <c r="W825" s="89"/>
      <c r="X825" s="42" t="str">
        <f>IF($B825&lt;=入力シート!$F$85,""&amp;中間シート!X678,"")</f>
        <v/>
      </c>
      <c r="AQ825" s="81">
        <f>中間シート!E678</f>
        <v>0</v>
      </c>
      <c r="AR825" s="86">
        <f>IF(F825="含まれている",1,IF(F825="含まれていない",2,0))</f>
        <v>0</v>
      </c>
      <c r="AS825" s="86" t="str">
        <f>中間シート!P524</f>
        <v/>
      </c>
    </row>
    <row r="826" spans="2:45" ht="5.0999999999999996" customHeight="1" thickBot="1" x14ac:dyDescent="0.2">
      <c r="C826" s="89"/>
      <c r="D826" s="89"/>
      <c r="E826" s="278"/>
      <c r="F826" s="100"/>
      <c r="G826" s="100"/>
      <c r="H826" s="100"/>
      <c r="I826" s="267"/>
      <c r="J826" s="101"/>
      <c r="K826" s="101"/>
      <c r="L826" s="101"/>
      <c r="M826" s="101"/>
      <c r="N826" s="101"/>
      <c r="O826" s="101"/>
      <c r="P826" s="75" t="s">
        <v>212</v>
      </c>
      <c r="Q826" s="100"/>
      <c r="R826" s="75" t="s">
        <v>212</v>
      </c>
      <c r="S826" s="75"/>
      <c r="T826" s="100"/>
      <c r="U826" s="75"/>
      <c r="V826" s="75" t="s">
        <v>212</v>
      </c>
      <c r="W826" s="89"/>
      <c r="X826" s="42" t="s">
        <v>212</v>
      </c>
      <c r="AQ826" s="21" t="s">
        <v>212</v>
      </c>
      <c r="AR826" s="86"/>
      <c r="AS826" s="86" t="s">
        <v>212</v>
      </c>
    </row>
    <row r="827" spans="2:45" ht="18" customHeight="1" thickBot="1" x14ac:dyDescent="0.2">
      <c r="B827" s="42">
        <v>4</v>
      </c>
      <c r="C827" s="89"/>
      <c r="D827" s="89"/>
      <c r="E827" s="277" t="s">
        <v>222</v>
      </c>
      <c r="F827" s="390"/>
      <c r="G827" s="391"/>
      <c r="H827" s="392"/>
      <c r="I827" s="266"/>
      <c r="J827" s="20"/>
      <c r="K827" s="98"/>
      <c r="L827" s="20"/>
      <c r="M827" s="98"/>
      <c r="N827" s="20"/>
      <c r="O827" s="98"/>
      <c r="P827" s="75" t="s">
        <v>212</v>
      </c>
      <c r="Q827" s="75"/>
      <c r="R827" s="75" t="s">
        <v>212</v>
      </c>
      <c r="S827" s="75"/>
      <c r="T827" s="100"/>
      <c r="U827" s="75"/>
      <c r="V827" s="75" t="s">
        <v>212</v>
      </c>
      <c r="W827" s="89"/>
      <c r="X827" s="42" t="str">
        <f>IF($B827&lt;=入力シート!$F$85,""&amp;中間シート!X679,"")</f>
        <v/>
      </c>
      <c r="AQ827" s="81">
        <f>中間シート!E679</f>
        <v>0</v>
      </c>
      <c r="AR827" s="86">
        <f>IF(F827="含まれている",1,IF(F827="含まれていない",2,0))</f>
        <v>0</v>
      </c>
      <c r="AS827" s="86" t="str">
        <f>中間シート!P525</f>
        <v/>
      </c>
    </row>
    <row r="828" spans="2:45" x14ac:dyDescent="0.15">
      <c r="C828" s="89"/>
      <c r="D828" s="89"/>
      <c r="E828" s="280"/>
      <c r="F828" s="101"/>
      <c r="G828" s="101"/>
      <c r="H828" s="101"/>
      <c r="I828" s="101"/>
      <c r="J828" s="101"/>
      <c r="K828" s="101"/>
      <c r="L828" s="101"/>
      <c r="M828" s="100"/>
      <c r="N828" s="75"/>
      <c r="O828" s="75"/>
      <c r="P828" s="101" t="s">
        <v>212</v>
      </c>
      <c r="Q828" s="75"/>
      <c r="R828" s="75" t="s">
        <v>212</v>
      </c>
      <c r="S828" s="75"/>
      <c r="T828" s="75"/>
      <c r="U828" s="75"/>
      <c r="V828" s="75" t="s">
        <v>212</v>
      </c>
      <c r="W828" s="89"/>
      <c r="X828" s="42" t="s">
        <v>212</v>
      </c>
      <c r="AQ828" s="86" t="s">
        <v>212</v>
      </c>
      <c r="AR828" s="86"/>
      <c r="AS828" s="86" t="s">
        <v>212</v>
      </c>
    </row>
    <row r="829" spans="2:45" ht="14.25" thickBot="1" x14ac:dyDescent="0.2">
      <c r="C829" s="49"/>
      <c r="D829" s="49"/>
      <c r="E829" s="279"/>
      <c r="F829" s="22"/>
      <c r="G829" s="22"/>
      <c r="H829" s="22"/>
      <c r="I829" s="262"/>
      <c r="J829" s="22"/>
      <c r="K829" s="22"/>
      <c r="L829" s="22"/>
      <c r="M829" s="22"/>
      <c r="N829" s="22"/>
      <c r="O829" s="22"/>
      <c r="P829" s="22" t="s">
        <v>212</v>
      </c>
      <c r="Q829" s="78"/>
      <c r="R829" s="22" t="s">
        <v>212</v>
      </c>
      <c r="S829" s="22"/>
      <c r="T829" s="78"/>
      <c r="U829" s="78"/>
      <c r="V829" s="22" t="s">
        <v>212</v>
      </c>
      <c r="W829" s="49"/>
      <c r="X829" s="42" t="s">
        <v>212</v>
      </c>
      <c r="AQ829" s="86" t="s">
        <v>212</v>
      </c>
      <c r="AR829" s="86"/>
      <c r="AS829" s="86" t="s">
        <v>212</v>
      </c>
    </row>
    <row r="830" spans="2:45" ht="18" customHeight="1" thickBot="1" x14ac:dyDescent="0.2">
      <c r="B830" s="42">
        <v>5</v>
      </c>
      <c r="C830" s="49"/>
      <c r="D830" s="52" t="s">
        <v>160</v>
      </c>
      <c r="E830" s="275" t="s">
        <v>220</v>
      </c>
      <c r="F830" s="390"/>
      <c r="G830" s="391"/>
      <c r="H830" s="392"/>
      <c r="I830" s="263"/>
      <c r="J830" s="20"/>
      <c r="K830" s="30"/>
      <c r="L830" s="20"/>
      <c r="M830" s="30"/>
      <c r="N830" s="20"/>
      <c r="O830" s="30"/>
      <c r="P830" s="283">
        <f>中間シート!D824</f>
        <v>0</v>
      </c>
      <c r="Q830" s="78"/>
      <c r="R830" s="283">
        <f>中間シート!G824</f>
        <v>0</v>
      </c>
      <c r="S830" s="78"/>
      <c r="T830" s="97" t="s">
        <v>95</v>
      </c>
      <c r="U830" s="78"/>
      <c r="V830" s="283">
        <f>中間シート!H824</f>
        <v>0</v>
      </c>
      <c r="W830" s="49"/>
      <c r="X830" s="42" t="str">
        <f>IF($B830&lt;=入力シート!$F$85,""&amp;中間シート!X680,"")</f>
        <v/>
      </c>
      <c r="AQ830" s="81">
        <f>中間シート!E680</f>
        <v>0</v>
      </c>
      <c r="AR830" s="86">
        <f>IF(F830="含まれている",1,IF(F830="含まれていない",2,0))</f>
        <v>0</v>
      </c>
      <c r="AS830" s="86" t="str">
        <f>中間シート!P526</f>
        <v/>
      </c>
    </row>
    <row r="831" spans="2:45" ht="5.0999999999999996" customHeight="1" thickBot="1" x14ac:dyDescent="0.2">
      <c r="C831" s="49"/>
      <c r="D831" s="49"/>
      <c r="E831" s="276"/>
      <c r="F831" s="22"/>
      <c r="G831" s="22"/>
      <c r="H831" s="22"/>
      <c r="I831" s="262"/>
      <c r="J831" s="31"/>
      <c r="K831" s="31"/>
      <c r="L831" s="31"/>
      <c r="M831" s="31"/>
      <c r="N831" s="31"/>
      <c r="O831" s="31"/>
      <c r="P831" s="78" t="s">
        <v>212</v>
      </c>
      <c r="Q831" s="22"/>
      <c r="R831" s="78" t="s">
        <v>212</v>
      </c>
      <c r="S831" s="78"/>
      <c r="T831" s="22"/>
      <c r="U831" s="78"/>
      <c r="V831" s="78" t="s">
        <v>212</v>
      </c>
      <c r="W831" s="49"/>
      <c r="X831" s="42" t="s">
        <v>212</v>
      </c>
      <c r="AQ831" s="86" t="s">
        <v>212</v>
      </c>
      <c r="AR831" s="86"/>
      <c r="AS831" s="86" t="s">
        <v>212</v>
      </c>
    </row>
    <row r="832" spans="2:45" ht="18" customHeight="1" thickBot="1" x14ac:dyDescent="0.2">
      <c r="B832" s="42">
        <v>5</v>
      </c>
      <c r="C832" s="49"/>
      <c r="D832" s="49"/>
      <c r="E832" s="275" t="s">
        <v>221</v>
      </c>
      <c r="F832" s="390"/>
      <c r="G832" s="391"/>
      <c r="H832" s="392"/>
      <c r="I832" s="263"/>
      <c r="J832" s="20"/>
      <c r="K832" s="30"/>
      <c r="L832" s="20"/>
      <c r="M832" s="30"/>
      <c r="N832" s="20"/>
      <c r="O832" s="30"/>
      <c r="P832" s="78" t="s">
        <v>212</v>
      </c>
      <c r="Q832" s="78"/>
      <c r="R832" s="78" t="s">
        <v>212</v>
      </c>
      <c r="S832" s="78"/>
      <c r="T832" s="22"/>
      <c r="U832" s="78"/>
      <c r="V832" s="78" t="s">
        <v>212</v>
      </c>
      <c r="W832" s="49"/>
      <c r="X832" s="42" t="str">
        <f>IF($B832&lt;=入力シート!$F$85,""&amp;中間シート!X681,"")</f>
        <v/>
      </c>
      <c r="AQ832" s="81">
        <f>中間シート!E681</f>
        <v>0</v>
      </c>
      <c r="AR832" s="86">
        <f>IF(F832="含まれている",1,IF(F832="含まれていない",2,0))</f>
        <v>0</v>
      </c>
      <c r="AS832" s="86" t="str">
        <f>中間シート!P527</f>
        <v/>
      </c>
    </row>
    <row r="833" spans="2:45" ht="5.0999999999999996" customHeight="1" thickBot="1" x14ac:dyDescent="0.2">
      <c r="C833" s="49"/>
      <c r="D833" s="49"/>
      <c r="E833" s="276"/>
      <c r="F833" s="22"/>
      <c r="G833" s="22"/>
      <c r="H833" s="22"/>
      <c r="I833" s="262"/>
      <c r="J833" s="31"/>
      <c r="K833" s="31"/>
      <c r="L833" s="31"/>
      <c r="M833" s="31"/>
      <c r="N833" s="31"/>
      <c r="O833" s="31"/>
      <c r="P833" s="78" t="s">
        <v>212</v>
      </c>
      <c r="Q833" s="22"/>
      <c r="R833" s="78" t="s">
        <v>212</v>
      </c>
      <c r="S833" s="78"/>
      <c r="T833" s="22"/>
      <c r="U833" s="78"/>
      <c r="V833" s="78" t="s">
        <v>212</v>
      </c>
      <c r="W833" s="49"/>
      <c r="X833" s="42" t="s">
        <v>212</v>
      </c>
      <c r="AQ833" s="21" t="s">
        <v>212</v>
      </c>
      <c r="AR833" s="86"/>
      <c r="AS833" s="86" t="s">
        <v>212</v>
      </c>
    </row>
    <row r="834" spans="2:45" ht="18" customHeight="1" thickBot="1" x14ac:dyDescent="0.2">
      <c r="B834" s="42">
        <v>5</v>
      </c>
      <c r="C834" s="49"/>
      <c r="D834" s="49"/>
      <c r="E834" s="275" t="s">
        <v>222</v>
      </c>
      <c r="F834" s="390"/>
      <c r="G834" s="391"/>
      <c r="H834" s="392"/>
      <c r="I834" s="263"/>
      <c r="J834" s="20"/>
      <c r="K834" s="30"/>
      <c r="L834" s="20"/>
      <c r="M834" s="30"/>
      <c r="N834" s="20"/>
      <c r="O834" s="30"/>
      <c r="P834" s="78" t="s">
        <v>212</v>
      </c>
      <c r="Q834" s="78"/>
      <c r="R834" s="78" t="s">
        <v>212</v>
      </c>
      <c r="S834" s="78"/>
      <c r="T834" s="22"/>
      <c r="U834" s="78"/>
      <c r="V834" s="78" t="s">
        <v>212</v>
      </c>
      <c r="W834" s="49"/>
      <c r="X834" s="42" t="str">
        <f>IF($B834&lt;=入力シート!$F$85,""&amp;中間シート!X682,"")</f>
        <v/>
      </c>
      <c r="AQ834" s="81">
        <f>中間シート!E682</f>
        <v>0</v>
      </c>
      <c r="AR834" s="86">
        <f>IF(F834="含まれている",1,IF(F834="含まれていない",2,0))</f>
        <v>0</v>
      </c>
      <c r="AS834" s="86" t="str">
        <f>中間シート!P528</f>
        <v/>
      </c>
    </row>
    <row r="835" spans="2:45" x14ac:dyDescent="0.15">
      <c r="C835" s="49"/>
      <c r="D835" s="49"/>
      <c r="E835" s="55"/>
      <c r="F835" s="31"/>
      <c r="G835" s="31"/>
      <c r="H835" s="31"/>
      <c r="I835" s="31"/>
      <c r="J835" s="31"/>
      <c r="K835" s="31"/>
      <c r="L835" s="31"/>
      <c r="M835" s="22"/>
      <c r="N835" s="78"/>
      <c r="O835" s="78"/>
      <c r="P835" s="31" t="s">
        <v>212</v>
      </c>
      <c r="Q835" s="78"/>
      <c r="R835" s="78" t="s">
        <v>212</v>
      </c>
      <c r="S835" s="78"/>
      <c r="T835" s="78"/>
      <c r="U835" s="78"/>
      <c r="V835" s="78" t="s">
        <v>212</v>
      </c>
      <c r="W835" s="49"/>
      <c r="X835" s="42" t="s">
        <v>212</v>
      </c>
      <c r="AQ835" s="86" t="s">
        <v>212</v>
      </c>
      <c r="AR835" s="86"/>
      <c r="AS835" s="86" t="s">
        <v>212</v>
      </c>
    </row>
    <row r="836" spans="2:45" ht="14.25" thickBot="1" x14ac:dyDescent="0.2">
      <c r="C836" s="89"/>
      <c r="D836" s="89"/>
      <c r="E836" s="280"/>
      <c r="F836" s="89"/>
      <c r="G836" s="89"/>
      <c r="H836" s="89"/>
      <c r="I836" s="265"/>
      <c r="J836" s="89"/>
      <c r="K836" s="89"/>
      <c r="L836" s="89"/>
      <c r="M836" s="89"/>
      <c r="N836" s="89"/>
      <c r="O836" s="89"/>
      <c r="P836" s="89" t="s">
        <v>212</v>
      </c>
      <c r="Q836" s="89"/>
      <c r="R836" s="89" t="s">
        <v>212</v>
      </c>
      <c r="S836" s="89"/>
      <c r="T836" s="89"/>
      <c r="U836" s="89"/>
      <c r="V836" s="89" t="s">
        <v>212</v>
      </c>
      <c r="W836" s="89"/>
      <c r="X836" s="42" t="s">
        <v>212</v>
      </c>
      <c r="AQ836" s="86" t="s">
        <v>212</v>
      </c>
      <c r="AR836" s="86"/>
      <c r="AS836" s="86" t="s">
        <v>212</v>
      </c>
    </row>
    <row r="837" spans="2:45" ht="18" customHeight="1" thickBot="1" x14ac:dyDescent="0.2">
      <c r="B837" s="42">
        <v>6</v>
      </c>
      <c r="C837" s="89"/>
      <c r="D837" s="91" t="s">
        <v>161</v>
      </c>
      <c r="E837" s="277" t="s">
        <v>220</v>
      </c>
      <c r="F837" s="390"/>
      <c r="G837" s="391"/>
      <c r="H837" s="392"/>
      <c r="I837" s="266"/>
      <c r="J837" s="20"/>
      <c r="K837" s="98"/>
      <c r="L837" s="20"/>
      <c r="M837" s="98"/>
      <c r="N837" s="20"/>
      <c r="O837" s="98"/>
      <c r="P837" s="283">
        <f>中間シート!D825</f>
        <v>0</v>
      </c>
      <c r="Q837" s="75"/>
      <c r="R837" s="283">
        <f>中間シート!G825</f>
        <v>0</v>
      </c>
      <c r="S837" s="75"/>
      <c r="T837" s="99" t="s">
        <v>95</v>
      </c>
      <c r="U837" s="75"/>
      <c r="V837" s="283">
        <f>中間シート!H825</f>
        <v>0</v>
      </c>
      <c r="W837" s="89"/>
      <c r="X837" s="42" t="str">
        <f>IF($B837&lt;=入力シート!$F$85,""&amp;中間シート!X683,"")</f>
        <v/>
      </c>
      <c r="AQ837" s="81">
        <f>中間シート!E683</f>
        <v>0</v>
      </c>
      <c r="AR837" s="86">
        <f>IF(F837="含まれている",1,IF(F837="含まれていない",2,0))</f>
        <v>0</v>
      </c>
      <c r="AS837" s="86" t="str">
        <f>中間シート!P529</f>
        <v/>
      </c>
    </row>
    <row r="838" spans="2:45" ht="5.0999999999999996" customHeight="1" thickBot="1" x14ac:dyDescent="0.2">
      <c r="C838" s="89"/>
      <c r="D838" s="89"/>
      <c r="E838" s="278"/>
      <c r="F838" s="100"/>
      <c r="G838" s="100"/>
      <c r="H838" s="100"/>
      <c r="I838" s="267"/>
      <c r="J838" s="101"/>
      <c r="K838" s="101"/>
      <c r="L838" s="101"/>
      <c r="M838" s="101"/>
      <c r="N838" s="101"/>
      <c r="O838" s="101"/>
      <c r="P838" s="75" t="s">
        <v>212</v>
      </c>
      <c r="Q838" s="100"/>
      <c r="R838" s="75" t="s">
        <v>212</v>
      </c>
      <c r="S838" s="75"/>
      <c r="T838" s="100"/>
      <c r="U838" s="75"/>
      <c r="V838" s="75" t="s">
        <v>212</v>
      </c>
      <c r="W838" s="89"/>
      <c r="X838" s="42" t="s">
        <v>212</v>
      </c>
      <c r="AQ838" s="86" t="s">
        <v>212</v>
      </c>
      <c r="AR838" s="86"/>
      <c r="AS838" s="86" t="s">
        <v>212</v>
      </c>
    </row>
    <row r="839" spans="2:45" ht="18" customHeight="1" thickBot="1" x14ac:dyDescent="0.2">
      <c r="B839" s="42">
        <v>6</v>
      </c>
      <c r="C839" s="89"/>
      <c r="D839" s="89"/>
      <c r="E839" s="277" t="s">
        <v>221</v>
      </c>
      <c r="F839" s="390"/>
      <c r="G839" s="391"/>
      <c r="H839" s="392"/>
      <c r="I839" s="266"/>
      <c r="J839" s="20"/>
      <c r="K839" s="98"/>
      <c r="L839" s="20"/>
      <c r="M839" s="98"/>
      <c r="N839" s="20"/>
      <c r="O839" s="98"/>
      <c r="P839" s="75" t="s">
        <v>212</v>
      </c>
      <c r="Q839" s="75"/>
      <c r="R839" s="75" t="s">
        <v>212</v>
      </c>
      <c r="S839" s="75"/>
      <c r="T839" s="100"/>
      <c r="U839" s="75"/>
      <c r="V839" s="75" t="s">
        <v>212</v>
      </c>
      <c r="W839" s="89"/>
      <c r="X839" s="42" t="str">
        <f>IF($B839&lt;=入力シート!$F$85,""&amp;中間シート!X684,"")</f>
        <v/>
      </c>
      <c r="AQ839" s="81">
        <f>中間シート!E684</f>
        <v>0</v>
      </c>
      <c r="AR839" s="86">
        <f>IF(F839="含まれている",1,IF(F839="含まれていない",2,0))</f>
        <v>0</v>
      </c>
      <c r="AS839" s="86" t="str">
        <f>中間シート!P530</f>
        <v/>
      </c>
    </row>
    <row r="840" spans="2:45" ht="5.0999999999999996" customHeight="1" thickBot="1" x14ac:dyDescent="0.2">
      <c r="C840" s="89"/>
      <c r="D840" s="89"/>
      <c r="E840" s="278"/>
      <c r="F840" s="100"/>
      <c r="G840" s="100"/>
      <c r="H840" s="100"/>
      <c r="I840" s="267"/>
      <c r="J840" s="101"/>
      <c r="K840" s="101"/>
      <c r="L840" s="101"/>
      <c r="M840" s="101"/>
      <c r="N840" s="101"/>
      <c r="O840" s="101"/>
      <c r="P840" s="75" t="s">
        <v>212</v>
      </c>
      <c r="Q840" s="100"/>
      <c r="R840" s="75" t="s">
        <v>212</v>
      </c>
      <c r="S840" s="75"/>
      <c r="T840" s="100"/>
      <c r="U840" s="75"/>
      <c r="V840" s="75" t="s">
        <v>212</v>
      </c>
      <c r="W840" s="89"/>
      <c r="X840" s="42" t="s">
        <v>212</v>
      </c>
      <c r="AQ840" s="21" t="s">
        <v>212</v>
      </c>
      <c r="AR840" s="86"/>
      <c r="AS840" s="86" t="s">
        <v>212</v>
      </c>
    </row>
    <row r="841" spans="2:45" ht="18" customHeight="1" thickBot="1" x14ac:dyDescent="0.2">
      <c r="B841" s="42">
        <v>6</v>
      </c>
      <c r="C841" s="89"/>
      <c r="D841" s="89"/>
      <c r="E841" s="277" t="s">
        <v>222</v>
      </c>
      <c r="F841" s="390"/>
      <c r="G841" s="391"/>
      <c r="H841" s="392"/>
      <c r="I841" s="266"/>
      <c r="J841" s="20"/>
      <c r="K841" s="98"/>
      <c r="L841" s="20"/>
      <c r="M841" s="98"/>
      <c r="N841" s="20"/>
      <c r="O841" s="98"/>
      <c r="P841" s="75" t="s">
        <v>212</v>
      </c>
      <c r="Q841" s="75"/>
      <c r="R841" s="75" t="s">
        <v>212</v>
      </c>
      <c r="S841" s="75"/>
      <c r="T841" s="100"/>
      <c r="U841" s="75"/>
      <c r="V841" s="75" t="s">
        <v>212</v>
      </c>
      <c r="W841" s="89"/>
      <c r="X841" s="42" t="str">
        <f>IF($B841&lt;=入力シート!$F$85,""&amp;中間シート!X685,"")</f>
        <v/>
      </c>
      <c r="AQ841" s="81">
        <f>中間シート!E685</f>
        <v>0</v>
      </c>
      <c r="AR841" s="86">
        <f>IF(F841="含まれている",1,IF(F841="含まれていない",2,0))</f>
        <v>0</v>
      </c>
      <c r="AS841" s="86" t="str">
        <f>中間シート!P531</f>
        <v/>
      </c>
    </row>
    <row r="842" spans="2:45" x14ac:dyDescent="0.15">
      <c r="C842" s="89"/>
      <c r="D842" s="89"/>
      <c r="E842" s="280"/>
      <c r="F842" s="101"/>
      <c r="G842" s="101"/>
      <c r="H842" s="101"/>
      <c r="I842" s="101"/>
      <c r="J842" s="101"/>
      <c r="K842" s="101"/>
      <c r="L842" s="101"/>
      <c r="M842" s="100"/>
      <c r="N842" s="75"/>
      <c r="O842" s="75"/>
      <c r="P842" s="101" t="s">
        <v>212</v>
      </c>
      <c r="Q842" s="75"/>
      <c r="R842" s="75" t="s">
        <v>212</v>
      </c>
      <c r="S842" s="75"/>
      <c r="T842" s="75"/>
      <c r="U842" s="75"/>
      <c r="V842" s="75" t="s">
        <v>212</v>
      </c>
      <c r="W842" s="89"/>
      <c r="X842" s="42" t="s">
        <v>212</v>
      </c>
      <c r="AQ842" s="86" t="s">
        <v>212</v>
      </c>
      <c r="AR842" s="86"/>
      <c r="AS842" s="86" t="s">
        <v>212</v>
      </c>
    </row>
    <row r="843" spans="2:45" ht="14.25" thickBot="1" x14ac:dyDescent="0.2">
      <c r="C843" s="49"/>
      <c r="D843" s="49"/>
      <c r="E843" s="279"/>
      <c r="F843" s="22"/>
      <c r="G843" s="22"/>
      <c r="H843" s="22"/>
      <c r="I843" s="262"/>
      <c r="J843" s="22"/>
      <c r="K843" s="22"/>
      <c r="L843" s="22"/>
      <c r="M843" s="22"/>
      <c r="N843" s="22"/>
      <c r="O843" s="22"/>
      <c r="P843" s="22" t="s">
        <v>212</v>
      </c>
      <c r="Q843" s="78"/>
      <c r="R843" s="22" t="s">
        <v>212</v>
      </c>
      <c r="S843" s="22"/>
      <c r="T843" s="78"/>
      <c r="U843" s="78"/>
      <c r="V843" s="22" t="s">
        <v>212</v>
      </c>
      <c r="W843" s="49"/>
      <c r="X843" s="42" t="s">
        <v>212</v>
      </c>
      <c r="AQ843" s="86" t="s">
        <v>212</v>
      </c>
      <c r="AR843" s="86"/>
      <c r="AS843" s="86" t="s">
        <v>212</v>
      </c>
    </row>
    <row r="844" spans="2:45" ht="18" customHeight="1" thickBot="1" x14ac:dyDescent="0.2">
      <c r="B844" s="42">
        <v>7</v>
      </c>
      <c r="C844" s="49"/>
      <c r="D844" s="52" t="s">
        <v>162</v>
      </c>
      <c r="E844" s="275" t="s">
        <v>220</v>
      </c>
      <c r="F844" s="390"/>
      <c r="G844" s="391"/>
      <c r="H844" s="392"/>
      <c r="I844" s="263"/>
      <c r="J844" s="20"/>
      <c r="K844" s="30"/>
      <c r="L844" s="20"/>
      <c r="M844" s="30"/>
      <c r="N844" s="20"/>
      <c r="O844" s="30"/>
      <c r="P844" s="283">
        <f>中間シート!D826</f>
        <v>0</v>
      </c>
      <c r="Q844" s="78"/>
      <c r="R844" s="283">
        <f>中間シート!G826</f>
        <v>0</v>
      </c>
      <c r="S844" s="78"/>
      <c r="T844" s="97" t="s">
        <v>95</v>
      </c>
      <c r="U844" s="78"/>
      <c r="V844" s="283">
        <f>中間シート!H826</f>
        <v>0</v>
      </c>
      <c r="W844" s="49"/>
      <c r="X844" s="42" t="str">
        <f>IF($B844&lt;=入力シート!$F$85,""&amp;中間シート!X686,"")</f>
        <v/>
      </c>
      <c r="AQ844" s="81">
        <f>中間シート!E686</f>
        <v>0</v>
      </c>
      <c r="AR844" s="86">
        <f>IF(F844="含まれている",1,IF(F844="含まれていない",2,0))</f>
        <v>0</v>
      </c>
      <c r="AS844" s="86" t="str">
        <f>中間シート!P532</f>
        <v/>
      </c>
    </row>
    <row r="845" spans="2:45" ht="5.0999999999999996" customHeight="1" thickBot="1" x14ac:dyDescent="0.2">
      <c r="C845" s="49"/>
      <c r="D845" s="49"/>
      <c r="E845" s="276"/>
      <c r="F845" s="22"/>
      <c r="G845" s="22"/>
      <c r="H845" s="22"/>
      <c r="I845" s="262"/>
      <c r="J845" s="31"/>
      <c r="K845" s="31"/>
      <c r="L845" s="31"/>
      <c r="M845" s="31"/>
      <c r="N845" s="31"/>
      <c r="O845" s="31"/>
      <c r="P845" s="78" t="s">
        <v>212</v>
      </c>
      <c r="Q845" s="22"/>
      <c r="R845" s="78" t="s">
        <v>212</v>
      </c>
      <c r="S845" s="78"/>
      <c r="T845" s="22"/>
      <c r="U845" s="78"/>
      <c r="V845" s="78" t="s">
        <v>212</v>
      </c>
      <c r="W845" s="49"/>
      <c r="X845" s="42" t="s">
        <v>212</v>
      </c>
      <c r="AQ845" s="86" t="s">
        <v>212</v>
      </c>
      <c r="AR845" s="86"/>
      <c r="AS845" s="86" t="s">
        <v>212</v>
      </c>
    </row>
    <row r="846" spans="2:45" ht="18" customHeight="1" thickBot="1" x14ac:dyDescent="0.2">
      <c r="B846" s="42">
        <v>7</v>
      </c>
      <c r="C846" s="49"/>
      <c r="D846" s="49"/>
      <c r="E846" s="275" t="s">
        <v>221</v>
      </c>
      <c r="F846" s="390"/>
      <c r="G846" s="391"/>
      <c r="H846" s="392"/>
      <c r="I846" s="263"/>
      <c r="J846" s="20"/>
      <c r="K846" s="30"/>
      <c r="L846" s="20"/>
      <c r="M846" s="30"/>
      <c r="N846" s="20"/>
      <c r="O846" s="30"/>
      <c r="P846" s="78" t="s">
        <v>212</v>
      </c>
      <c r="Q846" s="78"/>
      <c r="R846" s="78" t="s">
        <v>212</v>
      </c>
      <c r="S846" s="78"/>
      <c r="T846" s="22"/>
      <c r="U846" s="78"/>
      <c r="V846" s="78" t="s">
        <v>212</v>
      </c>
      <c r="W846" s="49"/>
      <c r="X846" s="42" t="str">
        <f>IF($B846&lt;=入力シート!$F$85,""&amp;中間シート!X687,"")</f>
        <v/>
      </c>
      <c r="AQ846" s="81">
        <f>中間シート!E687</f>
        <v>0</v>
      </c>
      <c r="AR846" s="86">
        <f>IF(F846="含まれている",1,IF(F846="含まれていない",2,0))</f>
        <v>0</v>
      </c>
      <c r="AS846" s="86" t="str">
        <f>中間シート!P533</f>
        <v/>
      </c>
    </row>
    <row r="847" spans="2:45" ht="5.0999999999999996" customHeight="1" thickBot="1" x14ac:dyDescent="0.2">
      <c r="C847" s="49"/>
      <c r="D847" s="49"/>
      <c r="E847" s="276"/>
      <c r="F847" s="22"/>
      <c r="G847" s="22"/>
      <c r="H847" s="22"/>
      <c r="I847" s="262"/>
      <c r="J847" s="31"/>
      <c r="K847" s="31"/>
      <c r="L847" s="31"/>
      <c r="M847" s="31"/>
      <c r="N847" s="31"/>
      <c r="O847" s="31"/>
      <c r="P847" s="78" t="s">
        <v>212</v>
      </c>
      <c r="Q847" s="22"/>
      <c r="R847" s="78" t="s">
        <v>212</v>
      </c>
      <c r="S847" s="78"/>
      <c r="T847" s="22"/>
      <c r="U847" s="78"/>
      <c r="V847" s="78" t="s">
        <v>212</v>
      </c>
      <c r="W847" s="49"/>
      <c r="X847" s="42" t="s">
        <v>212</v>
      </c>
      <c r="AQ847" s="21" t="s">
        <v>212</v>
      </c>
      <c r="AR847" s="86"/>
      <c r="AS847" s="86" t="s">
        <v>212</v>
      </c>
    </row>
    <row r="848" spans="2:45" ht="18" customHeight="1" thickBot="1" x14ac:dyDescent="0.2">
      <c r="B848" s="42">
        <v>7</v>
      </c>
      <c r="C848" s="49"/>
      <c r="D848" s="49"/>
      <c r="E848" s="275" t="s">
        <v>222</v>
      </c>
      <c r="F848" s="390"/>
      <c r="G848" s="391"/>
      <c r="H848" s="392"/>
      <c r="I848" s="263"/>
      <c r="J848" s="20"/>
      <c r="K848" s="30"/>
      <c r="L848" s="20"/>
      <c r="M848" s="30"/>
      <c r="N848" s="20"/>
      <c r="O848" s="30"/>
      <c r="P848" s="78" t="s">
        <v>212</v>
      </c>
      <c r="Q848" s="78"/>
      <c r="R848" s="78" t="s">
        <v>212</v>
      </c>
      <c r="S848" s="78"/>
      <c r="T848" s="22"/>
      <c r="U848" s="78"/>
      <c r="V848" s="78" t="s">
        <v>212</v>
      </c>
      <c r="W848" s="49"/>
      <c r="X848" s="42" t="str">
        <f>IF($B848&lt;=入力シート!$F$85,""&amp;中間シート!X688,"")</f>
        <v/>
      </c>
      <c r="AQ848" s="81">
        <f>中間シート!E688</f>
        <v>0</v>
      </c>
      <c r="AR848" s="86">
        <f>IF(F848="含まれている",1,IF(F848="含まれていない",2,0))</f>
        <v>0</v>
      </c>
      <c r="AS848" s="86" t="str">
        <f>中間シート!P534</f>
        <v/>
      </c>
    </row>
    <row r="849" spans="2:45" x14ac:dyDescent="0.15">
      <c r="C849" s="49"/>
      <c r="D849" s="49"/>
      <c r="E849" s="55"/>
      <c r="F849" s="31"/>
      <c r="G849" s="31"/>
      <c r="H849" s="31"/>
      <c r="I849" s="31"/>
      <c r="J849" s="31"/>
      <c r="K849" s="31"/>
      <c r="L849" s="31"/>
      <c r="M849" s="22"/>
      <c r="N849" s="78"/>
      <c r="O849" s="78"/>
      <c r="P849" s="31" t="s">
        <v>212</v>
      </c>
      <c r="Q849" s="78"/>
      <c r="R849" s="78" t="s">
        <v>212</v>
      </c>
      <c r="S849" s="78"/>
      <c r="T849" s="78"/>
      <c r="U849" s="78"/>
      <c r="V849" s="78" t="s">
        <v>212</v>
      </c>
      <c r="W849" s="49"/>
      <c r="X849" s="42" t="s">
        <v>212</v>
      </c>
      <c r="AQ849" s="86" t="s">
        <v>212</v>
      </c>
      <c r="AR849" s="86"/>
      <c r="AS849" s="86" t="s">
        <v>212</v>
      </c>
    </row>
    <row r="850" spans="2:45" ht="14.25" thickBot="1" x14ac:dyDescent="0.2">
      <c r="C850" s="89"/>
      <c r="D850" s="89"/>
      <c r="E850" s="280"/>
      <c r="F850" s="89"/>
      <c r="G850" s="89"/>
      <c r="H850" s="89"/>
      <c r="I850" s="265"/>
      <c r="J850" s="89"/>
      <c r="K850" s="89"/>
      <c r="L850" s="89"/>
      <c r="M850" s="89"/>
      <c r="N850" s="89"/>
      <c r="O850" s="89"/>
      <c r="P850" s="89" t="s">
        <v>212</v>
      </c>
      <c r="Q850" s="89"/>
      <c r="R850" s="89" t="s">
        <v>212</v>
      </c>
      <c r="S850" s="89"/>
      <c r="T850" s="89"/>
      <c r="U850" s="89"/>
      <c r="V850" s="89" t="s">
        <v>212</v>
      </c>
      <c r="W850" s="89"/>
      <c r="X850" s="42" t="s">
        <v>212</v>
      </c>
      <c r="AQ850" s="86" t="s">
        <v>212</v>
      </c>
      <c r="AR850" s="86"/>
      <c r="AS850" s="86" t="s">
        <v>212</v>
      </c>
    </row>
    <row r="851" spans="2:45" ht="18" customHeight="1" thickBot="1" x14ac:dyDescent="0.2">
      <c r="B851" s="42">
        <v>8</v>
      </c>
      <c r="C851" s="89"/>
      <c r="D851" s="91" t="s">
        <v>163</v>
      </c>
      <c r="E851" s="277" t="s">
        <v>220</v>
      </c>
      <c r="F851" s="390"/>
      <c r="G851" s="391"/>
      <c r="H851" s="392"/>
      <c r="I851" s="266"/>
      <c r="J851" s="20"/>
      <c r="K851" s="98"/>
      <c r="L851" s="20"/>
      <c r="M851" s="98"/>
      <c r="N851" s="20"/>
      <c r="O851" s="98"/>
      <c r="P851" s="283">
        <f>中間シート!D827</f>
        <v>0</v>
      </c>
      <c r="Q851" s="75"/>
      <c r="R851" s="283">
        <f>中間シート!G827</f>
        <v>0</v>
      </c>
      <c r="S851" s="75"/>
      <c r="T851" s="99" t="s">
        <v>95</v>
      </c>
      <c r="U851" s="75"/>
      <c r="V851" s="283">
        <f>中間シート!H827</f>
        <v>0</v>
      </c>
      <c r="W851" s="89"/>
      <c r="X851" s="42" t="str">
        <f>IF($B851&lt;=入力シート!$F$85,""&amp;中間シート!X689,"")</f>
        <v/>
      </c>
      <c r="AQ851" s="81">
        <f>中間シート!E689</f>
        <v>0</v>
      </c>
      <c r="AR851" s="86">
        <f>IF(F851="含まれている",1,IF(F851="含まれていない",2,0))</f>
        <v>0</v>
      </c>
      <c r="AS851" s="86" t="str">
        <f>中間シート!P535</f>
        <v/>
      </c>
    </row>
    <row r="852" spans="2:45" ht="5.0999999999999996" customHeight="1" thickBot="1" x14ac:dyDescent="0.2">
      <c r="C852" s="89"/>
      <c r="D852" s="89"/>
      <c r="E852" s="278"/>
      <c r="F852" s="100"/>
      <c r="G852" s="100"/>
      <c r="H852" s="100"/>
      <c r="I852" s="267"/>
      <c r="J852" s="101"/>
      <c r="K852" s="101"/>
      <c r="L852" s="101"/>
      <c r="M852" s="101"/>
      <c r="N852" s="101"/>
      <c r="O852" s="101"/>
      <c r="P852" s="75" t="s">
        <v>212</v>
      </c>
      <c r="Q852" s="100"/>
      <c r="R852" s="75" t="s">
        <v>212</v>
      </c>
      <c r="S852" s="75"/>
      <c r="T852" s="100"/>
      <c r="U852" s="75"/>
      <c r="V852" s="75" t="s">
        <v>212</v>
      </c>
      <c r="W852" s="89"/>
      <c r="X852" s="42" t="s">
        <v>212</v>
      </c>
      <c r="AQ852" s="86" t="s">
        <v>212</v>
      </c>
      <c r="AR852" s="86"/>
      <c r="AS852" s="86" t="s">
        <v>212</v>
      </c>
    </row>
    <row r="853" spans="2:45" ht="18" customHeight="1" thickBot="1" x14ac:dyDescent="0.2">
      <c r="B853" s="42">
        <v>8</v>
      </c>
      <c r="C853" s="89"/>
      <c r="D853" s="89"/>
      <c r="E853" s="277" t="s">
        <v>221</v>
      </c>
      <c r="F853" s="390"/>
      <c r="G853" s="391"/>
      <c r="H853" s="392"/>
      <c r="I853" s="266"/>
      <c r="J853" s="20"/>
      <c r="K853" s="98"/>
      <c r="L853" s="20"/>
      <c r="M853" s="98"/>
      <c r="N853" s="20"/>
      <c r="O853" s="98"/>
      <c r="P853" s="75" t="s">
        <v>212</v>
      </c>
      <c r="Q853" s="75"/>
      <c r="R853" s="75" t="s">
        <v>212</v>
      </c>
      <c r="S853" s="75"/>
      <c r="T853" s="100"/>
      <c r="U853" s="75"/>
      <c r="V853" s="75" t="s">
        <v>212</v>
      </c>
      <c r="W853" s="89"/>
      <c r="X853" s="42" t="str">
        <f>IF($B853&lt;=入力シート!$F$85,""&amp;中間シート!X690,"")</f>
        <v/>
      </c>
      <c r="AQ853" s="81">
        <f>中間シート!E690</f>
        <v>0</v>
      </c>
      <c r="AR853" s="86">
        <f>IF(F853="含まれている",1,IF(F853="含まれていない",2,0))</f>
        <v>0</v>
      </c>
      <c r="AS853" s="86" t="str">
        <f>中間シート!P536</f>
        <v/>
      </c>
    </row>
    <row r="854" spans="2:45" ht="5.0999999999999996" customHeight="1" thickBot="1" x14ac:dyDescent="0.2">
      <c r="C854" s="89"/>
      <c r="D854" s="89"/>
      <c r="E854" s="278"/>
      <c r="F854" s="100"/>
      <c r="G854" s="100"/>
      <c r="H854" s="100"/>
      <c r="I854" s="267"/>
      <c r="J854" s="101"/>
      <c r="K854" s="101"/>
      <c r="L854" s="101"/>
      <c r="M854" s="101"/>
      <c r="N854" s="101"/>
      <c r="O854" s="101"/>
      <c r="P854" s="75" t="s">
        <v>212</v>
      </c>
      <c r="Q854" s="100"/>
      <c r="R854" s="75" t="s">
        <v>212</v>
      </c>
      <c r="S854" s="75"/>
      <c r="T854" s="100"/>
      <c r="U854" s="75"/>
      <c r="V854" s="75" t="s">
        <v>212</v>
      </c>
      <c r="W854" s="89"/>
      <c r="X854" s="42" t="s">
        <v>212</v>
      </c>
      <c r="AQ854" s="21" t="s">
        <v>212</v>
      </c>
      <c r="AR854" s="86"/>
      <c r="AS854" s="86" t="s">
        <v>212</v>
      </c>
    </row>
    <row r="855" spans="2:45" ht="18" customHeight="1" thickBot="1" x14ac:dyDescent="0.2">
      <c r="B855" s="42">
        <v>8</v>
      </c>
      <c r="C855" s="89"/>
      <c r="D855" s="89"/>
      <c r="E855" s="277" t="s">
        <v>222</v>
      </c>
      <c r="F855" s="390"/>
      <c r="G855" s="391"/>
      <c r="H855" s="392"/>
      <c r="I855" s="266"/>
      <c r="J855" s="20"/>
      <c r="K855" s="98"/>
      <c r="L855" s="20"/>
      <c r="M855" s="98"/>
      <c r="N855" s="20"/>
      <c r="O855" s="98"/>
      <c r="P855" s="75" t="s">
        <v>212</v>
      </c>
      <c r="Q855" s="75"/>
      <c r="R855" s="75" t="s">
        <v>212</v>
      </c>
      <c r="S855" s="75"/>
      <c r="T855" s="100"/>
      <c r="U855" s="75"/>
      <c r="V855" s="75" t="s">
        <v>212</v>
      </c>
      <c r="W855" s="89"/>
      <c r="X855" s="42" t="str">
        <f>IF($B855&lt;=入力シート!$F$85,""&amp;中間シート!X691,"")</f>
        <v/>
      </c>
      <c r="AQ855" s="81">
        <f>中間シート!E691</f>
        <v>0</v>
      </c>
      <c r="AR855" s="86">
        <f>IF(F855="含まれている",1,IF(F855="含まれていない",2,0))</f>
        <v>0</v>
      </c>
      <c r="AS855" s="86" t="str">
        <f>中間シート!P537</f>
        <v/>
      </c>
    </row>
    <row r="856" spans="2:45" x14ac:dyDescent="0.15">
      <c r="C856" s="89"/>
      <c r="D856" s="89"/>
      <c r="E856" s="280"/>
      <c r="F856" s="101"/>
      <c r="G856" s="101"/>
      <c r="H856" s="101"/>
      <c r="I856" s="101"/>
      <c r="J856" s="101"/>
      <c r="K856" s="101"/>
      <c r="L856" s="101"/>
      <c r="M856" s="100"/>
      <c r="N856" s="75"/>
      <c r="O856" s="75"/>
      <c r="P856" s="101" t="s">
        <v>212</v>
      </c>
      <c r="Q856" s="75"/>
      <c r="R856" s="75" t="s">
        <v>212</v>
      </c>
      <c r="S856" s="75"/>
      <c r="T856" s="75"/>
      <c r="U856" s="75"/>
      <c r="V856" s="75" t="s">
        <v>212</v>
      </c>
      <c r="W856" s="89"/>
      <c r="X856" s="42" t="s">
        <v>212</v>
      </c>
      <c r="AQ856" s="86" t="s">
        <v>212</v>
      </c>
      <c r="AR856" s="86"/>
      <c r="AS856" s="86" t="s">
        <v>212</v>
      </c>
    </row>
    <row r="857" spans="2:45" ht="14.25" thickBot="1" x14ac:dyDescent="0.2">
      <c r="C857" s="49"/>
      <c r="D857" s="49"/>
      <c r="E857" s="279"/>
      <c r="F857" s="22"/>
      <c r="G857" s="22"/>
      <c r="H857" s="22"/>
      <c r="I857" s="262"/>
      <c r="J857" s="22"/>
      <c r="K857" s="22"/>
      <c r="L857" s="22"/>
      <c r="M857" s="22"/>
      <c r="N857" s="22"/>
      <c r="O857" s="22"/>
      <c r="P857" s="22" t="s">
        <v>212</v>
      </c>
      <c r="Q857" s="78"/>
      <c r="R857" s="22" t="s">
        <v>212</v>
      </c>
      <c r="S857" s="22"/>
      <c r="T857" s="78"/>
      <c r="U857" s="78"/>
      <c r="V857" s="22" t="s">
        <v>212</v>
      </c>
      <c r="W857" s="49"/>
      <c r="X857" s="42" t="s">
        <v>212</v>
      </c>
      <c r="AQ857" s="86" t="s">
        <v>212</v>
      </c>
      <c r="AR857" s="86"/>
      <c r="AS857" s="86" t="s">
        <v>212</v>
      </c>
    </row>
    <row r="858" spans="2:45" ht="18" customHeight="1" thickBot="1" x14ac:dyDescent="0.2">
      <c r="B858" s="42">
        <v>9</v>
      </c>
      <c r="C858" s="49"/>
      <c r="D858" s="52" t="s">
        <v>164</v>
      </c>
      <c r="E858" s="275" t="s">
        <v>220</v>
      </c>
      <c r="F858" s="390"/>
      <c r="G858" s="391"/>
      <c r="H858" s="392"/>
      <c r="I858" s="263"/>
      <c r="J858" s="20"/>
      <c r="K858" s="30"/>
      <c r="L858" s="20"/>
      <c r="M858" s="30"/>
      <c r="N858" s="20"/>
      <c r="O858" s="30"/>
      <c r="P858" s="283">
        <f>中間シート!D828</f>
        <v>0</v>
      </c>
      <c r="Q858" s="78"/>
      <c r="R858" s="283">
        <f>中間シート!G828</f>
        <v>0</v>
      </c>
      <c r="S858" s="78"/>
      <c r="T858" s="97" t="s">
        <v>95</v>
      </c>
      <c r="U858" s="78"/>
      <c r="V858" s="283">
        <f>中間シート!H828</f>
        <v>0</v>
      </c>
      <c r="W858" s="49"/>
      <c r="X858" s="42" t="str">
        <f>IF($B858&lt;=入力シート!$F$85,""&amp;中間シート!X692,"")</f>
        <v/>
      </c>
      <c r="AQ858" s="81">
        <f>中間シート!E692</f>
        <v>0</v>
      </c>
      <c r="AR858" s="86">
        <f>IF(F858="含まれている",1,IF(F858="含まれていない",2,0))</f>
        <v>0</v>
      </c>
      <c r="AS858" s="86" t="str">
        <f>中間シート!P538</f>
        <v/>
      </c>
    </row>
    <row r="859" spans="2:45" ht="5.0999999999999996" customHeight="1" thickBot="1" x14ac:dyDescent="0.2">
      <c r="C859" s="49"/>
      <c r="D859" s="49"/>
      <c r="E859" s="276"/>
      <c r="F859" s="22"/>
      <c r="G859" s="22"/>
      <c r="H859" s="22"/>
      <c r="I859" s="262"/>
      <c r="J859" s="31"/>
      <c r="K859" s="31"/>
      <c r="L859" s="31"/>
      <c r="M859" s="31"/>
      <c r="N859" s="31"/>
      <c r="O859" s="31"/>
      <c r="P859" s="78" t="s">
        <v>212</v>
      </c>
      <c r="Q859" s="22"/>
      <c r="R859" s="78" t="s">
        <v>212</v>
      </c>
      <c r="S859" s="78"/>
      <c r="T859" s="22"/>
      <c r="U859" s="78"/>
      <c r="V859" s="78" t="s">
        <v>212</v>
      </c>
      <c r="W859" s="49"/>
      <c r="X859" s="42" t="s">
        <v>212</v>
      </c>
      <c r="AQ859" s="86" t="s">
        <v>212</v>
      </c>
      <c r="AR859" s="86"/>
      <c r="AS859" s="86" t="s">
        <v>212</v>
      </c>
    </row>
    <row r="860" spans="2:45" ht="18" customHeight="1" thickBot="1" x14ac:dyDescent="0.2">
      <c r="B860" s="42">
        <v>9</v>
      </c>
      <c r="C860" s="49"/>
      <c r="D860" s="49"/>
      <c r="E860" s="275" t="s">
        <v>221</v>
      </c>
      <c r="F860" s="390"/>
      <c r="G860" s="391"/>
      <c r="H860" s="392"/>
      <c r="I860" s="263"/>
      <c r="J860" s="20"/>
      <c r="K860" s="30"/>
      <c r="L860" s="20"/>
      <c r="M860" s="30"/>
      <c r="N860" s="20"/>
      <c r="O860" s="30"/>
      <c r="P860" s="78" t="s">
        <v>212</v>
      </c>
      <c r="Q860" s="78"/>
      <c r="R860" s="78" t="s">
        <v>212</v>
      </c>
      <c r="S860" s="78"/>
      <c r="T860" s="22"/>
      <c r="U860" s="78"/>
      <c r="V860" s="78" t="s">
        <v>212</v>
      </c>
      <c r="W860" s="49"/>
      <c r="X860" s="42" t="str">
        <f>IF($B860&lt;=入力シート!$F$85,""&amp;中間シート!X693,"")</f>
        <v/>
      </c>
      <c r="AQ860" s="81">
        <f>中間シート!E693</f>
        <v>0</v>
      </c>
      <c r="AR860" s="86">
        <f>IF(F860="含まれている",1,IF(F860="含まれていない",2,0))</f>
        <v>0</v>
      </c>
      <c r="AS860" s="86" t="str">
        <f>中間シート!P539</f>
        <v/>
      </c>
    </row>
    <row r="861" spans="2:45" ht="5.0999999999999996" customHeight="1" thickBot="1" x14ac:dyDescent="0.2">
      <c r="C861" s="49"/>
      <c r="D861" s="49"/>
      <c r="E861" s="276"/>
      <c r="F861" s="22"/>
      <c r="G861" s="22"/>
      <c r="H861" s="22"/>
      <c r="I861" s="262"/>
      <c r="J861" s="31"/>
      <c r="K861" s="31"/>
      <c r="L861" s="31"/>
      <c r="M861" s="31"/>
      <c r="N861" s="31"/>
      <c r="O861" s="31"/>
      <c r="P861" s="78" t="s">
        <v>212</v>
      </c>
      <c r="Q861" s="22"/>
      <c r="R861" s="78" t="s">
        <v>212</v>
      </c>
      <c r="S861" s="78"/>
      <c r="T861" s="22"/>
      <c r="U861" s="78"/>
      <c r="V861" s="78" t="s">
        <v>212</v>
      </c>
      <c r="W861" s="49"/>
      <c r="X861" s="42" t="s">
        <v>212</v>
      </c>
      <c r="AQ861" s="21" t="s">
        <v>212</v>
      </c>
      <c r="AR861" s="86"/>
      <c r="AS861" s="86" t="s">
        <v>212</v>
      </c>
    </row>
    <row r="862" spans="2:45" ht="18" customHeight="1" thickBot="1" x14ac:dyDescent="0.2">
      <c r="B862" s="42">
        <v>9</v>
      </c>
      <c r="C862" s="49"/>
      <c r="D862" s="49"/>
      <c r="E862" s="275" t="s">
        <v>222</v>
      </c>
      <c r="F862" s="390"/>
      <c r="G862" s="391"/>
      <c r="H862" s="392"/>
      <c r="I862" s="263"/>
      <c r="J862" s="20"/>
      <c r="K862" s="30"/>
      <c r="L862" s="20"/>
      <c r="M862" s="30"/>
      <c r="N862" s="20"/>
      <c r="O862" s="30"/>
      <c r="P862" s="78" t="s">
        <v>212</v>
      </c>
      <c r="Q862" s="78"/>
      <c r="R862" s="78" t="s">
        <v>212</v>
      </c>
      <c r="S862" s="78"/>
      <c r="T862" s="22"/>
      <c r="U862" s="78"/>
      <c r="V862" s="78" t="s">
        <v>212</v>
      </c>
      <c r="W862" s="49"/>
      <c r="X862" s="42" t="str">
        <f>IF($B862&lt;=入力シート!$F$85,""&amp;中間シート!X694,"")</f>
        <v/>
      </c>
      <c r="AQ862" s="81">
        <f>中間シート!E694</f>
        <v>0</v>
      </c>
      <c r="AR862" s="86">
        <f>IF(F862="含まれている",1,IF(F862="含まれていない",2,0))</f>
        <v>0</v>
      </c>
      <c r="AS862" s="86" t="str">
        <f>中間シート!P540</f>
        <v/>
      </c>
    </row>
    <row r="863" spans="2:45" x14ac:dyDescent="0.15">
      <c r="C863" s="49"/>
      <c r="D863" s="49"/>
      <c r="E863" s="55"/>
      <c r="F863" s="31"/>
      <c r="G863" s="31"/>
      <c r="H863" s="31"/>
      <c r="I863" s="31"/>
      <c r="J863" s="31"/>
      <c r="K863" s="31"/>
      <c r="L863" s="31"/>
      <c r="M863" s="22"/>
      <c r="N863" s="78"/>
      <c r="O863" s="78"/>
      <c r="P863" s="31" t="s">
        <v>212</v>
      </c>
      <c r="Q863" s="78"/>
      <c r="R863" s="78" t="s">
        <v>212</v>
      </c>
      <c r="S863" s="78"/>
      <c r="T863" s="78"/>
      <c r="U863" s="78"/>
      <c r="V863" s="78" t="s">
        <v>212</v>
      </c>
      <c r="W863" s="49"/>
      <c r="X863" s="42" t="s">
        <v>212</v>
      </c>
      <c r="AQ863" s="86" t="s">
        <v>212</v>
      </c>
      <c r="AR863" s="86"/>
      <c r="AS863" s="86" t="s">
        <v>212</v>
      </c>
    </row>
    <row r="864" spans="2:45" ht="14.25" thickBot="1" x14ac:dyDescent="0.2">
      <c r="C864" s="89"/>
      <c r="D864" s="89"/>
      <c r="E864" s="280"/>
      <c r="F864" s="89"/>
      <c r="G864" s="89"/>
      <c r="H864" s="89"/>
      <c r="I864" s="265"/>
      <c r="J864" s="89"/>
      <c r="K864" s="89"/>
      <c r="L864" s="89"/>
      <c r="M864" s="89"/>
      <c r="N864" s="89"/>
      <c r="O864" s="89"/>
      <c r="P864" s="89" t="s">
        <v>212</v>
      </c>
      <c r="Q864" s="89"/>
      <c r="R864" s="89" t="s">
        <v>212</v>
      </c>
      <c r="S864" s="89"/>
      <c r="T864" s="89"/>
      <c r="U864" s="89"/>
      <c r="V864" s="89" t="s">
        <v>212</v>
      </c>
      <c r="W864" s="89"/>
      <c r="X864" s="42" t="s">
        <v>212</v>
      </c>
      <c r="AQ864" s="86" t="s">
        <v>212</v>
      </c>
      <c r="AR864" s="86"/>
      <c r="AS864" s="86" t="s">
        <v>212</v>
      </c>
    </row>
    <row r="865" spans="2:45" ht="18" customHeight="1" thickBot="1" x14ac:dyDescent="0.2">
      <c r="B865" s="42">
        <v>10</v>
      </c>
      <c r="C865" s="89"/>
      <c r="D865" s="91" t="s">
        <v>165</v>
      </c>
      <c r="E865" s="277" t="s">
        <v>220</v>
      </c>
      <c r="F865" s="390"/>
      <c r="G865" s="391"/>
      <c r="H865" s="392"/>
      <c r="I865" s="266"/>
      <c r="J865" s="20"/>
      <c r="K865" s="98"/>
      <c r="L865" s="20"/>
      <c r="M865" s="98"/>
      <c r="N865" s="20"/>
      <c r="O865" s="98"/>
      <c r="P865" s="283">
        <f>中間シート!D829</f>
        <v>0</v>
      </c>
      <c r="Q865" s="75"/>
      <c r="R865" s="283">
        <f>中間シート!G829</f>
        <v>0</v>
      </c>
      <c r="S865" s="75"/>
      <c r="T865" s="99" t="s">
        <v>95</v>
      </c>
      <c r="U865" s="75"/>
      <c r="V865" s="283">
        <f>中間シート!H829</f>
        <v>0</v>
      </c>
      <c r="W865" s="89"/>
      <c r="X865" s="42" t="str">
        <f>IF($B865&lt;=入力シート!$F$85,""&amp;中間シート!X695,"")</f>
        <v/>
      </c>
      <c r="AQ865" s="81">
        <f>中間シート!E695</f>
        <v>0</v>
      </c>
      <c r="AR865" s="86">
        <f>IF(F865="含まれている",1,IF(F865="含まれていない",2,0))</f>
        <v>0</v>
      </c>
      <c r="AS865" s="86" t="str">
        <f>中間シート!P541</f>
        <v/>
      </c>
    </row>
    <row r="866" spans="2:45" ht="5.0999999999999996" customHeight="1" thickBot="1" x14ac:dyDescent="0.2">
      <c r="C866" s="89"/>
      <c r="D866" s="89"/>
      <c r="E866" s="278"/>
      <c r="F866" s="100"/>
      <c r="G866" s="100"/>
      <c r="H866" s="100"/>
      <c r="I866" s="267"/>
      <c r="J866" s="101"/>
      <c r="K866" s="101"/>
      <c r="L866" s="101"/>
      <c r="M866" s="101"/>
      <c r="N866" s="101"/>
      <c r="O866" s="101"/>
      <c r="P866" s="75" t="s">
        <v>212</v>
      </c>
      <c r="Q866" s="100"/>
      <c r="R866" s="75" t="s">
        <v>212</v>
      </c>
      <c r="S866" s="75"/>
      <c r="T866" s="100"/>
      <c r="U866" s="75"/>
      <c r="V866" s="75" t="s">
        <v>212</v>
      </c>
      <c r="W866" s="89"/>
      <c r="X866" s="42" t="s">
        <v>212</v>
      </c>
      <c r="AQ866" s="86" t="s">
        <v>212</v>
      </c>
      <c r="AR866" s="86"/>
      <c r="AS866" s="86" t="s">
        <v>212</v>
      </c>
    </row>
    <row r="867" spans="2:45" ht="18" customHeight="1" thickBot="1" x14ac:dyDescent="0.2">
      <c r="B867" s="42">
        <v>10</v>
      </c>
      <c r="C867" s="89"/>
      <c r="D867" s="89"/>
      <c r="E867" s="277" t="s">
        <v>221</v>
      </c>
      <c r="F867" s="390"/>
      <c r="G867" s="391"/>
      <c r="H867" s="392"/>
      <c r="I867" s="266"/>
      <c r="J867" s="20"/>
      <c r="K867" s="98"/>
      <c r="L867" s="20"/>
      <c r="M867" s="98"/>
      <c r="N867" s="20"/>
      <c r="O867" s="98"/>
      <c r="P867" s="75" t="s">
        <v>212</v>
      </c>
      <c r="Q867" s="75"/>
      <c r="R867" s="75" t="s">
        <v>212</v>
      </c>
      <c r="S867" s="75"/>
      <c r="T867" s="100"/>
      <c r="U867" s="75"/>
      <c r="V867" s="75" t="s">
        <v>212</v>
      </c>
      <c r="W867" s="89"/>
      <c r="X867" s="42" t="str">
        <f>IF($B867&lt;=入力シート!$F$85,""&amp;中間シート!X696,"")</f>
        <v/>
      </c>
      <c r="AQ867" s="81">
        <f>中間シート!E696</f>
        <v>0</v>
      </c>
      <c r="AR867" s="86">
        <f>IF(F867="含まれている",1,IF(F867="含まれていない",2,0))</f>
        <v>0</v>
      </c>
      <c r="AS867" s="86" t="str">
        <f>中間シート!P542</f>
        <v/>
      </c>
    </row>
    <row r="868" spans="2:45" ht="5.0999999999999996" customHeight="1" thickBot="1" x14ac:dyDescent="0.2">
      <c r="C868" s="89"/>
      <c r="D868" s="89"/>
      <c r="E868" s="278"/>
      <c r="F868" s="100"/>
      <c r="G868" s="100"/>
      <c r="H868" s="100"/>
      <c r="I868" s="267"/>
      <c r="J868" s="101"/>
      <c r="K868" s="101"/>
      <c r="L868" s="101"/>
      <c r="M868" s="101"/>
      <c r="N868" s="101"/>
      <c r="O868" s="101"/>
      <c r="P868" s="75" t="s">
        <v>212</v>
      </c>
      <c r="Q868" s="100"/>
      <c r="R868" s="75" t="s">
        <v>212</v>
      </c>
      <c r="S868" s="75"/>
      <c r="T868" s="100"/>
      <c r="U868" s="75"/>
      <c r="V868" s="75" t="s">
        <v>212</v>
      </c>
      <c r="W868" s="89"/>
      <c r="X868" s="42" t="s">
        <v>212</v>
      </c>
      <c r="AQ868" s="21" t="s">
        <v>212</v>
      </c>
      <c r="AR868" s="86"/>
      <c r="AS868" s="86" t="s">
        <v>212</v>
      </c>
    </row>
    <row r="869" spans="2:45" ht="18" customHeight="1" thickBot="1" x14ac:dyDescent="0.2">
      <c r="B869" s="42">
        <v>10</v>
      </c>
      <c r="C869" s="89"/>
      <c r="D869" s="89"/>
      <c r="E869" s="277" t="s">
        <v>222</v>
      </c>
      <c r="F869" s="390"/>
      <c r="G869" s="391"/>
      <c r="H869" s="392"/>
      <c r="I869" s="266"/>
      <c r="J869" s="20"/>
      <c r="K869" s="98"/>
      <c r="L869" s="20"/>
      <c r="M869" s="98"/>
      <c r="N869" s="20"/>
      <c r="O869" s="98"/>
      <c r="P869" s="75" t="s">
        <v>212</v>
      </c>
      <c r="Q869" s="75"/>
      <c r="R869" s="75" t="s">
        <v>212</v>
      </c>
      <c r="S869" s="75"/>
      <c r="T869" s="100"/>
      <c r="U869" s="75"/>
      <c r="V869" s="75" t="s">
        <v>212</v>
      </c>
      <c r="W869" s="89"/>
      <c r="X869" s="42" t="str">
        <f>IF($B869&lt;=入力シート!$F$85,""&amp;中間シート!X697,"")</f>
        <v/>
      </c>
      <c r="AQ869" s="81">
        <f>中間シート!E697</f>
        <v>0</v>
      </c>
      <c r="AR869" s="86">
        <f>IF(F869="含まれている",1,IF(F869="含まれていない",2,0))</f>
        <v>0</v>
      </c>
      <c r="AS869" s="86" t="str">
        <f>中間シート!P543</f>
        <v/>
      </c>
    </row>
    <row r="870" spans="2:45" x14ac:dyDescent="0.15">
      <c r="C870" s="89"/>
      <c r="D870" s="89"/>
      <c r="E870" s="280"/>
      <c r="F870" s="101"/>
      <c r="G870" s="101"/>
      <c r="H870" s="101"/>
      <c r="I870" s="101"/>
      <c r="J870" s="101"/>
      <c r="K870" s="101"/>
      <c r="L870" s="101"/>
      <c r="M870" s="100"/>
      <c r="N870" s="75"/>
      <c r="O870" s="75"/>
      <c r="P870" s="101" t="s">
        <v>212</v>
      </c>
      <c r="Q870" s="75"/>
      <c r="R870" s="75" t="s">
        <v>212</v>
      </c>
      <c r="S870" s="75"/>
      <c r="T870" s="75"/>
      <c r="U870" s="75"/>
      <c r="V870" s="75" t="s">
        <v>212</v>
      </c>
      <c r="W870" s="89"/>
      <c r="X870" s="42" t="s">
        <v>212</v>
      </c>
      <c r="AQ870" s="86" t="s">
        <v>212</v>
      </c>
      <c r="AR870" s="86"/>
      <c r="AS870" s="86" t="s">
        <v>212</v>
      </c>
    </row>
    <row r="871" spans="2:45" ht="14.25" thickBot="1" x14ac:dyDescent="0.2">
      <c r="C871" s="49"/>
      <c r="D871" s="49"/>
      <c r="E871" s="279"/>
      <c r="F871" s="22"/>
      <c r="G871" s="22"/>
      <c r="H871" s="22"/>
      <c r="I871" s="262"/>
      <c r="J871" s="22"/>
      <c r="K871" s="22"/>
      <c r="L871" s="22"/>
      <c r="M871" s="22"/>
      <c r="N871" s="22"/>
      <c r="O871" s="22"/>
      <c r="P871" s="22" t="s">
        <v>212</v>
      </c>
      <c r="Q871" s="78"/>
      <c r="R871" s="22" t="s">
        <v>212</v>
      </c>
      <c r="S871" s="22"/>
      <c r="T871" s="78"/>
      <c r="U871" s="78"/>
      <c r="V871" s="22" t="s">
        <v>212</v>
      </c>
      <c r="W871" s="49"/>
      <c r="X871" s="42" t="s">
        <v>212</v>
      </c>
      <c r="AQ871" s="86" t="s">
        <v>212</v>
      </c>
      <c r="AR871" s="86"/>
      <c r="AS871" s="86" t="s">
        <v>212</v>
      </c>
    </row>
    <row r="872" spans="2:45" ht="18" customHeight="1" thickBot="1" x14ac:dyDescent="0.2">
      <c r="B872" s="42">
        <v>11</v>
      </c>
      <c r="C872" s="49"/>
      <c r="D872" s="52" t="s">
        <v>166</v>
      </c>
      <c r="E872" s="275" t="s">
        <v>220</v>
      </c>
      <c r="F872" s="390"/>
      <c r="G872" s="391"/>
      <c r="H872" s="392"/>
      <c r="I872" s="263"/>
      <c r="J872" s="20"/>
      <c r="K872" s="30"/>
      <c r="L872" s="20"/>
      <c r="M872" s="30"/>
      <c r="N872" s="20"/>
      <c r="O872" s="30"/>
      <c r="P872" s="283">
        <f>中間シート!D830</f>
        <v>0</v>
      </c>
      <c r="Q872" s="78"/>
      <c r="R872" s="283">
        <f>中間シート!G830</f>
        <v>0</v>
      </c>
      <c r="S872" s="78"/>
      <c r="T872" s="97" t="s">
        <v>95</v>
      </c>
      <c r="U872" s="78"/>
      <c r="V872" s="283">
        <f>中間シート!H830</f>
        <v>0</v>
      </c>
      <c r="W872" s="49"/>
      <c r="X872" s="42" t="str">
        <f>IF($B872&lt;=入力シート!$F$85,""&amp;中間シート!X698,"")</f>
        <v/>
      </c>
      <c r="AQ872" s="81">
        <f>中間シート!E698</f>
        <v>0</v>
      </c>
      <c r="AR872" s="86">
        <f>IF(F872="含まれている",1,IF(F872="含まれていない",2,0))</f>
        <v>0</v>
      </c>
      <c r="AS872" s="86" t="str">
        <f>中間シート!P544</f>
        <v/>
      </c>
    </row>
    <row r="873" spans="2:45" ht="5.0999999999999996" customHeight="1" thickBot="1" x14ac:dyDescent="0.2">
      <c r="C873" s="49"/>
      <c r="D873" s="49"/>
      <c r="E873" s="276"/>
      <c r="F873" s="22"/>
      <c r="G873" s="22"/>
      <c r="H873" s="22"/>
      <c r="I873" s="262"/>
      <c r="J873" s="31"/>
      <c r="K873" s="31"/>
      <c r="L873" s="31"/>
      <c r="M873" s="31"/>
      <c r="N873" s="31"/>
      <c r="O873" s="31"/>
      <c r="P873" s="78" t="s">
        <v>212</v>
      </c>
      <c r="Q873" s="22"/>
      <c r="R873" s="78" t="s">
        <v>212</v>
      </c>
      <c r="S873" s="78"/>
      <c r="T873" s="22"/>
      <c r="U873" s="78"/>
      <c r="V873" s="78" t="s">
        <v>212</v>
      </c>
      <c r="W873" s="49"/>
      <c r="X873" s="42" t="s">
        <v>212</v>
      </c>
      <c r="AQ873" s="86" t="s">
        <v>212</v>
      </c>
      <c r="AR873" s="86"/>
      <c r="AS873" s="86" t="s">
        <v>212</v>
      </c>
    </row>
    <row r="874" spans="2:45" ht="18" customHeight="1" thickBot="1" x14ac:dyDescent="0.2">
      <c r="B874" s="42">
        <v>11</v>
      </c>
      <c r="C874" s="49"/>
      <c r="D874" s="49"/>
      <c r="E874" s="275" t="s">
        <v>221</v>
      </c>
      <c r="F874" s="390"/>
      <c r="G874" s="391"/>
      <c r="H874" s="392"/>
      <c r="I874" s="263"/>
      <c r="J874" s="20"/>
      <c r="K874" s="30"/>
      <c r="L874" s="20"/>
      <c r="M874" s="30"/>
      <c r="N874" s="20"/>
      <c r="O874" s="30"/>
      <c r="P874" s="78" t="s">
        <v>212</v>
      </c>
      <c r="Q874" s="78"/>
      <c r="R874" s="78" t="s">
        <v>212</v>
      </c>
      <c r="S874" s="78"/>
      <c r="T874" s="22"/>
      <c r="U874" s="78"/>
      <c r="V874" s="78" t="s">
        <v>212</v>
      </c>
      <c r="W874" s="49"/>
      <c r="X874" s="42" t="str">
        <f>IF($B874&lt;=入力シート!$F$85,""&amp;中間シート!X699,"")</f>
        <v/>
      </c>
      <c r="AQ874" s="81">
        <f>中間シート!E699</f>
        <v>0</v>
      </c>
      <c r="AR874" s="86">
        <f>IF(F874="含まれている",1,IF(F874="含まれていない",2,0))</f>
        <v>0</v>
      </c>
      <c r="AS874" s="86" t="str">
        <f>中間シート!P545</f>
        <v/>
      </c>
    </row>
    <row r="875" spans="2:45" ht="5.0999999999999996" customHeight="1" thickBot="1" x14ac:dyDescent="0.2">
      <c r="C875" s="49"/>
      <c r="D875" s="49"/>
      <c r="E875" s="276"/>
      <c r="F875" s="22"/>
      <c r="G875" s="22"/>
      <c r="H875" s="22"/>
      <c r="I875" s="262"/>
      <c r="J875" s="31"/>
      <c r="K875" s="31"/>
      <c r="L875" s="31"/>
      <c r="M875" s="31"/>
      <c r="N875" s="31"/>
      <c r="O875" s="31"/>
      <c r="P875" s="78" t="s">
        <v>212</v>
      </c>
      <c r="Q875" s="22"/>
      <c r="R875" s="78" t="s">
        <v>212</v>
      </c>
      <c r="S875" s="78"/>
      <c r="T875" s="22"/>
      <c r="U875" s="78"/>
      <c r="V875" s="78" t="s">
        <v>212</v>
      </c>
      <c r="W875" s="49"/>
      <c r="X875" s="42" t="s">
        <v>212</v>
      </c>
      <c r="AQ875" s="21" t="s">
        <v>212</v>
      </c>
      <c r="AR875" s="86"/>
      <c r="AS875" s="86" t="s">
        <v>212</v>
      </c>
    </row>
    <row r="876" spans="2:45" ht="18" customHeight="1" thickBot="1" x14ac:dyDescent="0.2">
      <c r="B876" s="42">
        <v>11</v>
      </c>
      <c r="C876" s="49"/>
      <c r="D876" s="49"/>
      <c r="E876" s="275" t="s">
        <v>222</v>
      </c>
      <c r="F876" s="390"/>
      <c r="G876" s="391"/>
      <c r="H876" s="392"/>
      <c r="I876" s="263"/>
      <c r="J876" s="20"/>
      <c r="K876" s="30"/>
      <c r="L876" s="20"/>
      <c r="M876" s="30"/>
      <c r="N876" s="20"/>
      <c r="O876" s="30"/>
      <c r="P876" s="78" t="s">
        <v>212</v>
      </c>
      <c r="Q876" s="78"/>
      <c r="R876" s="78" t="s">
        <v>212</v>
      </c>
      <c r="S876" s="78"/>
      <c r="T876" s="22"/>
      <c r="U876" s="78"/>
      <c r="V876" s="78" t="s">
        <v>212</v>
      </c>
      <c r="W876" s="49"/>
      <c r="X876" s="42" t="str">
        <f>IF($B876&lt;=入力シート!$F$85,""&amp;中間シート!X700,"")</f>
        <v/>
      </c>
      <c r="AQ876" s="81">
        <f>中間シート!E700</f>
        <v>0</v>
      </c>
      <c r="AR876" s="86">
        <f>IF(F876="含まれている",1,IF(F876="含まれていない",2,0))</f>
        <v>0</v>
      </c>
      <c r="AS876" s="86" t="str">
        <f>中間シート!P546</f>
        <v/>
      </c>
    </row>
    <row r="877" spans="2:45" x14ac:dyDescent="0.15">
      <c r="C877" s="49"/>
      <c r="D877" s="49"/>
      <c r="E877" s="55"/>
      <c r="F877" s="31"/>
      <c r="G877" s="31"/>
      <c r="H877" s="31"/>
      <c r="I877" s="31"/>
      <c r="J877" s="31"/>
      <c r="K877" s="31"/>
      <c r="L877" s="31"/>
      <c r="M877" s="22"/>
      <c r="N877" s="78"/>
      <c r="O877" s="78"/>
      <c r="P877" s="31" t="s">
        <v>212</v>
      </c>
      <c r="Q877" s="78"/>
      <c r="R877" s="78" t="s">
        <v>212</v>
      </c>
      <c r="S877" s="78"/>
      <c r="T877" s="78"/>
      <c r="U877" s="78"/>
      <c r="V877" s="78" t="s">
        <v>212</v>
      </c>
      <c r="W877" s="49"/>
      <c r="X877" s="42" t="s">
        <v>212</v>
      </c>
      <c r="AQ877" s="86" t="s">
        <v>212</v>
      </c>
      <c r="AR877" s="86"/>
      <c r="AS877" s="86" t="s">
        <v>212</v>
      </c>
    </row>
    <row r="878" spans="2:45" ht="14.25" thickBot="1" x14ac:dyDescent="0.2">
      <c r="C878" s="89"/>
      <c r="D878" s="89"/>
      <c r="E878" s="280"/>
      <c r="F878" s="89"/>
      <c r="G878" s="89"/>
      <c r="H878" s="89"/>
      <c r="I878" s="265"/>
      <c r="J878" s="89"/>
      <c r="K878" s="89"/>
      <c r="L878" s="89"/>
      <c r="M878" s="89"/>
      <c r="N878" s="89"/>
      <c r="O878" s="89"/>
      <c r="P878" s="89" t="s">
        <v>212</v>
      </c>
      <c r="Q878" s="89"/>
      <c r="R878" s="89" t="s">
        <v>212</v>
      </c>
      <c r="S878" s="89"/>
      <c r="T878" s="89"/>
      <c r="U878" s="89"/>
      <c r="V878" s="89" t="s">
        <v>212</v>
      </c>
      <c r="W878" s="89"/>
      <c r="X878" s="42" t="s">
        <v>212</v>
      </c>
      <c r="AQ878" s="86" t="s">
        <v>212</v>
      </c>
      <c r="AR878" s="86"/>
      <c r="AS878" s="86" t="s">
        <v>212</v>
      </c>
    </row>
    <row r="879" spans="2:45" ht="18" customHeight="1" thickBot="1" x14ac:dyDescent="0.2">
      <c r="B879" s="42">
        <v>12</v>
      </c>
      <c r="C879" s="89"/>
      <c r="D879" s="91" t="s">
        <v>167</v>
      </c>
      <c r="E879" s="277" t="s">
        <v>220</v>
      </c>
      <c r="F879" s="390"/>
      <c r="G879" s="391"/>
      <c r="H879" s="392"/>
      <c r="I879" s="266"/>
      <c r="J879" s="20"/>
      <c r="K879" s="98"/>
      <c r="L879" s="20"/>
      <c r="M879" s="98"/>
      <c r="N879" s="20"/>
      <c r="O879" s="98"/>
      <c r="P879" s="283">
        <f>中間シート!D831</f>
        <v>0</v>
      </c>
      <c r="Q879" s="75"/>
      <c r="R879" s="283">
        <f>中間シート!G831</f>
        <v>0</v>
      </c>
      <c r="S879" s="75"/>
      <c r="T879" s="99" t="s">
        <v>95</v>
      </c>
      <c r="U879" s="75"/>
      <c r="V879" s="283">
        <f>中間シート!H831</f>
        <v>0</v>
      </c>
      <c r="W879" s="89"/>
      <c r="X879" s="42" t="str">
        <f>IF($B879&lt;=入力シート!$F$85,""&amp;中間シート!X701,"")</f>
        <v/>
      </c>
      <c r="AQ879" s="81">
        <f>中間シート!E701</f>
        <v>0</v>
      </c>
      <c r="AR879" s="86">
        <f>IF(F879="含まれている",1,IF(F879="含まれていない",2,0))</f>
        <v>0</v>
      </c>
      <c r="AS879" s="86" t="str">
        <f>中間シート!P547</f>
        <v/>
      </c>
    </row>
    <row r="880" spans="2:45" ht="5.0999999999999996" customHeight="1" thickBot="1" x14ac:dyDescent="0.2">
      <c r="C880" s="89"/>
      <c r="D880" s="89"/>
      <c r="E880" s="278"/>
      <c r="F880" s="100"/>
      <c r="G880" s="100"/>
      <c r="H880" s="100"/>
      <c r="I880" s="267"/>
      <c r="J880" s="101"/>
      <c r="K880" s="101"/>
      <c r="L880" s="101"/>
      <c r="M880" s="101"/>
      <c r="N880" s="101"/>
      <c r="O880" s="101"/>
      <c r="P880" s="75" t="s">
        <v>212</v>
      </c>
      <c r="Q880" s="100"/>
      <c r="R880" s="75" t="s">
        <v>212</v>
      </c>
      <c r="S880" s="75"/>
      <c r="T880" s="100"/>
      <c r="U880" s="75"/>
      <c r="V880" s="75" t="s">
        <v>212</v>
      </c>
      <c r="W880" s="89"/>
      <c r="X880" s="42" t="s">
        <v>212</v>
      </c>
      <c r="AQ880" s="86" t="s">
        <v>212</v>
      </c>
      <c r="AR880" s="86"/>
      <c r="AS880" s="86" t="s">
        <v>212</v>
      </c>
    </row>
    <row r="881" spans="2:45" ht="18" customHeight="1" thickBot="1" x14ac:dyDescent="0.2">
      <c r="B881" s="42">
        <v>12</v>
      </c>
      <c r="C881" s="89"/>
      <c r="D881" s="89"/>
      <c r="E881" s="277" t="s">
        <v>221</v>
      </c>
      <c r="F881" s="390"/>
      <c r="G881" s="391"/>
      <c r="H881" s="392"/>
      <c r="I881" s="266"/>
      <c r="J881" s="20"/>
      <c r="K881" s="98"/>
      <c r="L881" s="20"/>
      <c r="M881" s="98"/>
      <c r="N881" s="20"/>
      <c r="O881" s="98"/>
      <c r="P881" s="75" t="s">
        <v>212</v>
      </c>
      <c r="Q881" s="75"/>
      <c r="R881" s="75" t="s">
        <v>212</v>
      </c>
      <c r="S881" s="75"/>
      <c r="T881" s="100"/>
      <c r="U881" s="75"/>
      <c r="V881" s="75" t="s">
        <v>212</v>
      </c>
      <c r="W881" s="89"/>
      <c r="X881" s="42" t="str">
        <f>IF($B881&lt;=入力シート!$F$85,""&amp;中間シート!X702,"")</f>
        <v/>
      </c>
      <c r="AQ881" s="81">
        <f>中間シート!E702</f>
        <v>0</v>
      </c>
      <c r="AR881" s="86">
        <f>IF(F881="含まれている",1,IF(F881="含まれていない",2,0))</f>
        <v>0</v>
      </c>
      <c r="AS881" s="86" t="str">
        <f>中間シート!P548</f>
        <v/>
      </c>
    </row>
    <row r="882" spans="2:45" ht="5.0999999999999996" customHeight="1" thickBot="1" x14ac:dyDescent="0.2">
      <c r="C882" s="89"/>
      <c r="D882" s="89"/>
      <c r="E882" s="278"/>
      <c r="F882" s="100"/>
      <c r="G882" s="100"/>
      <c r="H882" s="100"/>
      <c r="I882" s="267"/>
      <c r="J882" s="101"/>
      <c r="K882" s="101"/>
      <c r="L882" s="101"/>
      <c r="M882" s="101"/>
      <c r="N882" s="101"/>
      <c r="O882" s="101"/>
      <c r="P882" s="75" t="s">
        <v>212</v>
      </c>
      <c r="Q882" s="100"/>
      <c r="R882" s="75" t="s">
        <v>212</v>
      </c>
      <c r="S882" s="75"/>
      <c r="T882" s="100"/>
      <c r="U882" s="75"/>
      <c r="V882" s="75" t="s">
        <v>212</v>
      </c>
      <c r="W882" s="89"/>
      <c r="X882" s="42" t="s">
        <v>212</v>
      </c>
      <c r="AQ882" s="21" t="s">
        <v>212</v>
      </c>
      <c r="AR882" s="86"/>
      <c r="AS882" s="86" t="s">
        <v>212</v>
      </c>
    </row>
    <row r="883" spans="2:45" ht="18" customHeight="1" thickBot="1" x14ac:dyDescent="0.2">
      <c r="B883" s="42">
        <v>12</v>
      </c>
      <c r="C883" s="89"/>
      <c r="D883" s="89"/>
      <c r="E883" s="277" t="s">
        <v>222</v>
      </c>
      <c r="F883" s="390"/>
      <c r="G883" s="391"/>
      <c r="H883" s="392"/>
      <c r="I883" s="266"/>
      <c r="J883" s="20"/>
      <c r="K883" s="98"/>
      <c r="L883" s="20"/>
      <c r="M883" s="98"/>
      <c r="N883" s="20"/>
      <c r="O883" s="98"/>
      <c r="P883" s="75" t="s">
        <v>212</v>
      </c>
      <c r="Q883" s="75"/>
      <c r="R883" s="75" t="s">
        <v>212</v>
      </c>
      <c r="S883" s="75"/>
      <c r="T883" s="100"/>
      <c r="U883" s="75"/>
      <c r="V883" s="75" t="s">
        <v>212</v>
      </c>
      <c r="W883" s="89"/>
      <c r="X883" s="42" t="str">
        <f>IF($B883&lt;=入力シート!$F$85,""&amp;中間シート!X703,"")</f>
        <v/>
      </c>
      <c r="AQ883" s="81">
        <f>中間シート!E703</f>
        <v>0</v>
      </c>
      <c r="AR883" s="86">
        <f>IF(F883="含まれている",1,IF(F883="含まれていない",2,0))</f>
        <v>0</v>
      </c>
      <c r="AS883" s="86" t="str">
        <f>中間シート!P549</f>
        <v/>
      </c>
    </row>
    <row r="884" spans="2:45" x14ac:dyDescent="0.15">
      <c r="C884" s="89"/>
      <c r="D884" s="89"/>
      <c r="E884" s="280"/>
      <c r="F884" s="101"/>
      <c r="G884" s="101"/>
      <c r="H884" s="101"/>
      <c r="I884" s="101"/>
      <c r="J884" s="101"/>
      <c r="K884" s="101"/>
      <c r="L884" s="101"/>
      <c r="M884" s="100"/>
      <c r="N884" s="75"/>
      <c r="O884" s="75"/>
      <c r="P884" s="101" t="s">
        <v>212</v>
      </c>
      <c r="Q884" s="75"/>
      <c r="R884" s="75" t="s">
        <v>212</v>
      </c>
      <c r="S884" s="75"/>
      <c r="T884" s="75"/>
      <c r="U884" s="75"/>
      <c r="V884" s="75" t="s">
        <v>212</v>
      </c>
      <c r="W884" s="89"/>
      <c r="X884" s="42" t="s">
        <v>212</v>
      </c>
      <c r="AQ884" s="86" t="s">
        <v>212</v>
      </c>
      <c r="AR884" s="86"/>
      <c r="AS884" s="86" t="s">
        <v>212</v>
      </c>
    </row>
    <row r="885" spans="2:45" ht="14.25" thickBot="1" x14ac:dyDescent="0.2">
      <c r="C885" s="49"/>
      <c r="D885" s="49"/>
      <c r="E885" s="279"/>
      <c r="F885" s="22"/>
      <c r="G885" s="22"/>
      <c r="H885" s="22"/>
      <c r="I885" s="262"/>
      <c r="J885" s="22"/>
      <c r="K885" s="22"/>
      <c r="L885" s="22"/>
      <c r="M885" s="22"/>
      <c r="N885" s="22"/>
      <c r="O885" s="22"/>
      <c r="P885" s="22" t="s">
        <v>212</v>
      </c>
      <c r="Q885" s="78"/>
      <c r="R885" s="22" t="s">
        <v>212</v>
      </c>
      <c r="S885" s="22"/>
      <c r="T885" s="78"/>
      <c r="U885" s="78"/>
      <c r="V885" s="22" t="s">
        <v>212</v>
      </c>
      <c r="W885" s="49"/>
      <c r="X885" s="42" t="s">
        <v>212</v>
      </c>
      <c r="AQ885" s="86" t="s">
        <v>212</v>
      </c>
      <c r="AR885" s="86"/>
      <c r="AS885" s="86" t="s">
        <v>212</v>
      </c>
    </row>
    <row r="886" spans="2:45" ht="18" customHeight="1" thickBot="1" x14ac:dyDescent="0.2">
      <c r="B886" s="42">
        <v>13</v>
      </c>
      <c r="C886" s="49"/>
      <c r="D886" s="52" t="s">
        <v>168</v>
      </c>
      <c r="E886" s="275" t="s">
        <v>220</v>
      </c>
      <c r="F886" s="390"/>
      <c r="G886" s="391"/>
      <c r="H886" s="392"/>
      <c r="I886" s="263"/>
      <c r="J886" s="20"/>
      <c r="K886" s="30"/>
      <c r="L886" s="20"/>
      <c r="M886" s="30"/>
      <c r="N886" s="20"/>
      <c r="O886" s="30"/>
      <c r="P886" s="283">
        <f>中間シート!D832</f>
        <v>0</v>
      </c>
      <c r="Q886" s="78"/>
      <c r="R886" s="283">
        <f>中間シート!G832</f>
        <v>0</v>
      </c>
      <c r="S886" s="78"/>
      <c r="T886" s="97" t="s">
        <v>95</v>
      </c>
      <c r="U886" s="78"/>
      <c r="V886" s="283">
        <f>中間シート!H832</f>
        <v>0</v>
      </c>
      <c r="W886" s="49"/>
      <c r="X886" s="42" t="str">
        <f>IF($B886&lt;=入力シート!$F$85,""&amp;中間シート!X704,"")</f>
        <v/>
      </c>
      <c r="AQ886" s="81">
        <f>中間シート!E704</f>
        <v>0</v>
      </c>
      <c r="AR886" s="86">
        <f>IF(F886="含まれている",1,IF(F886="含まれていない",2,0))</f>
        <v>0</v>
      </c>
      <c r="AS886" s="86" t="str">
        <f>中間シート!P550</f>
        <v/>
      </c>
    </row>
    <row r="887" spans="2:45" ht="5.0999999999999996" customHeight="1" thickBot="1" x14ac:dyDescent="0.2">
      <c r="C887" s="49"/>
      <c r="D887" s="49"/>
      <c r="E887" s="276"/>
      <c r="F887" s="22"/>
      <c r="G887" s="22"/>
      <c r="H887" s="22"/>
      <c r="I887" s="262"/>
      <c r="J887" s="31"/>
      <c r="K887" s="31"/>
      <c r="L887" s="31"/>
      <c r="M887" s="31"/>
      <c r="N887" s="31"/>
      <c r="O887" s="31"/>
      <c r="P887" s="78" t="s">
        <v>212</v>
      </c>
      <c r="Q887" s="22"/>
      <c r="R887" s="78" t="s">
        <v>212</v>
      </c>
      <c r="S887" s="78"/>
      <c r="T887" s="22"/>
      <c r="U887" s="78"/>
      <c r="V887" s="78" t="s">
        <v>212</v>
      </c>
      <c r="W887" s="49"/>
      <c r="X887" s="42" t="s">
        <v>212</v>
      </c>
      <c r="AQ887" s="86" t="s">
        <v>212</v>
      </c>
      <c r="AR887" s="86"/>
      <c r="AS887" s="86" t="s">
        <v>212</v>
      </c>
    </row>
    <row r="888" spans="2:45" ht="18" customHeight="1" thickBot="1" x14ac:dyDescent="0.2">
      <c r="B888" s="42">
        <v>13</v>
      </c>
      <c r="C888" s="49"/>
      <c r="D888" s="49"/>
      <c r="E888" s="275" t="s">
        <v>221</v>
      </c>
      <c r="F888" s="390"/>
      <c r="G888" s="391"/>
      <c r="H888" s="392"/>
      <c r="I888" s="263"/>
      <c r="J888" s="20"/>
      <c r="K888" s="30"/>
      <c r="L888" s="20"/>
      <c r="M888" s="30"/>
      <c r="N888" s="20"/>
      <c r="O888" s="30"/>
      <c r="P888" s="78" t="s">
        <v>212</v>
      </c>
      <c r="Q888" s="78"/>
      <c r="R888" s="78" t="s">
        <v>212</v>
      </c>
      <c r="S888" s="78"/>
      <c r="T888" s="22"/>
      <c r="U888" s="78"/>
      <c r="V888" s="78" t="s">
        <v>212</v>
      </c>
      <c r="W888" s="49"/>
      <c r="X888" s="42" t="str">
        <f>IF($B888&lt;=入力シート!$F$85,""&amp;中間シート!X705,"")</f>
        <v/>
      </c>
      <c r="AQ888" s="81">
        <f>中間シート!E705</f>
        <v>0</v>
      </c>
      <c r="AR888" s="86">
        <f>IF(F888="含まれている",1,IF(F888="含まれていない",2,0))</f>
        <v>0</v>
      </c>
      <c r="AS888" s="86" t="str">
        <f>中間シート!P551</f>
        <v/>
      </c>
    </row>
    <row r="889" spans="2:45" ht="5.0999999999999996" customHeight="1" thickBot="1" x14ac:dyDescent="0.2">
      <c r="C889" s="49"/>
      <c r="D889" s="49"/>
      <c r="E889" s="276"/>
      <c r="F889" s="22"/>
      <c r="G889" s="22"/>
      <c r="H889" s="22"/>
      <c r="I889" s="262"/>
      <c r="J889" s="31"/>
      <c r="K889" s="31"/>
      <c r="L889" s="31"/>
      <c r="M889" s="31"/>
      <c r="N889" s="31"/>
      <c r="O889" s="31"/>
      <c r="P889" s="78" t="s">
        <v>212</v>
      </c>
      <c r="Q889" s="22"/>
      <c r="R889" s="78" t="s">
        <v>212</v>
      </c>
      <c r="S889" s="78"/>
      <c r="T889" s="22"/>
      <c r="U889" s="78"/>
      <c r="V889" s="78" t="s">
        <v>212</v>
      </c>
      <c r="W889" s="49"/>
      <c r="X889" s="42" t="s">
        <v>212</v>
      </c>
      <c r="AQ889" s="21" t="s">
        <v>212</v>
      </c>
      <c r="AR889" s="86"/>
      <c r="AS889" s="86" t="s">
        <v>212</v>
      </c>
    </row>
    <row r="890" spans="2:45" ht="18" customHeight="1" thickBot="1" x14ac:dyDescent="0.2">
      <c r="B890" s="42">
        <v>13</v>
      </c>
      <c r="C890" s="49"/>
      <c r="D890" s="49"/>
      <c r="E890" s="275" t="s">
        <v>222</v>
      </c>
      <c r="F890" s="390"/>
      <c r="G890" s="391"/>
      <c r="H890" s="392"/>
      <c r="I890" s="263"/>
      <c r="J890" s="20"/>
      <c r="K890" s="30"/>
      <c r="L890" s="20"/>
      <c r="M890" s="30"/>
      <c r="N890" s="20"/>
      <c r="O890" s="30"/>
      <c r="P890" s="78" t="s">
        <v>212</v>
      </c>
      <c r="Q890" s="78"/>
      <c r="R890" s="78" t="s">
        <v>212</v>
      </c>
      <c r="S890" s="78"/>
      <c r="T890" s="22"/>
      <c r="U890" s="78"/>
      <c r="V890" s="78" t="s">
        <v>212</v>
      </c>
      <c r="W890" s="49"/>
      <c r="X890" s="42" t="str">
        <f>IF($B890&lt;=入力シート!$F$85,""&amp;中間シート!X706,"")</f>
        <v/>
      </c>
      <c r="AQ890" s="81">
        <f>中間シート!E706</f>
        <v>0</v>
      </c>
      <c r="AR890" s="86">
        <f>IF(F890="含まれている",1,IF(F890="含まれていない",2,0))</f>
        <v>0</v>
      </c>
      <c r="AS890" s="86" t="str">
        <f>中間シート!P552</f>
        <v/>
      </c>
    </row>
    <row r="891" spans="2:45" x14ac:dyDescent="0.15">
      <c r="C891" s="49"/>
      <c r="D891" s="49"/>
      <c r="E891" s="55"/>
      <c r="F891" s="31"/>
      <c r="G891" s="31"/>
      <c r="H891" s="31"/>
      <c r="I891" s="31"/>
      <c r="J891" s="31"/>
      <c r="K891" s="31"/>
      <c r="L891" s="31"/>
      <c r="M891" s="22"/>
      <c r="N891" s="78"/>
      <c r="O891" s="78"/>
      <c r="P891" s="31" t="s">
        <v>212</v>
      </c>
      <c r="Q891" s="78"/>
      <c r="R891" s="78" t="s">
        <v>212</v>
      </c>
      <c r="S891" s="78"/>
      <c r="T891" s="78"/>
      <c r="U891" s="78"/>
      <c r="V891" s="78" t="s">
        <v>212</v>
      </c>
      <c r="W891" s="49"/>
      <c r="X891" s="42" t="s">
        <v>212</v>
      </c>
      <c r="AQ891" s="86" t="s">
        <v>212</v>
      </c>
      <c r="AR891" s="86"/>
      <c r="AS891" s="86" t="s">
        <v>212</v>
      </c>
    </row>
    <row r="892" spans="2:45" ht="14.25" thickBot="1" x14ac:dyDescent="0.2">
      <c r="C892" s="89"/>
      <c r="D892" s="89"/>
      <c r="E892" s="280"/>
      <c r="F892" s="89"/>
      <c r="G892" s="89"/>
      <c r="H892" s="89"/>
      <c r="I892" s="265"/>
      <c r="J892" s="89"/>
      <c r="K892" s="89"/>
      <c r="L892" s="89"/>
      <c r="M892" s="89"/>
      <c r="N892" s="89"/>
      <c r="O892" s="89"/>
      <c r="P892" s="89" t="s">
        <v>212</v>
      </c>
      <c r="Q892" s="89"/>
      <c r="R892" s="89" t="s">
        <v>212</v>
      </c>
      <c r="S892" s="89"/>
      <c r="T892" s="89"/>
      <c r="U892" s="89"/>
      <c r="V892" s="89" t="s">
        <v>212</v>
      </c>
      <c r="W892" s="89"/>
      <c r="X892" s="42" t="s">
        <v>212</v>
      </c>
      <c r="AQ892" s="86" t="s">
        <v>212</v>
      </c>
      <c r="AR892" s="86"/>
      <c r="AS892" s="86" t="s">
        <v>212</v>
      </c>
    </row>
    <row r="893" spans="2:45" ht="18" customHeight="1" thickBot="1" x14ac:dyDescent="0.2">
      <c r="B893" s="42">
        <v>14</v>
      </c>
      <c r="C893" s="89"/>
      <c r="D893" s="91" t="s">
        <v>169</v>
      </c>
      <c r="E893" s="277" t="s">
        <v>220</v>
      </c>
      <c r="F893" s="390"/>
      <c r="G893" s="391"/>
      <c r="H893" s="392"/>
      <c r="I893" s="266"/>
      <c r="J893" s="20"/>
      <c r="K893" s="98"/>
      <c r="L893" s="20"/>
      <c r="M893" s="98"/>
      <c r="N893" s="20"/>
      <c r="O893" s="98"/>
      <c r="P893" s="283">
        <f>中間シート!D833</f>
        <v>0</v>
      </c>
      <c r="Q893" s="75"/>
      <c r="R893" s="283">
        <f>中間シート!G833</f>
        <v>0</v>
      </c>
      <c r="S893" s="75"/>
      <c r="T893" s="99" t="s">
        <v>95</v>
      </c>
      <c r="U893" s="75"/>
      <c r="V893" s="283">
        <f>中間シート!H833</f>
        <v>0</v>
      </c>
      <c r="W893" s="89"/>
      <c r="X893" s="42" t="str">
        <f>IF($B893&lt;=入力シート!$F$85,""&amp;中間シート!X707,"")</f>
        <v/>
      </c>
      <c r="AQ893" s="81">
        <f>中間シート!E707</f>
        <v>0</v>
      </c>
      <c r="AR893" s="86">
        <f>IF(F893="含まれている",1,IF(F893="含まれていない",2,0))</f>
        <v>0</v>
      </c>
      <c r="AS893" s="86" t="str">
        <f>中間シート!P553</f>
        <v/>
      </c>
    </row>
    <row r="894" spans="2:45" ht="5.0999999999999996" customHeight="1" thickBot="1" x14ac:dyDescent="0.2">
      <c r="C894" s="89"/>
      <c r="D894" s="89"/>
      <c r="E894" s="278"/>
      <c r="F894" s="100"/>
      <c r="G894" s="100"/>
      <c r="H894" s="100"/>
      <c r="I894" s="267"/>
      <c r="J894" s="101"/>
      <c r="K894" s="101"/>
      <c r="L894" s="101"/>
      <c r="M894" s="101"/>
      <c r="N894" s="101"/>
      <c r="O894" s="101"/>
      <c r="P894" s="75" t="s">
        <v>212</v>
      </c>
      <c r="Q894" s="100"/>
      <c r="R894" s="75" t="s">
        <v>212</v>
      </c>
      <c r="S894" s="75"/>
      <c r="T894" s="100"/>
      <c r="U894" s="75"/>
      <c r="V894" s="75" t="s">
        <v>212</v>
      </c>
      <c r="W894" s="89"/>
      <c r="X894" s="42" t="s">
        <v>212</v>
      </c>
      <c r="AQ894" s="86" t="s">
        <v>212</v>
      </c>
      <c r="AR894" s="86"/>
      <c r="AS894" s="86" t="s">
        <v>212</v>
      </c>
    </row>
    <row r="895" spans="2:45" ht="18" customHeight="1" thickBot="1" x14ac:dyDescent="0.2">
      <c r="B895" s="42">
        <v>14</v>
      </c>
      <c r="C895" s="89"/>
      <c r="D895" s="89"/>
      <c r="E895" s="277" t="s">
        <v>221</v>
      </c>
      <c r="F895" s="390"/>
      <c r="G895" s="391"/>
      <c r="H895" s="392"/>
      <c r="I895" s="266"/>
      <c r="J895" s="20"/>
      <c r="K895" s="98"/>
      <c r="L895" s="20"/>
      <c r="M895" s="98"/>
      <c r="N895" s="20"/>
      <c r="O895" s="98"/>
      <c r="P895" s="75" t="s">
        <v>212</v>
      </c>
      <c r="Q895" s="75"/>
      <c r="R895" s="75" t="s">
        <v>212</v>
      </c>
      <c r="S895" s="75"/>
      <c r="T895" s="100"/>
      <c r="U895" s="75"/>
      <c r="V895" s="75" t="s">
        <v>212</v>
      </c>
      <c r="W895" s="89"/>
      <c r="X895" s="42" t="str">
        <f>IF($B895&lt;=入力シート!$F$85,""&amp;中間シート!X708,"")</f>
        <v/>
      </c>
      <c r="AQ895" s="81">
        <f>中間シート!E708</f>
        <v>0</v>
      </c>
      <c r="AR895" s="86">
        <f>IF(F895="含まれている",1,IF(F895="含まれていない",2,0))</f>
        <v>0</v>
      </c>
      <c r="AS895" s="86" t="str">
        <f>中間シート!P554</f>
        <v/>
      </c>
    </row>
    <row r="896" spans="2:45" ht="5.0999999999999996" customHeight="1" thickBot="1" x14ac:dyDescent="0.2">
      <c r="C896" s="89"/>
      <c r="D896" s="89"/>
      <c r="E896" s="278"/>
      <c r="F896" s="100"/>
      <c r="G896" s="100"/>
      <c r="H896" s="100"/>
      <c r="I896" s="267"/>
      <c r="J896" s="101"/>
      <c r="K896" s="101"/>
      <c r="L896" s="101"/>
      <c r="M896" s="101"/>
      <c r="N896" s="101"/>
      <c r="O896" s="101"/>
      <c r="P896" s="75" t="s">
        <v>212</v>
      </c>
      <c r="Q896" s="100"/>
      <c r="R896" s="75" t="s">
        <v>212</v>
      </c>
      <c r="S896" s="75"/>
      <c r="T896" s="100"/>
      <c r="U896" s="75"/>
      <c r="V896" s="75" t="s">
        <v>212</v>
      </c>
      <c r="W896" s="89"/>
      <c r="X896" s="42" t="s">
        <v>212</v>
      </c>
      <c r="AQ896" s="21" t="s">
        <v>212</v>
      </c>
      <c r="AR896" s="86"/>
      <c r="AS896" s="86" t="s">
        <v>212</v>
      </c>
    </row>
    <row r="897" spans="2:45" ht="18" customHeight="1" thickBot="1" x14ac:dyDescent="0.2">
      <c r="B897" s="42">
        <v>14</v>
      </c>
      <c r="C897" s="89"/>
      <c r="D897" s="89"/>
      <c r="E897" s="277" t="s">
        <v>222</v>
      </c>
      <c r="F897" s="390"/>
      <c r="G897" s="391"/>
      <c r="H897" s="392"/>
      <c r="I897" s="266"/>
      <c r="J897" s="20"/>
      <c r="K897" s="98"/>
      <c r="L897" s="20"/>
      <c r="M897" s="98"/>
      <c r="N897" s="20"/>
      <c r="O897" s="98"/>
      <c r="P897" s="75" t="s">
        <v>212</v>
      </c>
      <c r="Q897" s="75"/>
      <c r="R897" s="75" t="s">
        <v>212</v>
      </c>
      <c r="S897" s="75"/>
      <c r="T897" s="100"/>
      <c r="U897" s="75"/>
      <c r="V897" s="75" t="s">
        <v>212</v>
      </c>
      <c r="W897" s="89"/>
      <c r="X897" s="42" t="str">
        <f>IF($B897&lt;=入力シート!$F$85,""&amp;中間シート!X709,"")</f>
        <v/>
      </c>
      <c r="AQ897" s="81">
        <f>中間シート!E709</f>
        <v>0</v>
      </c>
      <c r="AR897" s="86">
        <f>IF(F897="含まれている",1,IF(F897="含まれていない",2,0))</f>
        <v>0</v>
      </c>
      <c r="AS897" s="86" t="str">
        <f>中間シート!P555</f>
        <v/>
      </c>
    </row>
    <row r="898" spans="2:45" x14ac:dyDescent="0.15">
      <c r="C898" s="89"/>
      <c r="D898" s="89"/>
      <c r="E898" s="280"/>
      <c r="F898" s="101"/>
      <c r="G898" s="101"/>
      <c r="H898" s="101"/>
      <c r="I898" s="101"/>
      <c r="J898" s="101"/>
      <c r="K898" s="101"/>
      <c r="L898" s="101"/>
      <c r="M898" s="100"/>
      <c r="N898" s="75"/>
      <c r="O898" s="75"/>
      <c r="P898" s="101" t="s">
        <v>212</v>
      </c>
      <c r="Q898" s="75"/>
      <c r="R898" s="75" t="s">
        <v>212</v>
      </c>
      <c r="S898" s="75"/>
      <c r="T898" s="75"/>
      <c r="U898" s="75"/>
      <c r="V898" s="75" t="s">
        <v>212</v>
      </c>
      <c r="W898" s="89"/>
      <c r="X898" s="42" t="s">
        <v>212</v>
      </c>
      <c r="AQ898" s="86" t="s">
        <v>212</v>
      </c>
      <c r="AR898" s="86"/>
      <c r="AS898" s="86" t="s">
        <v>212</v>
      </c>
    </row>
    <row r="899" spans="2:45" ht="14.25" thickBot="1" x14ac:dyDescent="0.2">
      <c r="C899" s="49"/>
      <c r="D899" s="49"/>
      <c r="E899" s="279"/>
      <c r="F899" s="22"/>
      <c r="G899" s="22"/>
      <c r="H899" s="22"/>
      <c r="I899" s="262"/>
      <c r="J899" s="22"/>
      <c r="K899" s="22"/>
      <c r="L899" s="22"/>
      <c r="M899" s="22"/>
      <c r="N899" s="22"/>
      <c r="O899" s="22"/>
      <c r="P899" s="22" t="s">
        <v>212</v>
      </c>
      <c r="Q899" s="78"/>
      <c r="R899" s="22" t="s">
        <v>212</v>
      </c>
      <c r="S899" s="22"/>
      <c r="T899" s="78"/>
      <c r="U899" s="78"/>
      <c r="V899" s="22" t="s">
        <v>212</v>
      </c>
      <c r="W899" s="49"/>
      <c r="X899" s="42" t="s">
        <v>212</v>
      </c>
      <c r="AQ899" s="86" t="s">
        <v>212</v>
      </c>
      <c r="AR899" s="86"/>
      <c r="AS899" s="86" t="s">
        <v>212</v>
      </c>
    </row>
    <row r="900" spans="2:45" ht="18" customHeight="1" thickBot="1" x14ac:dyDescent="0.2">
      <c r="B900" s="42">
        <v>15</v>
      </c>
      <c r="C900" s="49"/>
      <c r="D900" s="52" t="s">
        <v>170</v>
      </c>
      <c r="E900" s="275" t="s">
        <v>220</v>
      </c>
      <c r="F900" s="390"/>
      <c r="G900" s="391"/>
      <c r="H900" s="392"/>
      <c r="I900" s="263"/>
      <c r="J900" s="20"/>
      <c r="K900" s="30"/>
      <c r="L900" s="20"/>
      <c r="M900" s="30"/>
      <c r="N900" s="20"/>
      <c r="O900" s="30"/>
      <c r="P900" s="283">
        <f>中間シート!D834</f>
        <v>0</v>
      </c>
      <c r="Q900" s="78"/>
      <c r="R900" s="283">
        <f>中間シート!G834</f>
        <v>0</v>
      </c>
      <c r="S900" s="78"/>
      <c r="T900" s="97" t="s">
        <v>95</v>
      </c>
      <c r="U900" s="78"/>
      <c r="V900" s="283">
        <f>中間シート!H834</f>
        <v>0</v>
      </c>
      <c r="W900" s="49"/>
      <c r="X900" s="42" t="str">
        <f>IF($B900&lt;=入力シート!$F$85,""&amp;中間シート!X710,"")</f>
        <v/>
      </c>
      <c r="AQ900" s="81">
        <f>中間シート!E710</f>
        <v>0</v>
      </c>
      <c r="AR900" s="86">
        <f>IF(F900="含まれている",1,IF(F900="含まれていない",2,0))</f>
        <v>0</v>
      </c>
      <c r="AS900" s="86" t="str">
        <f>中間シート!P556</f>
        <v/>
      </c>
    </row>
    <row r="901" spans="2:45" ht="5.0999999999999996" customHeight="1" thickBot="1" x14ac:dyDescent="0.2">
      <c r="C901" s="49"/>
      <c r="D901" s="49"/>
      <c r="E901" s="276"/>
      <c r="F901" s="22"/>
      <c r="G901" s="22"/>
      <c r="H901" s="22"/>
      <c r="I901" s="262"/>
      <c r="J901" s="31"/>
      <c r="K901" s="31"/>
      <c r="L901" s="31"/>
      <c r="M901" s="31"/>
      <c r="N901" s="31"/>
      <c r="O901" s="31"/>
      <c r="P901" s="78" t="s">
        <v>212</v>
      </c>
      <c r="Q901" s="22"/>
      <c r="R901" s="78" t="s">
        <v>212</v>
      </c>
      <c r="S901" s="78"/>
      <c r="T901" s="22"/>
      <c r="U901" s="78"/>
      <c r="V901" s="78" t="s">
        <v>212</v>
      </c>
      <c r="W901" s="49"/>
      <c r="X901" s="42" t="s">
        <v>212</v>
      </c>
      <c r="AQ901" s="86" t="s">
        <v>212</v>
      </c>
      <c r="AR901" s="86"/>
      <c r="AS901" s="86" t="s">
        <v>212</v>
      </c>
    </row>
    <row r="902" spans="2:45" ht="18" customHeight="1" thickBot="1" x14ac:dyDescent="0.2">
      <c r="B902" s="42">
        <v>15</v>
      </c>
      <c r="C902" s="49"/>
      <c r="D902" s="49"/>
      <c r="E902" s="275" t="s">
        <v>221</v>
      </c>
      <c r="F902" s="390"/>
      <c r="G902" s="391"/>
      <c r="H902" s="392"/>
      <c r="I902" s="263"/>
      <c r="J902" s="20"/>
      <c r="K902" s="30"/>
      <c r="L902" s="20"/>
      <c r="M902" s="30"/>
      <c r="N902" s="20"/>
      <c r="O902" s="30"/>
      <c r="P902" s="78" t="s">
        <v>212</v>
      </c>
      <c r="Q902" s="78"/>
      <c r="R902" s="78" t="s">
        <v>212</v>
      </c>
      <c r="S902" s="78"/>
      <c r="T902" s="22"/>
      <c r="U902" s="78"/>
      <c r="V902" s="78" t="s">
        <v>212</v>
      </c>
      <c r="W902" s="49"/>
      <c r="X902" s="42" t="str">
        <f>IF($B902&lt;=入力シート!$F$85,""&amp;中間シート!X711,"")</f>
        <v/>
      </c>
      <c r="AQ902" s="81">
        <f>中間シート!E711</f>
        <v>0</v>
      </c>
      <c r="AR902" s="86">
        <f>IF(F902="含まれている",1,IF(F902="含まれていない",2,0))</f>
        <v>0</v>
      </c>
      <c r="AS902" s="86" t="str">
        <f>中間シート!P557</f>
        <v/>
      </c>
    </row>
    <row r="903" spans="2:45" ht="5.0999999999999996" customHeight="1" thickBot="1" x14ac:dyDescent="0.2">
      <c r="C903" s="49"/>
      <c r="D903" s="49"/>
      <c r="E903" s="276"/>
      <c r="F903" s="22"/>
      <c r="G903" s="22"/>
      <c r="H903" s="22"/>
      <c r="I903" s="262"/>
      <c r="J903" s="31"/>
      <c r="K903" s="31"/>
      <c r="L903" s="31"/>
      <c r="M903" s="31"/>
      <c r="N903" s="31"/>
      <c r="O903" s="31"/>
      <c r="P903" s="78" t="s">
        <v>212</v>
      </c>
      <c r="Q903" s="22"/>
      <c r="R903" s="78" t="s">
        <v>212</v>
      </c>
      <c r="S903" s="78"/>
      <c r="T903" s="22"/>
      <c r="U903" s="78"/>
      <c r="V903" s="78" t="s">
        <v>212</v>
      </c>
      <c r="W903" s="49"/>
      <c r="X903" s="42" t="s">
        <v>212</v>
      </c>
      <c r="AQ903" s="21" t="s">
        <v>212</v>
      </c>
      <c r="AR903" s="86"/>
      <c r="AS903" s="86" t="s">
        <v>212</v>
      </c>
    </row>
    <row r="904" spans="2:45" ht="18" customHeight="1" thickBot="1" x14ac:dyDescent="0.2">
      <c r="B904" s="42">
        <v>15</v>
      </c>
      <c r="C904" s="49"/>
      <c r="D904" s="49"/>
      <c r="E904" s="275" t="s">
        <v>222</v>
      </c>
      <c r="F904" s="390"/>
      <c r="G904" s="391"/>
      <c r="H904" s="392"/>
      <c r="I904" s="263"/>
      <c r="J904" s="20"/>
      <c r="K904" s="30"/>
      <c r="L904" s="20"/>
      <c r="M904" s="30"/>
      <c r="N904" s="20"/>
      <c r="O904" s="30"/>
      <c r="P904" s="78" t="s">
        <v>212</v>
      </c>
      <c r="Q904" s="78"/>
      <c r="R904" s="78" t="s">
        <v>212</v>
      </c>
      <c r="S904" s="78"/>
      <c r="T904" s="22"/>
      <c r="U904" s="78"/>
      <c r="V904" s="78" t="s">
        <v>212</v>
      </c>
      <c r="W904" s="49"/>
      <c r="X904" s="42" t="str">
        <f>IF($B904&lt;=入力シート!$F$85,""&amp;中間シート!X712,"")</f>
        <v/>
      </c>
      <c r="AQ904" s="81">
        <f>中間シート!E712</f>
        <v>0</v>
      </c>
      <c r="AR904" s="86">
        <f>IF(F904="含まれている",1,IF(F904="含まれていない",2,0))</f>
        <v>0</v>
      </c>
      <c r="AS904" s="86" t="str">
        <f>中間シート!P558</f>
        <v/>
      </c>
    </row>
    <row r="905" spans="2:45" x14ac:dyDescent="0.15">
      <c r="C905" s="49"/>
      <c r="D905" s="49"/>
      <c r="E905" s="55"/>
      <c r="F905" s="31"/>
      <c r="G905" s="31"/>
      <c r="H905" s="31"/>
      <c r="I905" s="31"/>
      <c r="J905" s="31"/>
      <c r="K905" s="31"/>
      <c r="L905" s="31"/>
      <c r="M905" s="22"/>
      <c r="N905" s="78"/>
      <c r="O905" s="78"/>
      <c r="P905" s="31" t="s">
        <v>212</v>
      </c>
      <c r="Q905" s="78"/>
      <c r="R905" s="78" t="s">
        <v>212</v>
      </c>
      <c r="S905" s="78"/>
      <c r="T905" s="78"/>
      <c r="U905" s="78"/>
      <c r="V905" s="78" t="s">
        <v>212</v>
      </c>
      <c r="W905" s="49"/>
      <c r="X905" s="42" t="s">
        <v>212</v>
      </c>
      <c r="AQ905" s="86" t="s">
        <v>212</v>
      </c>
      <c r="AR905" s="86"/>
      <c r="AS905" s="86" t="s">
        <v>212</v>
      </c>
    </row>
    <row r="906" spans="2:45" ht="14.25" thickBot="1" x14ac:dyDescent="0.2">
      <c r="C906" s="89"/>
      <c r="D906" s="89"/>
      <c r="E906" s="280"/>
      <c r="F906" s="89"/>
      <c r="G906" s="89"/>
      <c r="H906" s="89"/>
      <c r="I906" s="265"/>
      <c r="J906" s="89"/>
      <c r="K906" s="89"/>
      <c r="L906" s="89"/>
      <c r="M906" s="89"/>
      <c r="N906" s="89"/>
      <c r="O906" s="89"/>
      <c r="P906" s="89" t="s">
        <v>212</v>
      </c>
      <c r="Q906" s="89"/>
      <c r="R906" s="89" t="s">
        <v>212</v>
      </c>
      <c r="S906" s="89"/>
      <c r="T906" s="89"/>
      <c r="U906" s="89"/>
      <c r="V906" s="89" t="s">
        <v>212</v>
      </c>
      <c r="W906" s="89"/>
      <c r="X906" s="42" t="s">
        <v>212</v>
      </c>
      <c r="AQ906" s="86" t="s">
        <v>212</v>
      </c>
      <c r="AR906" s="86"/>
      <c r="AS906" s="86" t="s">
        <v>212</v>
      </c>
    </row>
    <row r="907" spans="2:45" ht="18" customHeight="1" thickBot="1" x14ac:dyDescent="0.2">
      <c r="B907" s="42">
        <v>16</v>
      </c>
      <c r="C907" s="89"/>
      <c r="D907" s="91" t="s">
        <v>171</v>
      </c>
      <c r="E907" s="277" t="s">
        <v>220</v>
      </c>
      <c r="F907" s="390"/>
      <c r="G907" s="391"/>
      <c r="H907" s="392"/>
      <c r="I907" s="266"/>
      <c r="J907" s="20"/>
      <c r="K907" s="98"/>
      <c r="L907" s="20"/>
      <c r="M907" s="98"/>
      <c r="N907" s="20"/>
      <c r="O907" s="98"/>
      <c r="P907" s="283">
        <f>中間シート!D835</f>
        <v>0</v>
      </c>
      <c r="Q907" s="75"/>
      <c r="R907" s="283">
        <f>中間シート!G835</f>
        <v>0</v>
      </c>
      <c r="S907" s="75"/>
      <c r="T907" s="99" t="s">
        <v>95</v>
      </c>
      <c r="U907" s="75"/>
      <c r="V907" s="283">
        <f>中間シート!H835</f>
        <v>0</v>
      </c>
      <c r="W907" s="89"/>
      <c r="X907" s="42" t="str">
        <f>IF($B907&lt;=入力シート!$F$85,""&amp;中間シート!X713,"")</f>
        <v/>
      </c>
      <c r="AQ907" s="81">
        <f>中間シート!E713</f>
        <v>0</v>
      </c>
      <c r="AR907" s="86">
        <f>IF(F907="含まれている",1,IF(F907="含まれていない",2,0))</f>
        <v>0</v>
      </c>
      <c r="AS907" s="86" t="str">
        <f>中間シート!P559</f>
        <v/>
      </c>
    </row>
    <row r="908" spans="2:45" ht="5.0999999999999996" customHeight="1" thickBot="1" x14ac:dyDescent="0.2">
      <c r="C908" s="89"/>
      <c r="D908" s="89"/>
      <c r="E908" s="278"/>
      <c r="F908" s="100"/>
      <c r="G908" s="100"/>
      <c r="H908" s="100"/>
      <c r="I908" s="267"/>
      <c r="J908" s="101"/>
      <c r="K908" s="101"/>
      <c r="L908" s="101"/>
      <c r="M908" s="101"/>
      <c r="N908" s="101"/>
      <c r="O908" s="101"/>
      <c r="P908" s="75" t="s">
        <v>212</v>
      </c>
      <c r="Q908" s="100"/>
      <c r="R908" s="75" t="s">
        <v>212</v>
      </c>
      <c r="S908" s="75"/>
      <c r="T908" s="100"/>
      <c r="U908" s="75"/>
      <c r="V908" s="75" t="s">
        <v>212</v>
      </c>
      <c r="W908" s="89"/>
      <c r="X908" s="42" t="s">
        <v>212</v>
      </c>
      <c r="AQ908" s="86" t="s">
        <v>212</v>
      </c>
      <c r="AR908" s="86"/>
      <c r="AS908" s="86" t="s">
        <v>212</v>
      </c>
    </row>
    <row r="909" spans="2:45" ht="18" customHeight="1" thickBot="1" x14ac:dyDescent="0.2">
      <c r="B909" s="42">
        <v>16</v>
      </c>
      <c r="C909" s="89"/>
      <c r="D909" s="89"/>
      <c r="E909" s="277" t="s">
        <v>221</v>
      </c>
      <c r="F909" s="390"/>
      <c r="G909" s="391"/>
      <c r="H909" s="392"/>
      <c r="I909" s="266"/>
      <c r="J909" s="20"/>
      <c r="K909" s="98"/>
      <c r="L909" s="20"/>
      <c r="M909" s="98"/>
      <c r="N909" s="20"/>
      <c r="O909" s="98"/>
      <c r="P909" s="75" t="s">
        <v>212</v>
      </c>
      <c r="Q909" s="75"/>
      <c r="R909" s="75" t="s">
        <v>212</v>
      </c>
      <c r="S909" s="75"/>
      <c r="T909" s="100"/>
      <c r="U909" s="75"/>
      <c r="V909" s="75" t="s">
        <v>212</v>
      </c>
      <c r="W909" s="89"/>
      <c r="X909" s="42" t="str">
        <f>IF($B909&lt;=入力シート!$F$85,""&amp;中間シート!X714,"")</f>
        <v/>
      </c>
      <c r="AQ909" s="81">
        <f>中間シート!E714</f>
        <v>0</v>
      </c>
      <c r="AR909" s="86">
        <f>IF(F909="含まれている",1,IF(F909="含まれていない",2,0))</f>
        <v>0</v>
      </c>
      <c r="AS909" s="86" t="str">
        <f>中間シート!P560</f>
        <v/>
      </c>
    </row>
    <row r="910" spans="2:45" ht="5.0999999999999996" customHeight="1" thickBot="1" x14ac:dyDescent="0.2">
      <c r="C910" s="89"/>
      <c r="D910" s="89"/>
      <c r="E910" s="278"/>
      <c r="F910" s="100"/>
      <c r="G910" s="100"/>
      <c r="H910" s="100"/>
      <c r="I910" s="267"/>
      <c r="J910" s="101"/>
      <c r="K910" s="101"/>
      <c r="L910" s="101"/>
      <c r="M910" s="101"/>
      <c r="N910" s="101"/>
      <c r="O910" s="101"/>
      <c r="P910" s="75" t="s">
        <v>212</v>
      </c>
      <c r="Q910" s="100"/>
      <c r="R910" s="75" t="s">
        <v>212</v>
      </c>
      <c r="S910" s="75"/>
      <c r="T910" s="100"/>
      <c r="U910" s="75"/>
      <c r="V910" s="75" t="s">
        <v>212</v>
      </c>
      <c r="W910" s="89"/>
      <c r="X910" s="42" t="s">
        <v>212</v>
      </c>
      <c r="AQ910" s="21" t="s">
        <v>212</v>
      </c>
      <c r="AR910" s="86"/>
      <c r="AS910" s="86" t="s">
        <v>212</v>
      </c>
    </row>
    <row r="911" spans="2:45" ht="18" customHeight="1" thickBot="1" x14ac:dyDescent="0.2">
      <c r="B911" s="42">
        <v>16</v>
      </c>
      <c r="C911" s="89"/>
      <c r="D911" s="89"/>
      <c r="E911" s="277" t="s">
        <v>222</v>
      </c>
      <c r="F911" s="390"/>
      <c r="G911" s="391"/>
      <c r="H911" s="392"/>
      <c r="I911" s="266"/>
      <c r="J911" s="20"/>
      <c r="K911" s="98"/>
      <c r="L911" s="20"/>
      <c r="M911" s="98"/>
      <c r="N911" s="20"/>
      <c r="O911" s="98"/>
      <c r="P911" s="75" t="s">
        <v>212</v>
      </c>
      <c r="Q911" s="75"/>
      <c r="R911" s="75" t="s">
        <v>212</v>
      </c>
      <c r="S911" s="75"/>
      <c r="T911" s="100"/>
      <c r="U911" s="75"/>
      <c r="V911" s="75" t="s">
        <v>212</v>
      </c>
      <c r="W911" s="89"/>
      <c r="X911" s="42" t="str">
        <f>IF($B911&lt;=入力シート!$F$85,""&amp;中間シート!X715,"")</f>
        <v/>
      </c>
      <c r="AQ911" s="81">
        <f>中間シート!E715</f>
        <v>0</v>
      </c>
      <c r="AR911" s="86">
        <f>IF(F911="含まれている",1,IF(F911="含まれていない",2,0))</f>
        <v>0</v>
      </c>
      <c r="AS911" s="86" t="str">
        <f>中間シート!P561</f>
        <v/>
      </c>
    </row>
    <row r="912" spans="2:45" x14ac:dyDescent="0.15">
      <c r="C912" s="89"/>
      <c r="D912" s="89"/>
      <c r="E912" s="280"/>
      <c r="F912" s="101"/>
      <c r="G912" s="101"/>
      <c r="H912" s="101"/>
      <c r="I912" s="101"/>
      <c r="J912" s="101"/>
      <c r="K912" s="101"/>
      <c r="L912" s="101"/>
      <c r="M912" s="100"/>
      <c r="N912" s="75"/>
      <c r="O912" s="75"/>
      <c r="P912" s="101" t="s">
        <v>212</v>
      </c>
      <c r="Q912" s="75"/>
      <c r="R912" s="75" t="s">
        <v>212</v>
      </c>
      <c r="S912" s="75"/>
      <c r="T912" s="75"/>
      <c r="U912" s="75"/>
      <c r="V912" s="75" t="s">
        <v>212</v>
      </c>
      <c r="W912" s="89"/>
      <c r="X912" s="42" t="s">
        <v>212</v>
      </c>
      <c r="AQ912" s="86" t="s">
        <v>212</v>
      </c>
      <c r="AR912" s="86"/>
      <c r="AS912" s="86" t="s">
        <v>212</v>
      </c>
    </row>
    <row r="913" spans="2:45" ht="14.25" thickBot="1" x14ac:dyDescent="0.2">
      <c r="C913" s="49"/>
      <c r="D913" s="49"/>
      <c r="E913" s="279"/>
      <c r="F913" s="22"/>
      <c r="G913" s="22"/>
      <c r="H913" s="22"/>
      <c r="I913" s="262"/>
      <c r="J913" s="22"/>
      <c r="K913" s="22"/>
      <c r="L913" s="22"/>
      <c r="M913" s="22"/>
      <c r="N913" s="22"/>
      <c r="O913" s="22"/>
      <c r="P913" s="22" t="s">
        <v>212</v>
      </c>
      <c r="Q913" s="78"/>
      <c r="R913" s="22" t="s">
        <v>212</v>
      </c>
      <c r="S913" s="22"/>
      <c r="T913" s="78"/>
      <c r="U913" s="78"/>
      <c r="V913" s="22" t="s">
        <v>212</v>
      </c>
      <c r="W913" s="49"/>
      <c r="X913" s="42" t="s">
        <v>212</v>
      </c>
      <c r="AQ913" s="86" t="s">
        <v>212</v>
      </c>
      <c r="AR913" s="86"/>
      <c r="AS913" s="86" t="s">
        <v>212</v>
      </c>
    </row>
    <row r="914" spans="2:45" ht="18" customHeight="1" thickBot="1" x14ac:dyDescent="0.2">
      <c r="B914" s="42">
        <v>17</v>
      </c>
      <c r="C914" s="49"/>
      <c r="D914" s="52" t="s">
        <v>172</v>
      </c>
      <c r="E914" s="275" t="s">
        <v>220</v>
      </c>
      <c r="F914" s="390"/>
      <c r="G914" s="391"/>
      <c r="H914" s="392"/>
      <c r="I914" s="263"/>
      <c r="J914" s="20"/>
      <c r="K914" s="30"/>
      <c r="L914" s="20"/>
      <c r="M914" s="30"/>
      <c r="N914" s="20"/>
      <c r="O914" s="30"/>
      <c r="P914" s="283">
        <f>中間シート!D836</f>
        <v>0</v>
      </c>
      <c r="Q914" s="78"/>
      <c r="R914" s="283">
        <f>中間シート!G836</f>
        <v>0</v>
      </c>
      <c r="S914" s="78"/>
      <c r="T914" s="97" t="s">
        <v>95</v>
      </c>
      <c r="U914" s="78"/>
      <c r="V914" s="283">
        <f>中間シート!H836</f>
        <v>0</v>
      </c>
      <c r="W914" s="49"/>
      <c r="X914" s="42" t="str">
        <f>IF($B914&lt;=入力シート!$F$85,""&amp;中間シート!X716,"")</f>
        <v/>
      </c>
      <c r="AQ914" s="81">
        <f>中間シート!E716</f>
        <v>0</v>
      </c>
      <c r="AR914" s="86">
        <f>IF(F914="含まれている",1,IF(F914="含まれていない",2,0))</f>
        <v>0</v>
      </c>
      <c r="AS914" s="86" t="str">
        <f>中間シート!P562</f>
        <v/>
      </c>
    </row>
    <row r="915" spans="2:45" ht="5.0999999999999996" customHeight="1" thickBot="1" x14ac:dyDescent="0.2">
      <c r="C915" s="49"/>
      <c r="D915" s="49"/>
      <c r="E915" s="276"/>
      <c r="F915" s="22"/>
      <c r="G915" s="22"/>
      <c r="H915" s="22"/>
      <c r="I915" s="262"/>
      <c r="J915" s="31"/>
      <c r="K915" s="31"/>
      <c r="L915" s="31"/>
      <c r="M915" s="31"/>
      <c r="N915" s="31"/>
      <c r="O915" s="31"/>
      <c r="P915" s="78" t="s">
        <v>212</v>
      </c>
      <c r="Q915" s="22"/>
      <c r="R915" s="78" t="s">
        <v>212</v>
      </c>
      <c r="S915" s="78"/>
      <c r="T915" s="22"/>
      <c r="U915" s="78"/>
      <c r="V915" s="78" t="s">
        <v>212</v>
      </c>
      <c r="W915" s="49"/>
      <c r="X915" s="42" t="s">
        <v>212</v>
      </c>
      <c r="AQ915" s="86" t="s">
        <v>212</v>
      </c>
      <c r="AR915" s="86"/>
      <c r="AS915" s="86" t="s">
        <v>212</v>
      </c>
    </row>
    <row r="916" spans="2:45" ht="18" customHeight="1" thickBot="1" x14ac:dyDescent="0.2">
      <c r="B916" s="42">
        <v>17</v>
      </c>
      <c r="C916" s="49"/>
      <c r="D916" s="49"/>
      <c r="E916" s="275" t="s">
        <v>221</v>
      </c>
      <c r="F916" s="390"/>
      <c r="G916" s="391"/>
      <c r="H916" s="392"/>
      <c r="I916" s="263"/>
      <c r="J916" s="20"/>
      <c r="K916" s="30"/>
      <c r="L916" s="20"/>
      <c r="M916" s="30"/>
      <c r="N916" s="20"/>
      <c r="O916" s="30"/>
      <c r="P916" s="78" t="s">
        <v>212</v>
      </c>
      <c r="Q916" s="78"/>
      <c r="R916" s="78" t="s">
        <v>212</v>
      </c>
      <c r="S916" s="78"/>
      <c r="T916" s="22"/>
      <c r="U916" s="78"/>
      <c r="V916" s="78" t="s">
        <v>212</v>
      </c>
      <c r="W916" s="49"/>
      <c r="X916" s="42" t="str">
        <f>IF($B916&lt;=入力シート!$F$85,""&amp;中間シート!X717,"")</f>
        <v/>
      </c>
      <c r="AQ916" s="81">
        <f>中間シート!E717</f>
        <v>0</v>
      </c>
      <c r="AR916" s="86">
        <f>IF(F916="含まれている",1,IF(F916="含まれていない",2,0))</f>
        <v>0</v>
      </c>
      <c r="AS916" s="86" t="str">
        <f>中間シート!P563</f>
        <v/>
      </c>
    </row>
    <row r="917" spans="2:45" ht="5.0999999999999996" customHeight="1" thickBot="1" x14ac:dyDescent="0.2">
      <c r="C917" s="49"/>
      <c r="D917" s="49"/>
      <c r="E917" s="276"/>
      <c r="F917" s="22"/>
      <c r="G917" s="22"/>
      <c r="H917" s="22"/>
      <c r="I917" s="262"/>
      <c r="J917" s="31"/>
      <c r="K917" s="31"/>
      <c r="L917" s="31"/>
      <c r="M917" s="31"/>
      <c r="N917" s="31"/>
      <c r="O917" s="31"/>
      <c r="P917" s="78" t="s">
        <v>212</v>
      </c>
      <c r="Q917" s="22"/>
      <c r="R917" s="78" t="s">
        <v>212</v>
      </c>
      <c r="S917" s="78"/>
      <c r="T917" s="22"/>
      <c r="U917" s="78"/>
      <c r="V917" s="78" t="s">
        <v>212</v>
      </c>
      <c r="W917" s="49"/>
      <c r="X917" s="42" t="s">
        <v>212</v>
      </c>
      <c r="AQ917" s="21" t="s">
        <v>212</v>
      </c>
      <c r="AR917" s="86"/>
      <c r="AS917" s="86" t="s">
        <v>212</v>
      </c>
    </row>
    <row r="918" spans="2:45" ht="18" customHeight="1" thickBot="1" x14ac:dyDescent="0.2">
      <c r="B918" s="42">
        <v>17</v>
      </c>
      <c r="C918" s="49"/>
      <c r="D918" s="49"/>
      <c r="E918" s="275" t="s">
        <v>222</v>
      </c>
      <c r="F918" s="390"/>
      <c r="G918" s="391"/>
      <c r="H918" s="392"/>
      <c r="I918" s="263"/>
      <c r="J918" s="20"/>
      <c r="K918" s="30"/>
      <c r="L918" s="20"/>
      <c r="M918" s="30"/>
      <c r="N918" s="20"/>
      <c r="O918" s="30"/>
      <c r="P918" s="78" t="s">
        <v>212</v>
      </c>
      <c r="Q918" s="78"/>
      <c r="R918" s="78" t="s">
        <v>212</v>
      </c>
      <c r="S918" s="78"/>
      <c r="T918" s="22"/>
      <c r="U918" s="78"/>
      <c r="V918" s="78" t="s">
        <v>212</v>
      </c>
      <c r="W918" s="49"/>
      <c r="X918" s="42" t="str">
        <f>IF($B918&lt;=入力シート!$F$85,""&amp;中間シート!X718,"")</f>
        <v/>
      </c>
      <c r="AQ918" s="81">
        <f>中間シート!E718</f>
        <v>0</v>
      </c>
      <c r="AR918" s="86">
        <f>IF(F918="含まれている",1,IF(F918="含まれていない",2,0))</f>
        <v>0</v>
      </c>
      <c r="AS918" s="86" t="str">
        <f>中間シート!P564</f>
        <v/>
      </c>
    </row>
    <row r="919" spans="2:45" x14ac:dyDescent="0.15">
      <c r="C919" s="49"/>
      <c r="D919" s="49"/>
      <c r="E919" s="55"/>
      <c r="F919" s="31"/>
      <c r="G919" s="31"/>
      <c r="H919" s="31"/>
      <c r="I919" s="31"/>
      <c r="J919" s="31"/>
      <c r="K919" s="31"/>
      <c r="L919" s="31"/>
      <c r="M919" s="22"/>
      <c r="N919" s="78"/>
      <c r="O919" s="78"/>
      <c r="P919" s="31" t="s">
        <v>212</v>
      </c>
      <c r="Q919" s="78"/>
      <c r="R919" s="78" t="s">
        <v>212</v>
      </c>
      <c r="S919" s="78"/>
      <c r="T919" s="78"/>
      <c r="U919" s="78"/>
      <c r="V919" s="78" t="s">
        <v>212</v>
      </c>
      <c r="W919" s="49"/>
      <c r="X919" s="42" t="s">
        <v>212</v>
      </c>
      <c r="AQ919" s="86" t="s">
        <v>212</v>
      </c>
      <c r="AR919" s="86"/>
      <c r="AS919" s="86" t="s">
        <v>212</v>
      </c>
    </row>
    <row r="920" spans="2:45" ht="14.25" thickBot="1" x14ac:dyDescent="0.2">
      <c r="C920" s="89"/>
      <c r="D920" s="89"/>
      <c r="E920" s="280"/>
      <c r="F920" s="89"/>
      <c r="G920" s="89"/>
      <c r="H920" s="89"/>
      <c r="I920" s="265"/>
      <c r="J920" s="89"/>
      <c r="K920" s="89"/>
      <c r="L920" s="89"/>
      <c r="M920" s="89"/>
      <c r="N920" s="89"/>
      <c r="O920" s="89"/>
      <c r="P920" s="89" t="s">
        <v>212</v>
      </c>
      <c r="Q920" s="89"/>
      <c r="R920" s="89" t="s">
        <v>212</v>
      </c>
      <c r="S920" s="89"/>
      <c r="T920" s="89"/>
      <c r="U920" s="89"/>
      <c r="V920" s="89" t="s">
        <v>212</v>
      </c>
      <c r="W920" s="89"/>
      <c r="X920" s="42" t="s">
        <v>212</v>
      </c>
      <c r="AQ920" s="86" t="s">
        <v>212</v>
      </c>
      <c r="AR920" s="86"/>
      <c r="AS920" s="86" t="s">
        <v>212</v>
      </c>
    </row>
    <row r="921" spans="2:45" ht="18" customHeight="1" thickBot="1" x14ac:dyDescent="0.2">
      <c r="B921" s="42">
        <v>18</v>
      </c>
      <c r="C921" s="89"/>
      <c r="D921" s="91" t="s">
        <v>173</v>
      </c>
      <c r="E921" s="277" t="s">
        <v>220</v>
      </c>
      <c r="F921" s="390"/>
      <c r="G921" s="391"/>
      <c r="H921" s="392"/>
      <c r="I921" s="266"/>
      <c r="J921" s="20"/>
      <c r="K921" s="98"/>
      <c r="L921" s="20"/>
      <c r="M921" s="98"/>
      <c r="N921" s="20"/>
      <c r="O921" s="98"/>
      <c r="P921" s="283">
        <f>中間シート!D837</f>
        <v>0</v>
      </c>
      <c r="Q921" s="75"/>
      <c r="R921" s="283">
        <f>中間シート!G837</f>
        <v>0</v>
      </c>
      <c r="S921" s="75"/>
      <c r="T921" s="99" t="s">
        <v>95</v>
      </c>
      <c r="U921" s="75"/>
      <c r="V921" s="283">
        <f>中間シート!H837</f>
        <v>0</v>
      </c>
      <c r="W921" s="89"/>
      <c r="X921" s="42" t="str">
        <f>IF($B921&lt;=入力シート!$F$85,""&amp;中間シート!X719,"")</f>
        <v/>
      </c>
      <c r="AQ921" s="81">
        <f>中間シート!E719</f>
        <v>0</v>
      </c>
      <c r="AR921" s="86">
        <f>IF(F921="含まれている",1,IF(F921="含まれていない",2,0))</f>
        <v>0</v>
      </c>
      <c r="AS921" s="86" t="str">
        <f>中間シート!P565</f>
        <v/>
      </c>
    </row>
    <row r="922" spans="2:45" ht="5.0999999999999996" customHeight="1" thickBot="1" x14ac:dyDescent="0.2">
      <c r="C922" s="89"/>
      <c r="D922" s="89"/>
      <c r="E922" s="278"/>
      <c r="F922" s="100"/>
      <c r="G922" s="100"/>
      <c r="H922" s="100"/>
      <c r="I922" s="267"/>
      <c r="J922" s="101"/>
      <c r="K922" s="101"/>
      <c r="L922" s="101"/>
      <c r="M922" s="101"/>
      <c r="N922" s="101"/>
      <c r="O922" s="101"/>
      <c r="P922" s="75" t="s">
        <v>212</v>
      </c>
      <c r="Q922" s="100"/>
      <c r="R922" s="75" t="s">
        <v>212</v>
      </c>
      <c r="S922" s="75"/>
      <c r="T922" s="100"/>
      <c r="U922" s="75"/>
      <c r="V922" s="75" t="s">
        <v>212</v>
      </c>
      <c r="W922" s="89"/>
      <c r="X922" s="42" t="s">
        <v>212</v>
      </c>
      <c r="AQ922" s="86" t="s">
        <v>212</v>
      </c>
      <c r="AR922" s="86"/>
      <c r="AS922" s="86" t="s">
        <v>212</v>
      </c>
    </row>
    <row r="923" spans="2:45" ht="18" customHeight="1" thickBot="1" x14ac:dyDescent="0.2">
      <c r="B923" s="42">
        <v>18</v>
      </c>
      <c r="C923" s="89"/>
      <c r="D923" s="89"/>
      <c r="E923" s="277" t="s">
        <v>221</v>
      </c>
      <c r="F923" s="390"/>
      <c r="G923" s="391"/>
      <c r="H923" s="392"/>
      <c r="I923" s="266"/>
      <c r="J923" s="20"/>
      <c r="K923" s="98"/>
      <c r="L923" s="20"/>
      <c r="M923" s="98"/>
      <c r="N923" s="20"/>
      <c r="O923" s="98"/>
      <c r="P923" s="75" t="s">
        <v>212</v>
      </c>
      <c r="Q923" s="75"/>
      <c r="R923" s="75" t="s">
        <v>212</v>
      </c>
      <c r="S923" s="75"/>
      <c r="T923" s="100"/>
      <c r="U923" s="75"/>
      <c r="V923" s="75" t="s">
        <v>212</v>
      </c>
      <c r="W923" s="89"/>
      <c r="X923" s="42" t="str">
        <f>IF($B923&lt;=入力シート!$F$85,""&amp;中間シート!X720,"")</f>
        <v/>
      </c>
      <c r="AQ923" s="81">
        <f>中間シート!E720</f>
        <v>0</v>
      </c>
      <c r="AR923" s="86">
        <f>IF(F923="含まれている",1,IF(F923="含まれていない",2,0))</f>
        <v>0</v>
      </c>
      <c r="AS923" s="86" t="str">
        <f>中間シート!P566</f>
        <v/>
      </c>
    </row>
    <row r="924" spans="2:45" ht="5.0999999999999996" customHeight="1" thickBot="1" x14ac:dyDescent="0.2">
      <c r="C924" s="89"/>
      <c r="D924" s="89"/>
      <c r="E924" s="278"/>
      <c r="F924" s="100"/>
      <c r="G924" s="100"/>
      <c r="H924" s="100"/>
      <c r="I924" s="267"/>
      <c r="J924" s="101"/>
      <c r="K924" s="101"/>
      <c r="L924" s="101"/>
      <c r="M924" s="101"/>
      <c r="N924" s="101"/>
      <c r="O924" s="101"/>
      <c r="P924" s="75" t="s">
        <v>212</v>
      </c>
      <c r="Q924" s="100"/>
      <c r="R924" s="75" t="s">
        <v>212</v>
      </c>
      <c r="S924" s="75"/>
      <c r="T924" s="100"/>
      <c r="U924" s="75"/>
      <c r="V924" s="75" t="s">
        <v>212</v>
      </c>
      <c r="W924" s="89"/>
      <c r="X924" s="42" t="s">
        <v>212</v>
      </c>
      <c r="AQ924" s="21" t="s">
        <v>212</v>
      </c>
      <c r="AR924" s="86"/>
      <c r="AS924" s="86" t="s">
        <v>212</v>
      </c>
    </row>
    <row r="925" spans="2:45" ht="18" customHeight="1" thickBot="1" x14ac:dyDescent="0.2">
      <c r="B925" s="42">
        <v>18</v>
      </c>
      <c r="C925" s="89"/>
      <c r="D925" s="89"/>
      <c r="E925" s="277" t="s">
        <v>222</v>
      </c>
      <c r="F925" s="390"/>
      <c r="G925" s="391"/>
      <c r="H925" s="392"/>
      <c r="I925" s="266"/>
      <c r="J925" s="20"/>
      <c r="K925" s="98"/>
      <c r="L925" s="20"/>
      <c r="M925" s="98"/>
      <c r="N925" s="20"/>
      <c r="O925" s="98"/>
      <c r="P925" s="75" t="s">
        <v>212</v>
      </c>
      <c r="Q925" s="75"/>
      <c r="R925" s="75" t="s">
        <v>212</v>
      </c>
      <c r="S925" s="75"/>
      <c r="T925" s="100"/>
      <c r="U925" s="75"/>
      <c r="V925" s="75" t="s">
        <v>212</v>
      </c>
      <c r="W925" s="89"/>
      <c r="X925" s="42" t="str">
        <f>IF($B925&lt;=入力シート!$F$85,""&amp;中間シート!X721,"")</f>
        <v/>
      </c>
      <c r="AQ925" s="81">
        <f>中間シート!E721</f>
        <v>0</v>
      </c>
      <c r="AR925" s="86">
        <f>IF(F925="含まれている",1,IF(F925="含まれていない",2,0))</f>
        <v>0</v>
      </c>
      <c r="AS925" s="86" t="str">
        <f>中間シート!P567</f>
        <v/>
      </c>
    </row>
    <row r="926" spans="2:45" x14ac:dyDescent="0.15">
      <c r="C926" s="89"/>
      <c r="D926" s="89"/>
      <c r="E926" s="280"/>
      <c r="F926" s="101"/>
      <c r="G926" s="101"/>
      <c r="H926" s="101"/>
      <c r="I926" s="101"/>
      <c r="J926" s="101"/>
      <c r="K926" s="101"/>
      <c r="L926" s="101"/>
      <c r="M926" s="100"/>
      <c r="N926" s="75"/>
      <c r="O926" s="75"/>
      <c r="P926" s="101" t="s">
        <v>212</v>
      </c>
      <c r="Q926" s="75"/>
      <c r="R926" s="75" t="s">
        <v>212</v>
      </c>
      <c r="S926" s="75"/>
      <c r="T926" s="75"/>
      <c r="U926" s="75"/>
      <c r="V926" s="75" t="s">
        <v>212</v>
      </c>
      <c r="W926" s="89"/>
      <c r="X926" s="42" t="s">
        <v>212</v>
      </c>
      <c r="AQ926" s="86" t="s">
        <v>212</v>
      </c>
      <c r="AR926" s="86"/>
      <c r="AS926" s="86" t="s">
        <v>212</v>
      </c>
    </row>
    <row r="927" spans="2:45" ht="14.25" thickBot="1" x14ac:dyDescent="0.2">
      <c r="C927" s="49"/>
      <c r="D927" s="49"/>
      <c r="E927" s="279"/>
      <c r="F927" s="22"/>
      <c r="G927" s="22"/>
      <c r="H927" s="22"/>
      <c r="I927" s="262"/>
      <c r="J927" s="22"/>
      <c r="K927" s="22"/>
      <c r="L927" s="22"/>
      <c r="M927" s="22"/>
      <c r="N927" s="22"/>
      <c r="O927" s="22"/>
      <c r="P927" s="22" t="s">
        <v>212</v>
      </c>
      <c r="Q927" s="78"/>
      <c r="R927" s="22" t="s">
        <v>212</v>
      </c>
      <c r="S927" s="22"/>
      <c r="T927" s="78"/>
      <c r="U927" s="78"/>
      <c r="V927" s="22" t="s">
        <v>212</v>
      </c>
      <c r="W927" s="49"/>
      <c r="X927" s="42" t="s">
        <v>212</v>
      </c>
      <c r="AQ927" s="86" t="s">
        <v>212</v>
      </c>
      <c r="AR927" s="86"/>
      <c r="AS927" s="86" t="s">
        <v>212</v>
      </c>
    </row>
    <row r="928" spans="2:45" ht="18" customHeight="1" thickBot="1" x14ac:dyDescent="0.2">
      <c r="B928" s="42">
        <v>19</v>
      </c>
      <c r="C928" s="49"/>
      <c r="D928" s="52" t="s">
        <v>174</v>
      </c>
      <c r="E928" s="275" t="s">
        <v>220</v>
      </c>
      <c r="F928" s="390"/>
      <c r="G928" s="391"/>
      <c r="H928" s="392"/>
      <c r="I928" s="263"/>
      <c r="J928" s="20"/>
      <c r="K928" s="30"/>
      <c r="L928" s="20"/>
      <c r="M928" s="30"/>
      <c r="N928" s="20"/>
      <c r="O928" s="30"/>
      <c r="P928" s="283">
        <f>中間シート!D838</f>
        <v>0</v>
      </c>
      <c r="Q928" s="78"/>
      <c r="R928" s="283">
        <f>中間シート!G838</f>
        <v>0</v>
      </c>
      <c r="S928" s="78"/>
      <c r="T928" s="97" t="s">
        <v>95</v>
      </c>
      <c r="U928" s="78"/>
      <c r="V928" s="283">
        <f>中間シート!H838</f>
        <v>0</v>
      </c>
      <c r="W928" s="49"/>
      <c r="X928" s="42" t="str">
        <f>IF($B928&lt;=入力シート!$F$85,""&amp;中間シート!X722,"")</f>
        <v/>
      </c>
      <c r="AQ928" s="81">
        <f>中間シート!E722</f>
        <v>0</v>
      </c>
      <c r="AR928" s="86">
        <f>IF(F928="含まれている",1,IF(F928="含まれていない",2,0))</f>
        <v>0</v>
      </c>
      <c r="AS928" s="86" t="str">
        <f>中間シート!P568</f>
        <v/>
      </c>
    </row>
    <row r="929" spans="2:45" ht="5.0999999999999996" customHeight="1" thickBot="1" x14ac:dyDescent="0.2">
      <c r="C929" s="49"/>
      <c r="D929" s="49"/>
      <c r="E929" s="276"/>
      <c r="F929" s="22"/>
      <c r="G929" s="22"/>
      <c r="H929" s="22"/>
      <c r="I929" s="262"/>
      <c r="J929" s="31"/>
      <c r="K929" s="31"/>
      <c r="L929" s="31"/>
      <c r="M929" s="31"/>
      <c r="N929" s="31"/>
      <c r="O929" s="31"/>
      <c r="P929" s="78" t="s">
        <v>212</v>
      </c>
      <c r="Q929" s="22"/>
      <c r="R929" s="78" t="s">
        <v>212</v>
      </c>
      <c r="S929" s="78"/>
      <c r="T929" s="22"/>
      <c r="U929" s="78"/>
      <c r="V929" s="78" t="s">
        <v>212</v>
      </c>
      <c r="W929" s="49"/>
      <c r="X929" s="42" t="s">
        <v>212</v>
      </c>
      <c r="AQ929" s="86" t="s">
        <v>212</v>
      </c>
      <c r="AR929" s="86"/>
      <c r="AS929" s="86" t="s">
        <v>212</v>
      </c>
    </row>
    <row r="930" spans="2:45" ht="18" customHeight="1" thickBot="1" x14ac:dyDescent="0.2">
      <c r="B930" s="42">
        <v>19</v>
      </c>
      <c r="C930" s="49"/>
      <c r="D930" s="49"/>
      <c r="E930" s="275" t="s">
        <v>221</v>
      </c>
      <c r="F930" s="390"/>
      <c r="G930" s="391"/>
      <c r="H930" s="392"/>
      <c r="I930" s="263"/>
      <c r="J930" s="20"/>
      <c r="K930" s="30"/>
      <c r="L930" s="20"/>
      <c r="M930" s="30"/>
      <c r="N930" s="20"/>
      <c r="O930" s="30"/>
      <c r="P930" s="78" t="s">
        <v>212</v>
      </c>
      <c r="Q930" s="78"/>
      <c r="R930" s="78" t="s">
        <v>212</v>
      </c>
      <c r="S930" s="78"/>
      <c r="T930" s="22"/>
      <c r="U930" s="78"/>
      <c r="V930" s="78" t="s">
        <v>212</v>
      </c>
      <c r="W930" s="49"/>
      <c r="X930" s="42" t="str">
        <f>IF($B930&lt;=入力シート!$F$85,""&amp;中間シート!X723,"")</f>
        <v/>
      </c>
      <c r="AQ930" s="81">
        <f>中間シート!E723</f>
        <v>0</v>
      </c>
      <c r="AR930" s="86">
        <f>IF(F930="含まれている",1,IF(F930="含まれていない",2,0))</f>
        <v>0</v>
      </c>
      <c r="AS930" s="86" t="str">
        <f>中間シート!P569</f>
        <v/>
      </c>
    </row>
    <row r="931" spans="2:45" ht="5.0999999999999996" customHeight="1" thickBot="1" x14ac:dyDescent="0.2">
      <c r="C931" s="49"/>
      <c r="D931" s="49"/>
      <c r="E931" s="276"/>
      <c r="F931" s="22"/>
      <c r="G931" s="22"/>
      <c r="H931" s="22"/>
      <c r="I931" s="262"/>
      <c r="J931" s="31"/>
      <c r="K931" s="31"/>
      <c r="L931" s="31"/>
      <c r="M931" s="31"/>
      <c r="N931" s="31"/>
      <c r="O931" s="31"/>
      <c r="P931" s="78" t="s">
        <v>212</v>
      </c>
      <c r="Q931" s="22"/>
      <c r="R931" s="78" t="s">
        <v>212</v>
      </c>
      <c r="S931" s="78"/>
      <c r="T931" s="22"/>
      <c r="U931" s="78"/>
      <c r="V931" s="78" t="s">
        <v>212</v>
      </c>
      <c r="W931" s="49"/>
      <c r="X931" s="42" t="s">
        <v>212</v>
      </c>
      <c r="AQ931" s="21" t="s">
        <v>212</v>
      </c>
      <c r="AR931" s="86"/>
      <c r="AS931" s="86" t="s">
        <v>212</v>
      </c>
    </row>
    <row r="932" spans="2:45" ht="18" customHeight="1" thickBot="1" x14ac:dyDescent="0.2">
      <c r="B932" s="42">
        <v>19</v>
      </c>
      <c r="C932" s="49"/>
      <c r="D932" s="49"/>
      <c r="E932" s="275" t="s">
        <v>222</v>
      </c>
      <c r="F932" s="390"/>
      <c r="G932" s="391"/>
      <c r="H932" s="392"/>
      <c r="I932" s="263"/>
      <c r="J932" s="20"/>
      <c r="K932" s="30"/>
      <c r="L932" s="20"/>
      <c r="M932" s="30"/>
      <c r="N932" s="20"/>
      <c r="O932" s="30"/>
      <c r="P932" s="78" t="s">
        <v>212</v>
      </c>
      <c r="Q932" s="78"/>
      <c r="R932" s="78" t="s">
        <v>212</v>
      </c>
      <c r="S932" s="78"/>
      <c r="T932" s="22"/>
      <c r="U932" s="78"/>
      <c r="V932" s="78" t="s">
        <v>212</v>
      </c>
      <c r="W932" s="49"/>
      <c r="X932" s="42" t="str">
        <f>IF($B932&lt;=入力シート!$F$85,""&amp;中間シート!X724,"")</f>
        <v/>
      </c>
      <c r="AQ932" s="81">
        <f>中間シート!E724</f>
        <v>0</v>
      </c>
      <c r="AR932" s="86">
        <f>IF(F932="含まれている",1,IF(F932="含まれていない",2,0))</f>
        <v>0</v>
      </c>
      <c r="AS932" s="86" t="str">
        <f>中間シート!P570</f>
        <v/>
      </c>
    </row>
    <row r="933" spans="2:45" x14ac:dyDescent="0.15">
      <c r="C933" s="49"/>
      <c r="D933" s="49"/>
      <c r="E933" s="55"/>
      <c r="F933" s="31"/>
      <c r="G933" s="31"/>
      <c r="H933" s="31"/>
      <c r="I933" s="31"/>
      <c r="J933" s="31"/>
      <c r="K933" s="31"/>
      <c r="L933" s="31"/>
      <c r="M933" s="22"/>
      <c r="N933" s="78"/>
      <c r="O933" s="78"/>
      <c r="P933" s="31" t="s">
        <v>212</v>
      </c>
      <c r="Q933" s="78"/>
      <c r="R933" s="78" t="s">
        <v>212</v>
      </c>
      <c r="S933" s="78"/>
      <c r="T933" s="78"/>
      <c r="U933" s="78"/>
      <c r="V933" s="78" t="s">
        <v>212</v>
      </c>
      <c r="W933" s="49"/>
      <c r="X933" s="42" t="s">
        <v>212</v>
      </c>
      <c r="AQ933" s="86" t="s">
        <v>212</v>
      </c>
      <c r="AR933" s="86"/>
      <c r="AS933" s="86" t="s">
        <v>212</v>
      </c>
    </row>
    <row r="934" spans="2:45" ht="14.25" thickBot="1" x14ac:dyDescent="0.2">
      <c r="C934" s="89"/>
      <c r="D934" s="89"/>
      <c r="E934" s="280"/>
      <c r="F934" s="89"/>
      <c r="G934" s="89"/>
      <c r="H934" s="89"/>
      <c r="I934" s="265"/>
      <c r="J934" s="89"/>
      <c r="K934" s="89"/>
      <c r="L934" s="89"/>
      <c r="M934" s="89"/>
      <c r="N934" s="89"/>
      <c r="O934" s="89"/>
      <c r="P934" s="89" t="s">
        <v>212</v>
      </c>
      <c r="Q934" s="89"/>
      <c r="R934" s="89" t="s">
        <v>212</v>
      </c>
      <c r="S934" s="89"/>
      <c r="T934" s="89"/>
      <c r="U934" s="89"/>
      <c r="V934" s="89" t="s">
        <v>212</v>
      </c>
      <c r="W934" s="89"/>
      <c r="X934" s="42" t="s">
        <v>212</v>
      </c>
      <c r="AQ934" s="86" t="s">
        <v>212</v>
      </c>
      <c r="AR934" s="86"/>
      <c r="AS934" s="86" t="s">
        <v>212</v>
      </c>
    </row>
    <row r="935" spans="2:45" ht="18" customHeight="1" thickBot="1" x14ac:dyDescent="0.2">
      <c r="B935" s="42">
        <v>20</v>
      </c>
      <c r="C935" s="89"/>
      <c r="D935" s="91" t="s">
        <v>175</v>
      </c>
      <c r="E935" s="277" t="s">
        <v>220</v>
      </c>
      <c r="F935" s="390"/>
      <c r="G935" s="391"/>
      <c r="H935" s="392"/>
      <c r="I935" s="266"/>
      <c r="J935" s="20"/>
      <c r="K935" s="98"/>
      <c r="L935" s="20"/>
      <c r="M935" s="98"/>
      <c r="N935" s="20"/>
      <c r="O935" s="98"/>
      <c r="P935" s="283">
        <f>中間シート!D839</f>
        <v>0</v>
      </c>
      <c r="Q935" s="75"/>
      <c r="R935" s="283">
        <f>中間シート!G839</f>
        <v>0</v>
      </c>
      <c r="S935" s="75"/>
      <c r="T935" s="99" t="s">
        <v>95</v>
      </c>
      <c r="U935" s="75"/>
      <c r="V935" s="283">
        <f>中間シート!H839</f>
        <v>0</v>
      </c>
      <c r="W935" s="89"/>
      <c r="X935" s="42" t="str">
        <f>IF($B935&lt;=入力シート!$F$85,""&amp;中間シート!X725,"")</f>
        <v/>
      </c>
      <c r="AQ935" s="81">
        <f>中間シート!E725</f>
        <v>0</v>
      </c>
      <c r="AR935" s="86">
        <f>IF(F935="含まれている",1,IF(F935="含まれていない",2,0))</f>
        <v>0</v>
      </c>
      <c r="AS935" s="86" t="str">
        <f>中間シート!P571</f>
        <v/>
      </c>
    </row>
    <row r="936" spans="2:45" ht="5.0999999999999996" customHeight="1" thickBot="1" x14ac:dyDescent="0.2">
      <c r="C936" s="89"/>
      <c r="D936" s="89"/>
      <c r="E936" s="278"/>
      <c r="F936" s="100"/>
      <c r="G936" s="100"/>
      <c r="H936" s="100"/>
      <c r="I936" s="267"/>
      <c r="J936" s="101"/>
      <c r="K936" s="101"/>
      <c r="L936" s="101"/>
      <c r="M936" s="101"/>
      <c r="N936" s="101"/>
      <c r="O936" s="101"/>
      <c r="P936" s="75" t="s">
        <v>212</v>
      </c>
      <c r="Q936" s="100"/>
      <c r="R936" s="75" t="s">
        <v>212</v>
      </c>
      <c r="S936" s="75"/>
      <c r="T936" s="100"/>
      <c r="U936" s="75"/>
      <c r="V936" s="75" t="s">
        <v>212</v>
      </c>
      <c r="W936" s="89"/>
      <c r="X936" s="42" t="s">
        <v>212</v>
      </c>
      <c r="AQ936" s="86" t="s">
        <v>212</v>
      </c>
      <c r="AR936" s="86"/>
      <c r="AS936" s="86" t="s">
        <v>212</v>
      </c>
    </row>
    <row r="937" spans="2:45" ht="18" customHeight="1" thickBot="1" x14ac:dyDescent="0.2">
      <c r="B937" s="42">
        <v>20</v>
      </c>
      <c r="C937" s="89"/>
      <c r="D937" s="89"/>
      <c r="E937" s="277" t="s">
        <v>221</v>
      </c>
      <c r="F937" s="390"/>
      <c r="G937" s="391"/>
      <c r="H937" s="392"/>
      <c r="I937" s="266"/>
      <c r="J937" s="20"/>
      <c r="K937" s="98"/>
      <c r="L937" s="20"/>
      <c r="M937" s="98"/>
      <c r="N937" s="20"/>
      <c r="O937" s="98"/>
      <c r="P937" s="75" t="s">
        <v>212</v>
      </c>
      <c r="Q937" s="75"/>
      <c r="R937" s="75" t="s">
        <v>212</v>
      </c>
      <c r="S937" s="75"/>
      <c r="T937" s="100"/>
      <c r="U937" s="75"/>
      <c r="V937" s="75" t="s">
        <v>212</v>
      </c>
      <c r="W937" s="89"/>
      <c r="X937" s="42" t="str">
        <f>IF($B937&lt;=入力シート!$F$85,""&amp;中間シート!X726,"")</f>
        <v/>
      </c>
      <c r="AQ937" s="81">
        <f>中間シート!E726</f>
        <v>0</v>
      </c>
      <c r="AR937" s="86">
        <f>IF(F937="含まれている",1,IF(F937="含まれていない",2,0))</f>
        <v>0</v>
      </c>
      <c r="AS937" s="86" t="str">
        <f>中間シート!P572</f>
        <v/>
      </c>
    </row>
    <row r="938" spans="2:45" ht="5.0999999999999996" customHeight="1" thickBot="1" x14ac:dyDescent="0.2">
      <c r="C938" s="89"/>
      <c r="D938" s="89"/>
      <c r="E938" s="278"/>
      <c r="F938" s="100"/>
      <c r="G938" s="100"/>
      <c r="H938" s="100"/>
      <c r="I938" s="267"/>
      <c r="J938" s="101"/>
      <c r="K938" s="101"/>
      <c r="L938" s="101"/>
      <c r="M938" s="101"/>
      <c r="N938" s="101"/>
      <c r="O938" s="101"/>
      <c r="P938" s="75" t="s">
        <v>212</v>
      </c>
      <c r="Q938" s="100"/>
      <c r="R938" s="75" t="s">
        <v>212</v>
      </c>
      <c r="S938" s="75"/>
      <c r="T938" s="100"/>
      <c r="U938" s="75"/>
      <c r="V938" s="75" t="s">
        <v>212</v>
      </c>
      <c r="W938" s="89"/>
      <c r="X938" s="42" t="s">
        <v>212</v>
      </c>
      <c r="AQ938" s="21" t="s">
        <v>212</v>
      </c>
      <c r="AR938" s="86"/>
      <c r="AS938" s="86" t="s">
        <v>212</v>
      </c>
    </row>
    <row r="939" spans="2:45" ht="18" customHeight="1" thickBot="1" x14ac:dyDescent="0.2">
      <c r="B939" s="42">
        <v>20</v>
      </c>
      <c r="C939" s="89"/>
      <c r="D939" s="89"/>
      <c r="E939" s="277" t="s">
        <v>222</v>
      </c>
      <c r="F939" s="390"/>
      <c r="G939" s="391"/>
      <c r="H939" s="392"/>
      <c r="I939" s="266"/>
      <c r="J939" s="20"/>
      <c r="K939" s="98"/>
      <c r="L939" s="20"/>
      <c r="M939" s="98"/>
      <c r="N939" s="20"/>
      <c r="O939" s="98"/>
      <c r="P939" s="75" t="s">
        <v>212</v>
      </c>
      <c r="Q939" s="75"/>
      <c r="R939" s="75" t="s">
        <v>212</v>
      </c>
      <c r="S939" s="75"/>
      <c r="T939" s="100"/>
      <c r="U939" s="75"/>
      <c r="V939" s="75" t="s">
        <v>212</v>
      </c>
      <c r="W939" s="89"/>
      <c r="X939" s="42" t="str">
        <f>IF($B939&lt;=入力シート!$F$85,""&amp;中間シート!X727,"")</f>
        <v/>
      </c>
      <c r="AQ939" s="81">
        <f>中間シート!E727</f>
        <v>0</v>
      </c>
      <c r="AR939" s="86">
        <f>IF(F939="含まれている",1,IF(F939="含まれていない",2,0))</f>
        <v>0</v>
      </c>
      <c r="AS939" s="86" t="str">
        <f>中間シート!P573</f>
        <v/>
      </c>
    </row>
    <row r="940" spans="2:45" x14ac:dyDescent="0.15">
      <c r="C940" s="89"/>
      <c r="D940" s="89"/>
      <c r="E940" s="280"/>
      <c r="F940" s="101"/>
      <c r="G940" s="101"/>
      <c r="H940" s="101"/>
      <c r="I940" s="101"/>
      <c r="J940" s="101"/>
      <c r="K940" s="101"/>
      <c r="L940" s="101"/>
      <c r="M940" s="100"/>
      <c r="N940" s="75"/>
      <c r="O940" s="75"/>
      <c r="P940" s="101" t="s">
        <v>212</v>
      </c>
      <c r="Q940" s="75"/>
      <c r="R940" s="75" t="s">
        <v>212</v>
      </c>
      <c r="S940" s="75"/>
      <c r="T940" s="75"/>
      <c r="U940" s="75"/>
      <c r="V940" s="75" t="s">
        <v>212</v>
      </c>
      <c r="W940" s="89"/>
      <c r="X940" s="42" t="s">
        <v>212</v>
      </c>
      <c r="AQ940" s="86" t="s">
        <v>212</v>
      </c>
      <c r="AR940" s="86"/>
      <c r="AS940" s="86" t="s">
        <v>212</v>
      </c>
    </row>
    <row r="941" spans="2:45" ht="14.25" thickBot="1" x14ac:dyDescent="0.2">
      <c r="C941" s="49"/>
      <c r="D941" s="49"/>
      <c r="E941" s="279"/>
      <c r="F941" s="22"/>
      <c r="G941" s="22"/>
      <c r="H941" s="22"/>
      <c r="I941" s="262"/>
      <c r="J941" s="22"/>
      <c r="K941" s="22"/>
      <c r="L941" s="22"/>
      <c r="M941" s="22"/>
      <c r="N941" s="22"/>
      <c r="O941" s="22"/>
      <c r="P941" s="22" t="s">
        <v>212</v>
      </c>
      <c r="Q941" s="78"/>
      <c r="R941" s="22" t="s">
        <v>212</v>
      </c>
      <c r="S941" s="22"/>
      <c r="T941" s="78"/>
      <c r="U941" s="78"/>
      <c r="V941" s="22" t="s">
        <v>212</v>
      </c>
      <c r="W941" s="49"/>
      <c r="X941" s="42" t="s">
        <v>212</v>
      </c>
      <c r="AQ941" s="86" t="s">
        <v>212</v>
      </c>
      <c r="AR941" s="86"/>
      <c r="AS941" s="86" t="s">
        <v>212</v>
      </c>
    </row>
    <row r="942" spans="2:45" ht="18" customHeight="1" thickBot="1" x14ac:dyDescent="0.2">
      <c r="B942" s="42">
        <v>21</v>
      </c>
      <c r="C942" s="49"/>
      <c r="D942" s="52" t="s">
        <v>176</v>
      </c>
      <c r="E942" s="275" t="s">
        <v>220</v>
      </c>
      <c r="F942" s="390"/>
      <c r="G942" s="391"/>
      <c r="H942" s="392"/>
      <c r="I942" s="263"/>
      <c r="J942" s="20"/>
      <c r="K942" s="30"/>
      <c r="L942" s="20"/>
      <c r="M942" s="30"/>
      <c r="N942" s="20"/>
      <c r="O942" s="30"/>
      <c r="P942" s="283">
        <f>中間シート!D840</f>
        <v>0</v>
      </c>
      <c r="Q942" s="78"/>
      <c r="R942" s="283">
        <f>中間シート!G840</f>
        <v>0</v>
      </c>
      <c r="S942" s="78"/>
      <c r="T942" s="97" t="s">
        <v>95</v>
      </c>
      <c r="U942" s="78"/>
      <c r="V942" s="283">
        <f>中間シート!H840</f>
        <v>0</v>
      </c>
      <c r="W942" s="49"/>
      <c r="X942" s="42" t="str">
        <f>IF($B942&lt;=入力シート!$F$85,""&amp;中間シート!X728,"")</f>
        <v/>
      </c>
      <c r="AQ942" s="81">
        <f>中間シート!E728</f>
        <v>0</v>
      </c>
      <c r="AR942" s="86">
        <f>IF(F942="含まれている",1,IF(F942="含まれていない",2,0))</f>
        <v>0</v>
      </c>
      <c r="AS942" s="86" t="str">
        <f>中間シート!P574</f>
        <v/>
      </c>
    </row>
    <row r="943" spans="2:45" ht="5.0999999999999996" customHeight="1" thickBot="1" x14ac:dyDescent="0.2">
      <c r="C943" s="49"/>
      <c r="D943" s="49"/>
      <c r="E943" s="276"/>
      <c r="F943" s="22"/>
      <c r="G943" s="22"/>
      <c r="H943" s="22"/>
      <c r="I943" s="262"/>
      <c r="J943" s="31"/>
      <c r="K943" s="31"/>
      <c r="L943" s="31"/>
      <c r="M943" s="31"/>
      <c r="N943" s="31"/>
      <c r="O943" s="31"/>
      <c r="P943" s="78" t="s">
        <v>212</v>
      </c>
      <c r="Q943" s="22"/>
      <c r="R943" s="78" t="s">
        <v>212</v>
      </c>
      <c r="S943" s="78"/>
      <c r="T943" s="22"/>
      <c r="U943" s="78"/>
      <c r="V943" s="78" t="s">
        <v>212</v>
      </c>
      <c r="W943" s="49"/>
      <c r="X943" s="42" t="s">
        <v>212</v>
      </c>
      <c r="AQ943" s="86" t="s">
        <v>212</v>
      </c>
      <c r="AR943" s="86"/>
      <c r="AS943" s="86" t="s">
        <v>212</v>
      </c>
    </row>
    <row r="944" spans="2:45" ht="18" customHeight="1" thickBot="1" x14ac:dyDescent="0.2">
      <c r="B944" s="42">
        <v>21</v>
      </c>
      <c r="C944" s="49"/>
      <c r="D944" s="49"/>
      <c r="E944" s="275" t="s">
        <v>221</v>
      </c>
      <c r="F944" s="390"/>
      <c r="G944" s="391"/>
      <c r="H944" s="392"/>
      <c r="I944" s="263"/>
      <c r="J944" s="20"/>
      <c r="K944" s="30"/>
      <c r="L944" s="20"/>
      <c r="M944" s="30"/>
      <c r="N944" s="20"/>
      <c r="O944" s="30"/>
      <c r="P944" s="78" t="s">
        <v>212</v>
      </c>
      <c r="Q944" s="78"/>
      <c r="R944" s="78" t="s">
        <v>212</v>
      </c>
      <c r="S944" s="78"/>
      <c r="T944" s="22"/>
      <c r="U944" s="78"/>
      <c r="V944" s="78" t="s">
        <v>212</v>
      </c>
      <c r="W944" s="49"/>
      <c r="X944" s="42" t="str">
        <f>IF($B944&lt;=入力シート!$F$85,""&amp;中間シート!X729,"")</f>
        <v/>
      </c>
      <c r="AQ944" s="81">
        <f>中間シート!E729</f>
        <v>0</v>
      </c>
      <c r="AR944" s="86">
        <f>IF(F944="含まれている",1,IF(F944="含まれていない",2,0))</f>
        <v>0</v>
      </c>
      <c r="AS944" s="86" t="str">
        <f>中間シート!P575</f>
        <v/>
      </c>
    </row>
    <row r="945" spans="2:45" ht="5.0999999999999996" customHeight="1" thickBot="1" x14ac:dyDescent="0.2">
      <c r="C945" s="49"/>
      <c r="D945" s="49"/>
      <c r="E945" s="276"/>
      <c r="F945" s="22"/>
      <c r="G945" s="22"/>
      <c r="H945" s="22"/>
      <c r="I945" s="262"/>
      <c r="J945" s="31"/>
      <c r="K945" s="31"/>
      <c r="L945" s="31"/>
      <c r="M945" s="31"/>
      <c r="N945" s="31"/>
      <c r="O945" s="31"/>
      <c r="P945" s="78" t="s">
        <v>212</v>
      </c>
      <c r="Q945" s="22"/>
      <c r="R945" s="78" t="s">
        <v>212</v>
      </c>
      <c r="S945" s="78"/>
      <c r="T945" s="22"/>
      <c r="U945" s="78"/>
      <c r="V945" s="78" t="s">
        <v>212</v>
      </c>
      <c r="W945" s="49"/>
      <c r="X945" s="42" t="s">
        <v>212</v>
      </c>
      <c r="AQ945" s="21" t="s">
        <v>212</v>
      </c>
      <c r="AR945" s="86"/>
      <c r="AS945" s="86" t="s">
        <v>212</v>
      </c>
    </row>
    <row r="946" spans="2:45" ht="18" customHeight="1" thickBot="1" x14ac:dyDescent="0.2">
      <c r="B946" s="42">
        <v>21</v>
      </c>
      <c r="C946" s="49"/>
      <c r="D946" s="49"/>
      <c r="E946" s="275" t="s">
        <v>222</v>
      </c>
      <c r="F946" s="390"/>
      <c r="G946" s="391"/>
      <c r="H946" s="392"/>
      <c r="I946" s="263"/>
      <c r="J946" s="20"/>
      <c r="K946" s="30"/>
      <c r="L946" s="20"/>
      <c r="M946" s="30"/>
      <c r="N946" s="20"/>
      <c r="O946" s="30"/>
      <c r="P946" s="78" t="s">
        <v>212</v>
      </c>
      <c r="Q946" s="78"/>
      <c r="R946" s="78" t="s">
        <v>212</v>
      </c>
      <c r="S946" s="78"/>
      <c r="T946" s="22"/>
      <c r="U946" s="78"/>
      <c r="V946" s="78" t="s">
        <v>212</v>
      </c>
      <c r="W946" s="49"/>
      <c r="X946" s="42" t="str">
        <f>IF($B946&lt;=入力シート!$F$85,""&amp;中間シート!X730,"")</f>
        <v/>
      </c>
      <c r="AQ946" s="81">
        <f>中間シート!E730</f>
        <v>0</v>
      </c>
      <c r="AR946" s="86">
        <f>IF(F946="含まれている",1,IF(F946="含まれていない",2,0))</f>
        <v>0</v>
      </c>
      <c r="AS946" s="86" t="str">
        <f>中間シート!P576</f>
        <v/>
      </c>
    </row>
    <row r="947" spans="2:45" x14ac:dyDescent="0.15">
      <c r="C947" s="49"/>
      <c r="D947" s="49"/>
      <c r="E947" s="55"/>
      <c r="F947" s="31"/>
      <c r="G947" s="31"/>
      <c r="H947" s="31"/>
      <c r="I947" s="31"/>
      <c r="J947" s="31"/>
      <c r="K947" s="31"/>
      <c r="L947" s="31"/>
      <c r="M947" s="22"/>
      <c r="N947" s="78"/>
      <c r="O947" s="78"/>
      <c r="P947" s="31" t="s">
        <v>212</v>
      </c>
      <c r="Q947" s="78"/>
      <c r="R947" s="78" t="s">
        <v>212</v>
      </c>
      <c r="S947" s="78"/>
      <c r="T947" s="78"/>
      <c r="U947" s="78"/>
      <c r="V947" s="78" t="s">
        <v>212</v>
      </c>
      <c r="W947" s="49"/>
      <c r="X947" s="42" t="s">
        <v>212</v>
      </c>
      <c r="AQ947" s="86" t="s">
        <v>212</v>
      </c>
      <c r="AR947" s="86"/>
      <c r="AS947" s="86" t="s">
        <v>212</v>
      </c>
    </row>
    <row r="948" spans="2:45" ht="14.25" thickBot="1" x14ac:dyDescent="0.2">
      <c r="C948" s="89"/>
      <c r="D948" s="89"/>
      <c r="E948" s="280"/>
      <c r="F948" s="89"/>
      <c r="G948" s="89"/>
      <c r="H948" s="89"/>
      <c r="I948" s="265"/>
      <c r="J948" s="89"/>
      <c r="K948" s="89"/>
      <c r="L948" s="89"/>
      <c r="M948" s="89"/>
      <c r="N948" s="89"/>
      <c r="O948" s="89"/>
      <c r="P948" s="89" t="s">
        <v>212</v>
      </c>
      <c r="Q948" s="89"/>
      <c r="R948" s="89" t="s">
        <v>212</v>
      </c>
      <c r="S948" s="89"/>
      <c r="T948" s="89"/>
      <c r="U948" s="89"/>
      <c r="V948" s="89" t="s">
        <v>212</v>
      </c>
      <c r="W948" s="89"/>
      <c r="X948" s="42" t="s">
        <v>212</v>
      </c>
      <c r="AQ948" s="86" t="s">
        <v>212</v>
      </c>
      <c r="AR948" s="86"/>
      <c r="AS948" s="86" t="s">
        <v>212</v>
      </c>
    </row>
    <row r="949" spans="2:45" ht="18" customHeight="1" thickBot="1" x14ac:dyDescent="0.2">
      <c r="B949" s="42">
        <v>22</v>
      </c>
      <c r="C949" s="89"/>
      <c r="D949" s="91" t="s">
        <v>177</v>
      </c>
      <c r="E949" s="277" t="s">
        <v>220</v>
      </c>
      <c r="F949" s="390"/>
      <c r="G949" s="391"/>
      <c r="H949" s="392"/>
      <c r="I949" s="266"/>
      <c r="J949" s="20"/>
      <c r="K949" s="98"/>
      <c r="L949" s="20"/>
      <c r="M949" s="98"/>
      <c r="N949" s="20"/>
      <c r="O949" s="98"/>
      <c r="P949" s="283">
        <f>中間シート!D841</f>
        <v>0</v>
      </c>
      <c r="Q949" s="75"/>
      <c r="R949" s="283">
        <f>中間シート!G841</f>
        <v>0</v>
      </c>
      <c r="S949" s="75"/>
      <c r="T949" s="99" t="s">
        <v>95</v>
      </c>
      <c r="U949" s="75"/>
      <c r="V949" s="283">
        <f>中間シート!H841</f>
        <v>0</v>
      </c>
      <c r="W949" s="89"/>
      <c r="X949" s="42" t="str">
        <f>IF($B949&lt;=入力シート!$F$85,""&amp;中間シート!X731,"")</f>
        <v/>
      </c>
      <c r="AQ949" s="81">
        <f>中間シート!E731</f>
        <v>0</v>
      </c>
      <c r="AR949" s="86">
        <f>IF(F949="含まれている",1,IF(F949="含まれていない",2,0))</f>
        <v>0</v>
      </c>
      <c r="AS949" s="86" t="str">
        <f>中間シート!P577</f>
        <v/>
      </c>
    </row>
    <row r="950" spans="2:45" ht="5.0999999999999996" customHeight="1" thickBot="1" x14ac:dyDescent="0.2">
      <c r="C950" s="89"/>
      <c r="D950" s="89"/>
      <c r="E950" s="278"/>
      <c r="F950" s="100"/>
      <c r="G950" s="100"/>
      <c r="H950" s="100"/>
      <c r="I950" s="267"/>
      <c r="J950" s="101"/>
      <c r="K950" s="101"/>
      <c r="L950" s="101"/>
      <c r="M950" s="101"/>
      <c r="N950" s="101"/>
      <c r="O950" s="101"/>
      <c r="P950" s="75" t="s">
        <v>212</v>
      </c>
      <c r="Q950" s="100"/>
      <c r="R950" s="75" t="s">
        <v>212</v>
      </c>
      <c r="S950" s="75"/>
      <c r="T950" s="100"/>
      <c r="U950" s="75"/>
      <c r="V950" s="75" t="s">
        <v>212</v>
      </c>
      <c r="W950" s="89"/>
      <c r="X950" s="42" t="s">
        <v>212</v>
      </c>
      <c r="AQ950" s="86" t="s">
        <v>212</v>
      </c>
      <c r="AR950" s="86"/>
      <c r="AS950" s="86" t="s">
        <v>212</v>
      </c>
    </row>
    <row r="951" spans="2:45" ht="18" customHeight="1" thickBot="1" x14ac:dyDescent="0.2">
      <c r="B951" s="42">
        <v>22</v>
      </c>
      <c r="C951" s="89"/>
      <c r="D951" s="89"/>
      <c r="E951" s="277" t="s">
        <v>221</v>
      </c>
      <c r="F951" s="390"/>
      <c r="G951" s="391"/>
      <c r="H951" s="392"/>
      <c r="I951" s="266"/>
      <c r="J951" s="20"/>
      <c r="K951" s="98"/>
      <c r="L951" s="20"/>
      <c r="M951" s="98"/>
      <c r="N951" s="20"/>
      <c r="O951" s="98"/>
      <c r="P951" s="75" t="s">
        <v>212</v>
      </c>
      <c r="Q951" s="75"/>
      <c r="R951" s="75" t="s">
        <v>212</v>
      </c>
      <c r="S951" s="75"/>
      <c r="T951" s="100"/>
      <c r="U951" s="75"/>
      <c r="V951" s="75" t="s">
        <v>212</v>
      </c>
      <c r="W951" s="89"/>
      <c r="X951" s="42" t="str">
        <f>IF($B951&lt;=入力シート!$F$85,""&amp;中間シート!X732,"")</f>
        <v/>
      </c>
      <c r="AQ951" s="81">
        <f>中間シート!E732</f>
        <v>0</v>
      </c>
      <c r="AR951" s="86">
        <f>IF(F951="含まれている",1,IF(F951="含まれていない",2,0))</f>
        <v>0</v>
      </c>
      <c r="AS951" s="86" t="str">
        <f>中間シート!P578</f>
        <v/>
      </c>
    </row>
    <row r="952" spans="2:45" ht="5.0999999999999996" customHeight="1" thickBot="1" x14ac:dyDescent="0.2">
      <c r="C952" s="89"/>
      <c r="D952" s="89"/>
      <c r="E952" s="278"/>
      <c r="F952" s="100"/>
      <c r="G952" s="100"/>
      <c r="H952" s="100"/>
      <c r="I952" s="267"/>
      <c r="J952" s="101"/>
      <c r="K952" s="101"/>
      <c r="L952" s="101"/>
      <c r="M952" s="101"/>
      <c r="N952" s="101"/>
      <c r="O952" s="101"/>
      <c r="P952" s="75" t="s">
        <v>212</v>
      </c>
      <c r="Q952" s="100"/>
      <c r="R952" s="75" t="s">
        <v>212</v>
      </c>
      <c r="S952" s="75"/>
      <c r="T952" s="100"/>
      <c r="U952" s="75"/>
      <c r="V952" s="75" t="s">
        <v>212</v>
      </c>
      <c r="W952" s="89"/>
      <c r="X952" s="42" t="s">
        <v>212</v>
      </c>
      <c r="AQ952" s="21" t="s">
        <v>212</v>
      </c>
      <c r="AR952" s="86"/>
      <c r="AS952" s="86" t="s">
        <v>212</v>
      </c>
    </row>
    <row r="953" spans="2:45" ht="18" customHeight="1" thickBot="1" x14ac:dyDescent="0.2">
      <c r="B953" s="42">
        <v>22</v>
      </c>
      <c r="C953" s="89"/>
      <c r="D953" s="89"/>
      <c r="E953" s="277" t="s">
        <v>222</v>
      </c>
      <c r="F953" s="390"/>
      <c r="G953" s="391"/>
      <c r="H953" s="392"/>
      <c r="I953" s="266"/>
      <c r="J953" s="20"/>
      <c r="K953" s="98"/>
      <c r="L953" s="20"/>
      <c r="M953" s="98"/>
      <c r="N953" s="20"/>
      <c r="O953" s="98"/>
      <c r="P953" s="75" t="s">
        <v>212</v>
      </c>
      <c r="Q953" s="75"/>
      <c r="R953" s="75" t="s">
        <v>212</v>
      </c>
      <c r="S953" s="75"/>
      <c r="T953" s="100"/>
      <c r="U953" s="75"/>
      <c r="V953" s="75" t="s">
        <v>212</v>
      </c>
      <c r="W953" s="89"/>
      <c r="X953" s="42" t="str">
        <f>IF($B953&lt;=入力シート!$F$85,""&amp;中間シート!X733,"")</f>
        <v/>
      </c>
      <c r="AQ953" s="81">
        <f>中間シート!E733</f>
        <v>0</v>
      </c>
      <c r="AR953" s="86">
        <f>IF(F953="含まれている",1,IF(F953="含まれていない",2,0))</f>
        <v>0</v>
      </c>
      <c r="AS953" s="86" t="str">
        <f>中間シート!P579</f>
        <v/>
      </c>
    </row>
    <row r="954" spans="2:45" x14ac:dyDescent="0.15">
      <c r="C954" s="89"/>
      <c r="D954" s="89"/>
      <c r="E954" s="280"/>
      <c r="F954" s="101"/>
      <c r="G954" s="101"/>
      <c r="H954" s="101"/>
      <c r="I954" s="101"/>
      <c r="J954" s="101"/>
      <c r="K954" s="101"/>
      <c r="L954" s="101"/>
      <c r="M954" s="100"/>
      <c r="N954" s="75"/>
      <c r="O954" s="75"/>
      <c r="P954" s="101" t="s">
        <v>212</v>
      </c>
      <c r="Q954" s="75"/>
      <c r="R954" s="75" t="s">
        <v>212</v>
      </c>
      <c r="S954" s="75"/>
      <c r="T954" s="75"/>
      <c r="U954" s="75"/>
      <c r="V954" s="75" t="s">
        <v>212</v>
      </c>
      <c r="W954" s="89"/>
      <c r="X954" s="42" t="s">
        <v>212</v>
      </c>
      <c r="AQ954" s="86" t="s">
        <v>212</v>
      </c>
      <c r="AR954" s="86"/>
      <c r="AS954" s="86" t="s">
        <v>212</v>
      </c>
    </row>
    <row r="955" spans="2:45" ht="14.25" thickBot="1" x14ac:dyDescent="0.2">
      <c r="C955" s="49"/>
      <c r="D955" s="49"/>
      <c r="E955" s="279"/>
      <c r="F955" s="22"/>
      <c r="G955" s="22"/>
      <c r="H955" s="22"/>
      <c r="I955" s="262"/>
      <c r="J955" s="22"/>
      <c r="K955" s="22"/>
      <c r="L955" s="22"/>
      <c r="M955" s="22"/>
      <c r="N955" s="22"/>
      <c r="O955" s="22"/>
      <c r="P955" s="22" t="s">
        <v>212</v>
      </c>
      <c r="Q955" s="78"/>
      <c r="R955" s="22" t="s">
        <v>212</v>
      </c>
      <c r="S955" s="22"/>
      <c r="T955" s="78"/>
      <c r="U955" s="78"/>
      <c r="V955" s="22" t="s">
        <v>212</v>
      </c>
      <c r="W955" s="49"/>
      <c r="X955" s="42" t="s">
        <v>212</v>
      </c>
      <c r="AQ955" s="86" t="s">
        <v>212</v>
      </c>
      <c r="AR955" s="86"/>
      <c r="AS955" s="86" t="s">
        <v>212</v>
      </c>
    </row>
    <row r="956" spans="2:45" ht="18" customHeight="1" thickBot="1" x14ac:dyDescent="0.2">
      <c r="B956" s="42">
        <v>23</v>
      </c>
      <c r="C956" s="49"/>
      <c r="D956" s="52" t="s">
        <v>178</v>
      </c>
      <c r="E956" s="275" t="s">
        <v>220</v>
      </c>
      <c r="F956" s="390"/>
      <c r="G956" s="391"/>
      <c r="H956" s="392"/>
      <c r="I956" s="263"/>
      <c r="J956" s="20"/>
      <c r="K956" s="30"/>
      <c r="L956" s="20"/>
      <c r="M956" s="30"/>
      <c r="N956" s="20"/>
      <c r="O956" s="30"/>
      <c r="P956" s="283">
        <f>中間シート!D842</f>
        <v>0</v>
      </c>
      <c r="Q956" s="78"/>
      <c r="R956" s="283">
        <f>中間シート!G842</f>
        <v>0</v>
      </c>
      <c r="S956" s="78"/>
      <c r="T956" s="97" t="s">
        <v>95</v>
      </c>
      <c r="U956" s="78"/>
      <c r="V956" s="283">
        <f>中間シート!H842</f>
        <v>0</v>
      </c>
      <c r="W956" s="49"/>
      <c r="X956" s="42" t="str">
        <f>IF($B956&lt;=入力シート!$F$85,""&amp;中間シート!X734,"")</f>
        <v/>
      </c>
      <c r="AQ956" s="81">
        <f>中間シート!E734</f>
        <v>0</v>
      </c>
      <c r="AR956" s="86">
        <f>IF(F956="含まれている",1,IF(F956="含まれていない",2,0))</f>
        <v>0</v>
      </c>
      <c r="AS956" s="86" t="str">
        <f>中間シート!P580</f>
        <v/>
      </c>
    </row>
    <row r="957" spans="2:45" ht="5.0999999999999996" customHeight="1" thickBot="1" x14ac:dyDescent="0.2">
      <c r="C957" s="49"/>
      <c r="D957" s="49"/>
      <c r="E957" s="276"/>
      <c r="F957" s="22"/>
      <c r="G957" s="22"/>
      <c r="H957" s="22"/>
      <c r="I957" s="262"/>
      <c r="J957" s="31"/>
      <c r="K957" s="31"/>
      <c r="L957" s="31"/>
      <c r="M957" s="31"/>
      <c r="N957" s="31"/>
      <c r="O957" s="31"/>
      <c r="P957" s="78" t="s">
        <v>212</v>
      </c>
      <c r="Q957" s="22"/>
      <c r="R957" s="78" t="s">
        <v>212</v>
      </c>
      <c r="S957" s="78"/>
      <c r="T957" s="22"/>
      <c r="U957" s="78"/>
      <c r="V957" s="78" t="s">
        <v>212</v>
      </c>
      <c r="W957" s="49"/>
      <c r="X957" s="42" t="s">
        <v>212</v>
      </c>
      <c r="AQ957" s="86" t="s">
        <v>212</v>
      </c>
      <c r="AR957" s="86"/>
      <c r="AS957" s="86" t="s">
        <v>212</v>
      </c>
    </row>
    <row r="958" spans="2:45" ht="18" customHeight="1" thickBot="1" x14ac:dyDescent="0.2">
      <c r="B958" s="42">
        <v>23</v>
      </c>
      <c r="C958" s="49"/>
      <c r="D958" s="49"/>
      <c r="E958" s="275" t="s">
        <v>221</v>
      </c>
      <c r="F958" s="390"/>
      <c r="G958" s="391"/>
      <c r="H958" s="392"/>
      <c r="I958" s="263"/>
      <c r="J958" s="20"/>
      <c r="K958" s="30"/>
      <c r="L958" s="20"/>
      <c r="M958" s="30"/>
      <c r="N958" s="20"/>
      <c r="O958" s="30"/>
      <c r="P958" s="78" t="s">
        <v>212</v>
      </c>
      <c r="Q958" s="78"/>
      <c r="R958" s="78" t="s">
        <v>212</v>
      </c>
      <c r="S958" s="78"/>
      <c r="T958" s="22"/>
      <c r="U958" s="78"/>
      <c r="V958" s="78" t="s">
        <v>212</v>
      </c>
      <c r="W958" s="49"/>
      <c r="X958" s="42" t="str">
        <f>IF($B958&lt;=入力シート!$F$85,""&amp;中間シート!X735,"")</f>
        <v/>
      </c>
      <c r="AQ958" s="81">
        <f>中間シート!E735</f>
        <v>0</v>
      </c>
      <c r="AR958" s="86">
        <f>IF(F958="含まれている",1,IF(F958="含まれていない",2,0))</f>
        <v>0</v>
      </c>
      <c r="AS958" s="86" t="str">
        <f>中間シート!P581</f>
        <v/>
      </c>
    </row>
    <row r="959" spans="2:45" ht="5.0999999999999996" customHeight="1" thickBot="1" x14ac:dyDescent="0.2">
      <c r="C959" s="49"/>
      <c r="D959" s="49"/>
      <c r="E959" s="276"/>
      <c r="F959" s="22"/>
      <c r="G959" s="22"/>
      <c r="H959" s="22"/>
      <c r="I959" s="262"/>
      <c r="J959" s="31"/>
      <c r="K959" s="31"/>
      <c r="L959" s="31"/>
      <c r="M959" s="31"/>
      <c r="N959" s="31"/>
      <c r="O959" s="31"/>
      <c r="P959" s="78" t="s">
        <v>212</v>
      </c>
      <c r="Q959" s="22"/>
      <c r="R959" s="78" t="s">
        <v>212</v>
      </c>
      <c r="S959" s="78"/>
      <c r="T959" s="22"/>
      <c r="U959" s="78"/>
      <c r="V959" s="78" t="s">
        <v>212</v>
      </c>
      <c r="W959" s="49"/>
      <c r="X959" s="42" t="s">
        <v>212</v>
      </c>
      <c r="AQ959" s="21" t="s">
        <v>212</v>
      </c>
      <c r="AR959" s="86"/>
      <c r="AS959" s="86" t="s">
        <v>212</v>
      </c>
    </row>
    <row r="960" spans="2:45" ht="18" customHeight="1" thickBot="1" x14ac:dyDescent="0.2">
      <c r="B960" s="42">
        <v>23</v>
      </c>
      <c r="C960" s="49"/>
      <c r="D960" s="49"/>
      <c r="E960" s="275" t="s">
        <v>222</v>
      </c>
      <c r="F960" s="390"/>
      <c r="G960" s="391"/>
      <c r="H960" s="392"/>
      <c r="I960" s="263"/>
      <c r="J960" s="20"/>
      <c r="K960" s="30"/>
      <c r="L960" s="20"/>
      <c r="M960" s="30"/>
      <c r="N960" s="20"/>
      <c r="O960" s="30"/>
      <c r="P960" s="78" t="s">
        <v>212</v>
      </c>
      <c r="Q960" s="78"/>
      <c r="R960" s="78" t="s">
        <v>212</v>
      </c>
      <c r="S960" s="78"/>
      <c r="T960" s="22"/>
      <c r="U960" s="78"/>
      <c r="V960" s="78" t="s">
        <v>212</v>
      </c>
      <c r="W960" s="49"/>
      <c r="X960" s="42" t="str">
        <f>IF($B960&lt;=入力シート!$F$85,""&amp;中間シート!X736,"")</f>
        <v/>
      </c>
      <c r="AQ960" s="81">
        <f>中間シート!E736</f>
        <v>0</v>
      </c>
      <c r="AR960" s="86">
        <f>IF(F960="含まれている",1,IF(F960="含まれていない",2,0))</f>
        <v>0</v>
      </c>
      <c r="AS960" s="86" t="str">
        <f>中間シート!P582</f>
        <v/>
      </c>
    </row>
    <row r="961" spans="2:45" x14ac:dyDescent="0.15">
      <c r="C961" s="49"/>
      <c r="D961" s="49"/>
      <c r="E961" s="55"/>
      <c r="F961" s="31"/>
      <c r="G961" s="31"/>
      <c r="H961" s="31"/>
      <c r="I961" s="31"/>
      <c r="J961" s="31"/>
      <c r="K961" s="31"/>
      <c r="L961" s="31"/>
      <c r="M961" s="22"/>
      <c r="N961" s="78"/>
      <c r="O961" s="78"/>
      <c r="P961" s="31" t="s">
        <v>212</v>
      </c>
      <c r="Q961" s="78"/>
      <c r="R961" s="78" t="s">
        <v>212</v>
      </c>
      <c r="S961" s="78"/>
      <c r="T961" s="78"/>
      <c r="U961" s="78"/>
      <c r="V961" s="78" t="s">
        <v>212</v>
      </c>
      <c r="W961" s="49"/>
      <c r="X961" s="42" t="s">
        <v>212</v>
      </c>
      <c r="AQ961" s="86" t="s">
        <v>212</v>
      </c>
      <c r="AR961" s="86"/>
      <c r="AS961" s="86" t="s">
        <v>212</v>
      </c>
    </row>
    <row r="962" spans="2:45" ht="14.25" thickBot="1" x14ac:dyDescent="0.2">
      <c r="C962" s="89"/>
      <c r="D962" s="89"/>
      <c r="E962" s="280"/>
      <c r="F962" s="89"/>
      <c r="G962" s="89"/>
      <c r="H962" s="89"/>
      <c r="I962" s="265"/>
      <c r="J962" s="89"/>
      <c r="K962" s="89"/>
      <c r="L962" s="89"/>
      <c r="M962" s="89"/>
      <c r="N962" s="89"/>
      <c r="O962" s="89"/>
      <c r="P962" s="89" t="s">
        <v>212</v>
      </c>
      <c r="Q962" s="89"/>
      <c r="R962" s="89" t="s">
        <v>212</v>
      </c>
      <c r="S962" s="89"/>
      <c r="T962" s="89"/>
      <c r="U962" s="89"/>
      <c r="V962" s="89" t="s">
        <v>212</v>
      </c>
      <c r="W962" s="89"/>
      <c r="X962" s="42" t="s">
        <v>212</v>
      </c>
      <c r="AQ962" s="86" t="s">
        <v>212</v>
      </c>
      <c r="AR962" s="86"/>
      <c r="AS962" s="86" t="s">
        <v>212</v>
      </c>
    </row>
    <row r="963" spans="2:45" ht="18" customHeight="1" thickBot="1" x14ac:dyDescent="0.2">
      <c r="B963" s="42">
        <v>24</v>
      </c>
      <c r="C963" s="89"/>
      <c r="D963" s="91" t="s">
        <v>179</v>
      </c>
      <c r="E963" s="277" t="s">
        <v>220</v>
      </c>
      <c r="F963" s="390"/>
      <c r="G963" s="391"/>
      <c r="H963" s="392"/>
      <c r="I963" s="266"/>
      <c r="J963" s="20"/>
      <c r="K963" s="98"/>
      <c r="L963" s="20"/>
      <c r="M963" s="98"/>
      <c r="N963" s="20"/>
      <c r="O963" s="98"/>
      <c r="P963" s="283">
        <f>中間シート!D843</f>
        <v>0</v>
      </c>
      <c r="Q963" s="75"/>
      <c r="R963" s="283">
        <f>中間シート!G843</f>
        <v>0</v>
      </c>
      <c r="S963" s="75"/>
      <c r="T963" s="99" t="s">
        <v>95</v>
      </c>
      <c r="U963" s="75"/>
      <c r="V963" s="283">
        <f>中間シート!H843</f>
        <v>0</v>
      </c>
      <c r="W963" s="89"/>
      <c r="X963" s="42" t="str">
        <f>IF($B963&lt;=入力シート!$F$85,""&amp;中間シート!X737,"")</f>
        <v/>
      </c>
      <c r="AQ963" s="81">
        <f>中間シート!E737</f>
        <v>0</v>
      </c>
      <c r="AR963" s="86">
        <f>IF(F963="含まれている",1,IF(F963="含まれていない",2,0))</f>
        <v>0</v>
      </c>
      <c r="AS963" s="86" t="str">
        <f>中間シート!P583</f>
        <v/>
      </c>
    </row>
    <row r="964" spans="2:45" ht="5.0999999999999996" customHeight="1" thickBot="1" x14ac:dyDescent="0.2">
      <c r="C964" s="89"/>
      <c r="D964" s="89"/>
      <c r="E964" s="278"/>
      <c r="F964" s="100"/>
      <c r="G964" s="100"/>
      <c r="H964" s="100"/>
      <c r="I964" s="267"/>
      <c r="J964" s="101"/>
      <c r="K964" s="101"/>
      <c r="L964" s="101"/>
      <c r="M964" s="101"/>
      <c r="N964" s="101"/>
      <c r="O964" s="101"/>
      <c r="P964" s="75" t="s">
        <v>212</v>
      </c>
      <c r="Q964" s="100"/>
      <c r="R964" s="75" t="s">
        <v>212</v>
      </c>
      <c r="S964" s="75"/>
      <c r="T964" s="100"/>
      <c r="U964" s="75"/>
      <c r="V964" s="75" t="s">
        <v>212</v>
      </c>
      <c r="W964" s="89"/>
      <c r="X964" s="42" t="s">
        <v>212</v>
      </c>
      <c r="AQ964" s="86" t="s">
        <v>212</v>
      </c>
      <c r="AR964" s="86"/>
      <c r="AS964" s="86" t="s">
        <v>212</v>
      </c>
    </row>
    <row r="965" spans="2:45" ht="18" customHeight="1" thickBot="1" x14ac:dyDescent="0.2">
      <c r="B965" s="42">
        <v>24</v>
      </c>
      <c r="C965" s="89"/>
      <c r="D965" s="89"/>
      <c r="E965" s="277" t="s">
        <v>221</v>
      </c>
      <c r="F965" s="390"/>
      <c r="G965" s="391"/>
      <c r="H965" s="392"/>
      <c r="I965" s="266"/>
      <c r="J965" s="20"/>
      <c r="K965" s="98"/>
      <c r="L965" s="20"/>
      <c r="M965" s="98"/>
      <c r="N965" s="20"/>
      <c r="O965" s="98"/>
      <c r="P965" s="75" t="s">
        <v>212</v>
      </c>
      <c r="Q965" s="75"/>
      <c r="R965" s="75" t="s">
        <v>212</v>
      </c>
      <c r="S965" s="75"/>
      <c r="T965" s="100"/>
      <c r="U965" s="75"/>
      <c r="V965" s="75" t="s">
        <v>212</v>
      </c>
      <c r="W965" s="89"/>
      <c r="X965" s="42" t="str">
        <f>IF($B965&lt;=入力シート!$F$85,""&amp;中間シート!X738,"")</f>
        <v/>
      </c>
      <c r="AQ965" s="81">
        <f>中間シート!E738</f>
        <v>0</v>
      </c>
      <c r="AR965" s="86">
        <f>IF(F965="含まれている",1,IF(F965="含まれていない",2,0))</f>
        <v>0</v>
      </c>
      <c r="AS965" s="86" t="str">
        <f>中間シート!P584</f>
        <v/>
      </c>
    </row>
    <row r="966" spans="2:45" ht="5.0999999999999996" customHeight="1" thickBot="1" x14ac:dyDescent="0.2">
      <c r="C966" s="89"/>
      <c r="D966" s="89"/>
      <c r="E966" s="278"/>
      <c r="F966" s="100"/>
      <c r="G966" s="100"/>
      <c r="H966" s="100"/>
      <c r="I966" s="267"/>
      <c r="J966" s="101"/>
      <c r="K966" s="101"/>
      <c r="L966" s="101"/>
      <c r="M966" s="101"/>
      <c r="N966" s="101"/>
      <c r="O966" s="101"/>
      <c r="P966" s="75" t="s">
        <v>212</v>
      </c>
      <c r="Q966" s="100"/>
      <c r="R966" s="75" t="s">
        <v>212</v>
      </c>
      <c r="S966" s="75"/>
      <c r="T966" s="100"/>
      <c r="U966" s="75"/>
      <c r="V966" s="75" t="s">
        <v>212</v>
      </c>
      <c r="W966" s="89"/>
      <c r="X966" s="42" t="s">
        <v>212</v>
      </c>
      <c r="AQ966" s="21" t="s">
        <v>212</v>
      </c>
      <c r="AR966" s="86"/>
      <c r="AS966" s="86" t="s">
        <v>212</v>
      </c>
    </row>
    <row r="967" spans="2:45" ht="18" customHeight="1" thickBot="1" x14ac:dyDescent="0.2">
      <c r="B967" s="42">
        <v>24</v>
      </c>
      <c r="C967" s="89"/>
      <c r="D967" s="89"/>
      <c r="E967" s="277" t="s">
        <v>222</v>
      </c>
      <c r="F967" s="390"/>
      <c r="G967" s="391"/>
      <c r="H967" s="392"/>
      <c r="I967" s="266"/>
      <c r="J967" s="20"/>
      <c r="K967" s="98"/>
      <c r="L967" s="20"/>
      <c r="M967" s="98"/>
      <c r="N967" s="20"/>
      <c r="O967" s="98"/>
      <c r="P967" s="75" t="s">
        <v>212</v>
      </c>
      <c r="Q967" s="75"/>
      <c r="R967" s="75" t="s">
        <v>212</v>
      </c>
      <c r="S967" s="75"/>
      <c r="T967" s="100"/>
      <c r="U967" s="75"/>
      <c r="V967" s="75" t="s">
        <v>212</v>
      </c>
      <c r="W967" s="89"/>
      <c r="X967" s="42" t="str">
        <f>IF($B967&lt;=入力シート!$F$85,""&amp;中間シート!X739,"")</f>
        <v/>
      </c>
      <c r="AQ967" s="81">
        <f>中間シート!E739</f>
        <v>0</v>
      </c>
      <c r="AR967" s="86">
        <f>IF(F967="含まれている",1,IF(F967="含まれていない",2,0))</f>
        <v>0</v>
      </c>
      <c r="AS967" s="86" t="str">
        <f>中間シート!P585</f>
        <v/>
      </c>
    </row>
    <row r="968" spans="2:45" x14ac:dyDescent="0.15">
      <c r="C968" s="89"/>
      <c r="D968" s="89"/>
      <c r="E968" s="280"/>
      <c r="F968" s="101"/>
      <c r="G968" s="101"/>
      <c r="H968" s="101"/>
      <c r="I968" s="101"/>
      <c r="J968" s="101"/>
      <c r="K968" s="101"/>
      <c r="L968" s="101"/>
      <c r="M968" s="100"/>
      <c r="N968" s="75"/>
      <c r="O968" s="75"/>
      <c r="P968" s="101" t="s">
        <v>212</v>
      </c>
      <c r="Q968" s="75"/>
      <c r="R968" s="75" t="s">
        <v>212</v>
      </c>
      <c r="S968" s="75"/>
      <c r="T968" s="75"/>
      <c r="U968" s="75"/>
      <c r="V968" s="75" t="s">
        <v>212</v>
      </c>
      <c r="W968" s="89"/>
      <c r="X968" s="42" t="s">
        <v>212</v>
      </c>
      <c r="AQ968" s="86" t="s">
        <v>212</v>
      </c>
      <c r="AR968" s="86"/>
      <c r="AS968" s="86" t="s">
        <v>212</v>
      </c>
    </row>
    <row r="969" spans="2:45" ht="14.25" thickBot="1" x14ac:dyDescent="0.2">
      <c r="C969" s="49"/>
      <c r="D969" s="49"/>
      <c r="E969" s="279"/>
      <c r="F969" s="22"/>
      <c r="G969" s="22"/>
      <c r="H969" s="22"/>
      <c r="I969" s="262"/>
      <c r="J969" s="22"/>
      <c r="K969" s="22"/>
      <c r="L969" s="22"/>
      <c r="M969" s="22"/>
      <c r="N969" s="22"/>
      <c r="O969" s="22"/>
      <c r="P969" s="22" t="s">
        <v>212</v>
      </c>
      <c r="Q969" s="78"/>
      <c r="R969" s="22" t="s">
        <v>212</v>
      </c>
      <c r="S969" s="22"/>
      <c r="T969" s="78"/>
      <c r="U969" s="78"/>
      <c r="V969" s="22" t="s">
        <v>212</v>
      </c>
      <c r="W969" s="49"/>
      <c r="X969" s="42" t="s">
        <v>212</v>
      </c>
      <c r="AQ969" s="86" t="s">
        <v>212</v>
      </c>
      <c r="AR969" s="86"/>
      <c r="AS969" s="86" t="s">
        <v>212</v>
      </c>
    </row>
    <row r="970" spans="2:45" ht="18" customHeight="1" thickBot="1" x14ac:dyDescent="0.2">
      <c r="B970" s="42">
        <v>25</v>
      </c>
      <c r="C970" s="49"/>
      <c r="D970" s="52" t="s">
        <v>180</v>
      </c>
      <c r="E970" s="275" t="s">
        <v>220</v>
      </c>
      <c r="F970" s="390"/>
      <c r="G970" s="391"/>
      <c r="H970" s="392"/>
      <c r="I970" s="263"/>
      <c r="J970" s="20"/>
      <c r="K970" s="30"/>
      <c r="L970" s="20"/>
      <c r="M970" s="30"/>
      <c r="N970" s="20"/>
      <c r="O970" s="30"/>
      <c r="P970" s="283">
        <f>中間シート!D844</f>
        <v>0</v>
      </c>
      <c r="Q970" s="78"/>
      <c r="R970" s="283">
        <f>中間シート!G844</f>
        <v>0</v>
      </c>
      <c r="S970" s="78"/>
      <c r="T970" s="97" t="s">
        <v>95</v>
      </c>
      <c r="U970" s="78"/>
      <c r="V970" s="283">
        <f>中間シート!H844</f>
        <v>0</v>
      </c>
      <c r="W970" s="49"/>
      <c r="X970" s="42" t="str">
        <f>IF($B970&lt;=入力シート!$F$85,""&amp;中間シート!X740,"")</f>
        <v/>
      </c>
      <c r="AQ970" s="81">
        <f>中間シート!E740</f>
        <v>0</v>
      </c>
      <c r="AR970" s="86">
        <f>IF(F970="含まれている",1,IF(F970="含まれていない",2,0))</f>
        <v>0</v>
      </c>
      <c r="AS970" s="86" t="str">
        <f>中間シート!P586</f>
        <v/>
      </c>
    </row>
    <row r="971" spans="2:45" ht="5.0999999999999996" customHeight="1" thickBot="1" x14ac:dyDescent="0.2">
      <c r="C971" s="49"/>
      <c r="D971" s="49"/>
      <c r="E971" s="276"/>
      <c r="F971" s="22"/>
      <c r="G971" s="22"/>
      <c r="H971" s="22"/>
      <c r="I971" s="262"/>
      <c r="J971" s="31"/>
      <c r="K971" s="31"/>
      <c r="L971" s="31"/>
      <c r="M971" s="31"/>
      <c r="N971" s="31"/>
      <c r="O971" s="31"/>
      <c r="P971" s="78" t="s">
        <v>212</v>
      </c>
      <c r="Q971" s="22"/>
      <c r="R971" s="78" t="s">
        <v>212</v>
      </c>
      <c r="S971" s="78"/>
      <c r="T971" s="22"/>
      <c r="U971" s="78"/>
      <c r="V971" s="78" t="s">
        <v>212</v>
      </c>
      <c r="W971" s="49"/>
      <c r="X971" s="42" t="s">
        <v>212</v>
      </c>
      <c r="AQ971" s="86" t="s">
        <v>212</v>
      </c>
      <c r="AR971" s="86"/>
      <c r="AS971" s="86" t="s">
        <v>212</v>
      </c>
    </row>
    <row r="972" spans="2:45" ht="18" customHeight="1" thickBot="1" x14ac:dyDescent="0.2">
      <c r="B972" s="42">
        <v>25</v>
      </c>
      <c r="C972" s="49"/>
      <c r="D972" s="49"/>
      <c r="E972" s="275" t="s">
        <v>221</v>
      </c>
      <c r="F972" s="390"/>
      <c r="G972" s="391"/>
      <c r="H972" s="392"/>
      <c r="I972" s="263"/>
      <c r="J972" s="20"/>
      <c r="K972" s="30"/>
      <c r="L972" s="20"/>
      <c r="M972" s="30"/>
      <c r="N972" s="20"/>
      <c r="O972" s="30"/>
      <c r="P972" s="78" t="s">
        <v>212</v>
      </c>
      <c r="Q972" s="78"/>
      <c r="R972" s="78" t="s">
        <v>212</v>
      </c>
      <c r="S972" s="78"/>
      <c r="T972" s="22"/>
      <c r="U972" s="78"/>
      <c r="V972" s="78" t="s">
        <v>212</v>
      </c>
      <c r="W972" s="49"/>
      <c r="X972" s="42" t="str">
        <f>IF($B972&lt;=入力シート!$F$85,""&amp;中間シート!X741,"")</f>
        <v/>
      </c>
      <c r="AQ972" s="81">
        <f>中間シート!E741</f>
        <v>0</v>
      </c>
      <c r="AR972" s="86">
        <f>IF(F972="含まれている",1,IF(F972="含まれていない",2,0))</f>
        <v>0</v>
      </c>
      <c r="AS972" s="86" t="str">
        <f>中間シート!P587</f>
        <v/>
      </c>
    </row>
    <row r="973" spans="2:45" ht="5.0999999999999996" customHeight="1" thickBot="1" x14ac:dyDescent="0.2">
      <c r="C973" s="49"/>
      <c r="D973" s="49"/>
      <c r="E973" s="276"/>
      <c r="F973" s="22"/>
      <c r="G973" s="22"/>
      <c r="H973" s="22"/>
      <c r="I973" s="262"/>
      <c r="J973" s="31"/>
      <c r="K973" s="31"/>
      <c r="L973" s="31"/>
      <c r="M973" s="31"/>
      <c r="N973" s="31"/>
      <c r="O973" s="31"/>
      <c r="P973" s="78" t="s">
        <v>212</v>
      </c>
      <c r="Q973" s="22"/>
      <c r="R973" s="78" t="s">
        <v>212</v>
      </c>
      <c r="S973" s="78"/>
      <c r="T973" s="22"/>
      <c r="U973" s="78"/>
      <c r="V973" s="78" t="s">
        <v>212</v>
      </c>
      <c r="W973" s="49"/>
      <c r="X973" s="42" t="s">
        <v>212</v>
      </c>
      <c r="AQ973" s="21" t="s">
        <v>212</v>
      </c>
      <c r="AR973" s="86"/>
      <c r="AS973" s="86" t="s">
        <v>212</v>
      </c>
    </row>
    <row r="974" spans="2:45" ht="18" customHeight="1" thickBot="1" x14ac:dyDescent="0.2">
      <c r="B974" s="42">
        <v>25</v>
      </c>
      <c r="C974" s="49"/>
      <c r="D974" s="49"/>
      <c r="E974" s="275" t="s">
        <v>222</v>
      </c>
      <c r="F974" s="390"/>
      <c r="G974" s="391"/>
      <c r="H974" s="392"/>
      <c r="I974" s="263"/>
      <c r="J974" s="20"/>
      <c r="K974" s="30"/>
      <c r="L974" s="20"/>
      <c r="M974" s="30"/>
      <c r="N974" s="20"/>
      <c r="O974" s="30"/>
      <c r="P974" s="78" t="s">
        <v>212</v>
      </c>
      <c r="Q974" s="78"/>
      <c r="R974" s="78" t="s">
        <v>212</v>
      </c>
      <c r="S974" s="78"/>
      <c r="T974" s="22"/>
      <c r="U974" s="78"/>
      <c r="V974" s="78" t="s">
        <v>212</v>
      </c>
      <c r="W974" s="49"/>
      <c r="X974" s="42" t="str">
        <f>IF($B974&lt;=入力シート!$F$85,""&amp;中間シート!X742,"")</f>
        <v/>
      </c>
      <c r="AQ974" s="81">
        <f>中間シート!E742</f>
        <v>0</v>
      </c>
      <c r="AR974" s="86">
        <f>IF(F974="含まれている",1,IF(F974="含まれていない",2,0))</f>
        <v>0</v>
      </c>
      <c r="AS974" s="86" t="str">
        <f>中間シート!P588</f>
        <v/>
      </c>
    </row>
    <row r="975" spans="2:45" x14ac:dyDescent="0.15">
      <c r="C975" s="49"/>
      <c r="D975" s="49"/>
      <c r="E975" s="55"/>
      <c r="F975" s="31"/>
      <c r="G975" s="31"/>
      <c r="H975" s="31"/>
      <c r="I975" s="31"/>
      <c r="J975" s="31"/>
      <c r="K975" s="31"/>
      <c r="L975" s="31"/>
      <c r="M975" s="22"/>
      <c r="N975" s="78"/>
      <c r="O975" s="78"/>
      <c r="P975" s="31" t="s">
        <v>212</v>
      </c>
      <c r="Q975" s="78"/>
      <c r="R975" s="78" t="s">
        <v>212</v>
      </c>
      <c r="S975" s="78"/>
      <c r="T975" s="78"/>
      <c r="U975" s="78"/>
      <c r="V975" s="78" t="s">
        <v>212</v>
      </c>
      <c r="W975" s="49"/>
      <c r="X975" s="42" t="s">
        <v>212</v>
      </c>
      <c r="AQ975" s="86" t="s">
        <v>212</v>
      </c>
      <c r="AR975" s="86"/>
      <c r="AS975" s="86" t="s">
        <v>212</v>
      </c>
    </row>
    <row r="976" spans="2:45" ht="14.25" thickBot="1" x14ac:dyDescent="0.2">
      <c r="C976" s="89"/>
      <c r="D976" s="89"/>
      <c r="E976" s="280"/>
      <c r="F976" s="89"/>
      <c r="G976" s="89"/>
      <c r="H976" s="89"/>
      <c r="I976" s="265"/>
      <c r="J976" s="89"/>
      <c r="K976" s="89"/>
      <c r="L976" s="89"/>
      <c r="M976" s="89"/>
      <c r="N976" s="89"/>
      <c r="O976" s="89"/>
      <c r="P976" s="89" t="s">
        <v>212</v>
      </c>
      <c r="Q976" s="89"/>
      <c r="R976" s="89" t="s">
        <v>212</v>
      </c>
      <c r="S976" s="89"/>
      <c r="T976" s="89"/>
      <c r="U976" s="89"/>
      <c r="V976" s="89" t="s">
        <v>212</v>
      </c>
      <c r="W976" s="89"/>
      <c r="X976" s="42" t="s">
        <v>212</v>
      </c>
      <c r="AQ976" s="86" t="s">
        <v>212</v>
      </c>
      <c r="AR976" s="86"/>
      <c r="AS976" s="86" t="s">
        <v>212</v>
      </c>
    </row>
    <row r="977" spans="2:45" ht="18" customHeight="1" thickBot="1" x14ac:dyDescent="0.2">
      <c r="B977" s="42">
        <v>26</v>
      </c>
      <c r="C977" s="89"/>
      <c r="D977" s="91" t="s">
        <v>181</v>
      </c>
      <c r="E977" s="277" t="s">
        <v>220</v>
      </c>
      <c r="F977" s="390"/>
      <c r="G977" s="391"/>
      <c r="H977" s="392"/>
      <c r="I977" s="266"/>
      <c r="J977" s="20"/>
      <c r="K977" s="98"/>
      <c r="L977" s="20"/>
      <c r="M977" s="98"/>
      <c r="N977" s="20"/>
      <c r="O977" s="98"/>
      <c r="P977" s="283">
        <f>中間シート!D845</f>
        <v>0</v>
      </c>
      <c r="Q977" s="75"/>
      <c r="R977" s="283">
        <f>中間シート!G845</f>
        <v>0</v>
      </c>
      <c r="S977" s="75"/>
      <c r="T977" s="99" t="s">
        <v>95</v>
      </c>
      <c r="U977" s="75"/>
      <c r="V977" s="283">
        <f>中間シート!H845</f>
        <v>0</v>
      </c>
      <c r="W977" s="89"/>
      <c r="X977" s="42" t="str">
        <f>IF($B977&lt;=入力シート!$F$85,""&amp;中間シート!X743,"")</f>
        <v/>
      </c>
      <c r="AQ977" s="81">
        <f>中間シート!E743</f>
        <v>0</v>
      </c>
      <c r="AR977" s="86">
        <f>IF(F977="含まれている",1,IF(F977="含まれていない",2,0))</f>
        <v>0</v>
      </c>
      <c r="AS977" s="86" t="str">
        <f>中間シート!P589</f>
        <v/>
      </c>
    </row>
    <row r="978" spans="2:45" ht="5.0999999999999996" customHeight="1" thickBot="1" x14ac:dyDescent="0.2">
      <c r="C978" s="89"/>
      <c r="D978" s="89"/>
      <c r="E978" s="278"/>
      <c r="F978" s="100"/>
      <c r="G978" s="100"/>
      <c r="H978" s="100"/>
      <c r="I978" s="267"/>
      <c r="J978" s="101"/>
      <c r="K978" s="101"/>
      <c r="L978" s="101"/>
      <c r="M978" s="101"/>
      <c r="N978" s="101"/>
      <c r="O978" s="101"/>
      <c r="P978" s="75" t="s">
        <v>212</v>
      </c>
      <c r="Q978" s="100"/>
      <c r="R978" s="75" t="s">
        <v>212</v>
      </c>
      <c r="S978" s="75"/>
      <c r="T978" s="100"/>
      <c r="U978" s="75"/>
      <c r="V978" s="75" t="s">
        <v>212</v>
      </c>
      <c r="W978" s="89"/>
      <c r="X978" s="42" t="s">
        <v>212</v>
      </c>
      <c r="AQ978" s="86" t="s">
        <v>212</v>
      </c>
      <c r="AR978" s="86"/>
      <c r="AS978" s="86" t="s">
        <v>212</v>
      </c>
    </row>
    <row r="979" spans="2:45" ht="18" customHeight="1" thickBot="1" x14ac:dyDescent="0.2">
      <c r="B979" s="42">
        <v>26</v>
      </c>
      <c r="C979" s="89"/>
      <c r="D979" s="89"/>
      <c r="E979" s="277" t="s">
        <v>221</v>
      </c>
      <c r="F979" s="390"/>
      <c r="G979" s="391"/>
      <c r="H979" s="392"/>
      <c r="I979" s="266"/>
      <c r="J979" s="20"/>
      <c r="K979" s="98"/>
      <c r="L979" s="20"/>
      <c r="M979" s="98"/>
      <c r="N979" s="20"/>
      <c r="O979" s="98"/>
      <c r="P979" s="75" t="s">
        <v>212</v>
      </c>
      <c r="Q979" s="75"/>
      <c r="R979" s="75" t="s">
        <v>212</v>
      </c>
      <c r="S979" s="75"/>
      <c r="T979" s="100"/>
      <c r="U979" s="75"/>
      <c r="V979" s="75" t="s">
        <v>212</v>
      </c>
      <c r="W979" s="89"/>
      <c r="X979" s="42" t="str">
        <f>IF($B979&lt;=入力シート!$F$85,""&amp;中間シート!X744,"")</f>
        <v/>
      </c>
      <c r="AQ979" s="81">
        <f>中間シート!E744</f>
        <v>0</v>
      </c>
      <c r="AR979" s="86">
        <f>IF(F979="含まれている",1,IF(F979="含まれていない",2,0))</f>
        <v>0</v>
      </c>
      <c r="AS979" s="86" t="str">
        <f>中間シート!P590</f>
        <v/>
      </c>
    </row>
    <row r="980" spans="2:45" ht="5.0999999999999996" customHeight="1" thickBot="1" x14ac:dyDescent="0.2">
      <c r="C980" s="89"/>
      <c r="D980" s="89"/>
      <c r="E980" s="278"/>
      <c r="F980" s="100"/>
      <c r="G980" s="100"/>
      <c r="H980" s="100"/>
      <c r="I980" s="267"/>
      <c r="J980" s="101"/>
      <c r="K980" s="101"/>
      <c r="L980" s="101"/>
      <c r="M980" s="101"/>
      <c r="N980" s="101"/>
      <c r="O980" s="101"/>
      <c r="P980" s="75" t="s">
        <v>212</v>
      </c>
      <c r="Q980" s="100"/>
      <c r="R980" s="75" t="s">
        <v>212</v>
      </c>
      <c r="S980" s="75"/>
      <c r="T980" s="100"/>
      <c r="U980" s="75"/>
      <c r="V980" s="75" t="s">
        <v>212</v>
      </c>
      <c r="W980" s="89"/>
      <c r="X980" s="42" t="s">
        <v>212</v>
      </c>
      <c r="AQ980" s="21" t="s">
        <v>212</v>
      </c>
      <c r="AR980" s="86"/>
      <c r="AS980" s="86" t="s">
        <v>212</v>
      </c>
    </row>
    <row r="981" spans="2:45" ht="18" customHeight="1" thickBot="1" x14ac:dyDescent="0.2">
      <c r="B981" s="42">
        <v>26</v>
      </c>
      <c r="C981" s="89"/>
      <c r="D981" s="89"/>
      <c r="E981" s="277" t="s">
        <v>222</v>
      </c>
      <c r="F981" s="390"/>
      <c r="G981" s="391"/>
      <c r="H981" s="392"/>
      <c r="I981" s="266"/>
      <c r="J981" s="20"/>
      <c r="K981" s="98"/>
      <c r="L981" s="20"/>
      <c r="M981" s="98"/>
      <c r="N981" s="20"/>
      <c r="O981" s="98"/>
      <c r="P981" s="75" t="s">
        <v>212</v>
      </c>
      <c r="Q981" s="75"/>
      <c r="R981" s="75" t="s">
        <v>212</v>
      </c>
      <c r="S981" s="75"/>
      <c r="T981" s="100"/>
      <c r="U981" s="75"/>
      <c r="V981" s="75" t="s">
        <v>212</v>
      </c>
      <c r="W981" s="89"/>
      <c r="X981" s="42" t="str">
        <f>IF($B981&lt;=入力シート!$F$85,""&amp;中間シート!X745,"")</f>
        <v/>
      </c>
      <c r="AQ981" s="81">
        <f>中間シート!E745</f>
        <v>0</v>
      </c>
      <c r="AR981" s="86">
        <f>IF(F981="含まれている",1,IF(F981="含まれていない",2,0))</f>
        <v>0</v>
      </c>
      <c r="AS981" s="86" t="str">
        <f>中間シート!P591</f>
        <v/>
      </c>
    </row>
    <row r="982" spans="2:45" x14ac:dyDescent="0.15">
      <c r="C982" s="89"/>
      <c r="D982" s="89"/>
      <c r="E982" s="280"/>
      <c r="F982" s="101"/>
      <c r="G982" s="101"/>
      <c r="H982" s="101"/>
      <c r="I982" s="101"/>
      <c r="J982" s="101"/>
      <c r="K982" s="101"/>
      <c r="L982" s="101"/>
      <c r="M982" s="100"/>
      <c r="N982" s="75"/>
      <c r="O982" s="75"/>
      <c r="P982" s="101" t="s">
        <v>212</v>
      </c>
      <c r="Q982" s="75"/>
      <c r="R982" s="75" t="s">
        <v>212</v>
      </c>
      <c r="S982" s="75"/>
      <c r="T982" s="75"/>
      <c r="U982" s="75"/>
      <c r="V982" s="75" t="s">
        <v>212</v>
      </c>
      <c r="W982" s="89"/>
      <c r="X982" s="42" t="s">
        <v>212</v>
      </c>
      <c r="AQ982" s="86" t="s">
        <v>212</v>
      </c>
      <c r="AR982" s="86"/>
      <c r="AS982" s="86" t="s">
        <v>212</v>
      </c>
    </row>
    <row r="983" spans="2:45" ht="14.25" thickBot="1" x14ac:dyDescent="0.2">
      <c r="C983" s="49"/>
      <c r="D983" s="49"/>
      <c r="E983" s="279"/>
      <c r="F983" s="22"/>
      <c r="G983" s="22"/>
      <c r="H983" s="22"/>
      <c r="I983" s="262"/>
      <c r="J983" s="22"/>
      <c r="K983" s="22"/>
      <c r="L983" s="22"/>
      <c r="M983" s="22"/>
      <c r="N983" s="22"/>
      <c r="O983" s="22"/>
      <c r="P983" s="22" t="s">
        <v>212</v>
      </c>
      <c r="Q983" s="78"/>
      <c r="R983" s="22" t="s">
        <v>212</v>
      </c>
      <c r="S983" s="22"/>
      <c r="T983" s="78"/>
      <c r="U983" s="78"/>
      <c r="V983" s="22" t="s">
        <v>212</v>
      </c>
      <c r="W983" s="49"/>
      <c r="X983" s="42" t="s">
        <v>212</v>
      </c>
      <c r="AQ983" s="86" t="s">
        <v>212</v>
      </c>
      <c r="AR983" s="86"/>
      <c r="AS983" s="86" t="s">
        <v>212</v>
      </c>
    </row>
    <row r="984" spans="2:45" ht="18" customHeight="1" thickBot="1" x14ac:dyDescent="0.2">
      <c r="B984" s="42">
        <v>27</v>
      </c>
      <c r="C984" s="49"/>
      <c r="D984" s="52" t="s">
        <v>182</v>
      </c>
      <c r="E984" s="275" t="s">
        <v>220</v>
      </c>
      <c r="F984" s="390"/>
      <c r="G984" s="391"/>
      <c r="H984" s="392"/>
      <c r="I984" s="263"/>
      <c r="J984" s="20"/>
      <c r="K984" s="30"/>
      <c r="L984" s="20"/>
      <c r="M984" s="30"/>
      <c r="N984" s="20"/>
      <c r="O984" s="30"/>
      <c r="P984" s="283">
        <f>中間シート!D846</f>
        <v>0</v>
      </c>
      <c r="Q984" s="78"/>
      <c r="R984" s="283">
        <f>中間シート!G846</f>
        <v>0</v>
      </c>
      <c r="S984" s="78"/>
      <c r="T984" s="97" t="s">
        <v>95</v>
      </c>
      <c r="U984" s="78"/>
      <c r="V984" s="283">
        <f>中間シート!H846</f>
        <v>0</v>
      </c>
      <c r="W984" s="49"/>
      <c r="X984" s="42" t="str">
        <f>IF($B984&lt;=入力シート!$F$85,""&amp;中間シート!X746,"")</f>
        <v/>
      </c>
      <c r="AQ984" s="81">
        <f>中間シート!E746</f>
        <v>0</v>
      </c>
      <c r="AR984" s="86">
        <f>IF(F984="含まれている",1,IF(F984="含まれていない",2,0))</f>
        <v>0</v>
      </c>
      <c r="AS984" s="86" t="str">
        <f>中間シート!P592</f>
        <v/>
      </c>
    </row>
    <row r="985" spans="2:45" ht="5.0999999999999996" customHeight="1" thickBot="1" x14ac:dyDescent="0.2">
      <c r="C985" s="49"/>
      <c r="D985" s="49"/>
      <c r="E985" s="276"/>
      <c r="F985" s="22"/>
      <c r="G985" s="22"/>
      <c r="H985" s="22"/>
      <c r="I985" s="262"/>
      <c r="J985" s="31"/>
      <c r="K985" s="31"/>
      <c r="L985" s="31"/>
      <c r="M985" s="31"/>
      <c r="N985" s="31"/>
      <c r="O985" s="31"/>
      <c r="P985" s="78" t="s">
        <v>212</v>
      </c>
      <c r="Q985" s="22"/>
      <c r="R985" s="78" t="s">
        <v>212</v>
      </c>
      <c r="S985" s="78"/>
      <c r="T985" s="22"/>
      <c r="U985" s="78"/>
      <c r="V985" s="78" t="s">
        <v>212</v>
      </c>
      <c r="W985" s="49"/>
      <c r="X985" s="42" t="s">
        <v>212</v>
      </c>
      <c r="AQ985" s="86" t="s">
        <v>212</v>
      </c>
      <c r="AR985" s="86"/>
      <c r="AS985" s="86" t="s">
        <v>212</v>
      </c>
    </row>
    <row r="986" spans="2:45" ht="18" customHeight="1" thickBot="1" x14ac:dyDescent="0.2">
      <c r="B986" s="42">
        <v>27</v>
      </c>
      <c r="C986" s="49"/>
      <c r="D986" s="49"/>
      <c r="E986" s="275" t="s">
        <v>221</v>
      </c>
      <c r="F986" s="390"/>
      <c r="G986" s="391"/>
      <c r="H986" s="392"/>
      <c r="I986" s="263"/>
      <c r="J986" s="20"/>
      <c r="K986" s="30"/>
      <c r="L986" s="20"/>
      <c r="M986" s="30"/>
      <c r="N986" s="20"/>
      <c r="O986" s="30"/>
      <c r="P986" s="78" t="s">
        <v>212</v>
      </c>
      <c r="Q986" s="78"/>
      <c r="R986" s="78" t="s">
        <v>212</v>
      </c>
      <c r="S986" s="78"/>
      <c r="T986" s="22"/>
      <c r="U986" s="78"/>
      <c r="V986" s="78" t="s">
        <v>212</v>
      </c>
      <c r="W986" s="49"/>
      <c r="X986" s="42" t="str">
        <f>IF($B986&lt;=入力シート!$F$85,""&amp;中間シート!X747,"")</f>
        <v/>
      </c>
      <c r="AQ986" s="81">
        <f>中間シート!E747</f>
        <v>0</v>
      </c>
      <c r="AR986" s="86">
        <f>IF(F986="含まれている",1,IF(F986="含まれていない",2,0))</f>
        <v>0</v>
      </c>
      <c r="AS986" s="86" t="str">
        <f>中間シート!P593</f>
        <v/>
      </c>
    </row>
    <row r="987" spans="2:45" ht="5.0999999999999996" customHeight="1" thickBot="1" x14ac:dyDescent="0.2">
      <c r="C987" s="49"/>
      <c r="D987" s="49"/>
      <c r="E987" s="276"/>
      <c r="F987" s="22"/>
      <c r="G987" s="22"/>
      <c r="H987" s="22"/>
      <c r="I987" s="262"/>
      <c r="J987" s="31"/>
      <c r="K987" s="31"/>
      <c r="L987" s="31"/>
      <c r="M987" s="31"/>
      <c r="N987" s="31"/>
      <c r="O987" s="31"/>
      <c r="P987" s="78" t="s">
        <v>212</v>
      </c>
      <c r="Q987" s="22"/>
      <c r="R987" s="78" t="s">
        <v>212</v>
      </c>
      <c r="S987" s="78"/>
      <c r="T987" s="22"/>
      <c r="U987" s="78"/>
      <c r="V987" s="78" t="s">
        <v>212</v>
      </c>
      <c r="W987" s="49"/>
      <c r="X987" s="42" t="s">
        <v>212</v>
      </c>
      <c r="AQ987" s="21" t="s">
        <v>212</v>
      </c>
      <c r="AR987" s="86"/>
      <c r="AS987" s="86" t="s">
        <v>212</v>
      </c>
    </row>
    <row r="988" spans="2:45" ht="18" customHeight="1" thickBot="1" x14ac:dyDescent="0.2">
      <c r="B988" s="42">
        <v>27</v>
      </c>
      <c r="C988" s="49"/>
      <c r="D988" s="49"/>
      <c r="E988" s="275" t="s">
        <v>222</v>
      </c>
      <c r="F988" s="390"/>
      <c r="G988" s="391"/>
      <c r="H988" s="392"/>
      <c r="I988" s="263"/>
      <c r="J988" s="20"/>
      <c r="K988" s="30"/>
      <c r="L988" s="20"/>
      <c r="M988" s="30"/>
      <c r="N988" s="20"/>
      <c r="O988" s="30"/>
      <c r="P988" s="78" t="s">
        <v>212</v>
      </c>
      <c r="Q988" s="78"/>
      <c r="R988" s="78" t="s">
        <v>212</v>
      </c>
      <c r="S988" s="78"/>
      <c r="T988" s="22"/>
      <c r="U988" s="78"/>
      <c r="V988" s="78" t="s">
        <v>212</v>
      </c>
      <c r="W988" s="49"/>
      <c r="X988" s="42" t="str">
        <f>IF($B988&lt;=入力シート!$F$85,""&amp;中間シート!X748,"")</f>
        <v/>
      </c>
      <c r="AQ988" s="81">
        <f>中間シート!E748</f>
        <v>0</v>
      </c>
      <c r="AR988" s="86">
        <f>IF(F988="含まれている",1,IF(F988="含まれていない",2,0))</f>
        <v>0</v>
      </c>
      <c r="AS988" s="86" t="str">
        <f>中間シート!P594</f>
        <v/>
      </c>
    </row>
    <row r="989" spans="2:45" x14ac:dyDescent="0.15">
      <c r="C989" s="49"/>
      <c r="D989" s="49"/>
      <c r="E989" s="55"/>
      <c r="F989" s="31"/>
      <c r="G989" s="31"/>
      <c r="H989" s="31"/>
      <c r="I989" s="31"/>
      <c r="J989" s="31"/>
      <c r="K989" s="31"/>
      <c r="L989" s="31"/>
      <c r="M989" s="22"/>
      <c r="N989" s="78"/>
      <c r="O989" s="78"/>
      <c r="P989" s="31" t="s">
        <v>212</v>
      </c>
      <c r="Q989" s="78"/>
      <c r="R989" s="78" t="s">
        <v>212</v>
      </c>
      <c r="S989" s="78"/>
      <c r="T989" s="78"/>
      <c r="U989" s="78"/>
      <c r="V989" s="78" t="s">
        <v>212</v>
      </c>
      <c r="W989" s="49"/>
      <c r="X989" s="42" t="s">
        <v>212</v>
      </c>
      <c r="AQ989" s="86" t="s">
        <v>212</v>
      </c>
      <c r="AR989" s="86"/>
      <c r="AS989" s="86" t="s">
        <v>212</v>
      </c>
    </row>
    <row r="990" spans="2:45" ht="14.25" thickBot="1" x14ac:dyDescent="0.2">
      <c r="C990" s="89"/>
      <c r="D990" s="89"/>
      <c r="E990" s="280"/>
      <c r="F990" s="89"/>
      <c r="G990" s="89"/>
      <c r="H990" s="89"/>
      <c r="I990" s="265"/>
      <c r="J990" s="89"/>
      <c r="K990" s="89"/>
      <c r="L990" s="89"/>
      <c r="M990" s="89"/>
      <c r="N990" s="89"/>
      <c r="O990" s="89"/>
      <c r="P990" s="89" t="s">
        <v>212</v>
      </c>
      <c r="Q990" s="89"/>
      <c r="R990" s="89" t="s">
        <v>212</v>
      </c>
      <c r="S990" s="89"/>
      <c r="T990" s="89"/>
      <c r="U990" s="89"/>
      <c r="V990" s="89" t="s">
        <v>212</v>
      </c>
      <c r="W990" s="89"/>
      <c r="X990" s="42" t="s">
        <v>212</v>
      </c>
      <c r="AQ990" s="86" t="s">
        <v>212</v>
      </c>
      <c r="AR990" s="86"/>
      <c r="AS990" s="86" t="s">
        <v>212</v>
      </c>
    </row>
    <row r="991" spans="2:45" ht="18" customHeight="1" thickBot="1" x14ac:dyDescent="0.2">
      <c r="B991" s="42">
        <v>28</v>
      </c>
      <c r="C991" s="89"/>
      <c r="D991" s="91" t="s">
        <v>183</v>
      </c>
      <c r="E991" s="277" t="s">
        <v>220</v>
      </c>
      <c r="F991" s="390"/>
      <c r="G991" s="391"/>
      <c r="H991" s="392"/>
      <c r="I991" s="266"/>
      <c r="J991" s="20"/>
      <c r="K991" s="98"/>
      <c r="L991" s="20"/>
      <c r="M991" s="98"/>
      <c r="N991" s="20"/>
      <c r="O991" s="98"/>
      <c r="P991" s="283">
        <f>中間シート!D847</f>
        <v>0</v>
      </c>
      <c r="Q991" s="75"/>
      <c r="R991" s="283">
        <f>中間シート!G847</f>
        <v>0</v>
      </c>
      <c r="S991" s="75"/>
      <c r="T991" s="99" t="s">
        <v>95</v>
      </c>
      <c r="U991" s="75"/>
      <c r="V991" s="283">
        <f>中間シート!H847</f>
        <v>0</v>
      </c>
      <c r="W991" s="89"/>
      <c r="X991" s="42" t="str">
        <f>IF($B991&lt;=入力シート!$F$85,""&amp;中間シート!X749,"")</f>
        <v/>
      </c>
      <c r="AQ991" s="81">
        <f>中間シート!E749</f>
        <v>0</v>
      </c>
      <c r="AR991" s="86">
        <f>IF(F991="含まれている",1,IF(F991="含まれていない",2,0))</f>
        <v>0</v>
      </c>
      <c r="AS991" s="86" t="str">
        <f>中間シート!P595</f>
        <v/>
      </c>
    </row>
    <row r="992" spans="2:45" ht="5.0999999999999996" customHeight="1" thickBot="1" x14ac:dyDescent="0.2">
      <c r="C992" s="89"/>
      <c r="D992" s="89"/>
      <c r="E992" s="278"/>
      <c r="F992" s="100"/>
      <c r="G992" s="100"/>
      <c r="H992" s="100"/>
      <c r="I992" s="267"/>
      <c r="J992" s="101"/>
      <c r="K992" s="101"/>
      <c r="L992" s="101"/>
      <c r="M992" s="101"/>
      <c r="N992" s="101"/>
      <c r="O992" s="101"/>
      <c r="P992" s="75" t="s">
        <v>212</v>
      </c>
      <c r="Q992" s="100"/>
      <c r="R992" s="75" t="s">
        <v>212</v>
      </c>
      <c r="S992" s="75"/>
      <c r="T992" s="100"/>
      <c r="U992" s="75"/>
      <c r="V992" s="75" t="s">
        <v>212</v>
      </c>
      <c r="W992" s="89"/>
      <c r="X992" s="42" t="s">
        <v>212</v>
      </c>
      <c r="AQ992" s="86" t="s">
        <v>212</v>
      </c>
      <c r="AR992" s="86"/>
      <c r="AS992" s="86" t="s">
        <v>212</v>
      </c>
    </row>
    <row r="993" spans="2:45" ht="18" customHeight="1" thickBot="1" x14ac:dyDescent="0.2">
      <c r="B993" s="42">
        <v>28</v>
      </c>
      <c r="C993" s="89"/>
      <c r="D993" s="89"/>
      <c r="E993" s="277" t="s">
        <v>221</v>
      </c>
      <c r="F993" s="390"/>
      <c r="G993" s="391"/>
      <c r="H993" s="392"/>
      <c r="I993" s="266"/>
      <c r="J993" s="20"/>
      <c r="K993" s="98"/>
      <c r="L993" s="20"/>
      <c r="M993" s="98"/>
      <c r="N993" s="20"/>
      <c r="O993" s="98"/>
      <c r="P993" s="75" t="s">
        <v>212</v>
      </c>
      <c r="Q993" s="75"/>
      <c r="R993" s="75" t="s">
        <v>212</v>
      </c>
      <c r="S993" s="75"/>
      <c r="T993" s="100"/>
      <c r="U993" s="75"/>
      <c r="V993" s="75" t="s">
        <v>212</v>
      </c>
      <c r="W993" s="89"/>
      <c r="X993" s="42" t="str">
        <f>IF($B993&lt;=入力シート!$F$85,""&amp;中間シート!X750,"")</f>
        <v/>
      </c>
      <c r="AQ993" s="81">
        <f>中間シート!E750</f>
        <v>0</v>
      </c>
      <c r="AR993" s="86">
        <f>IF(F993="含まれている",1,IF(F993="含まれていない",2,0))</f>
        <v>0</v>
      </c>
      <c r="AS993" s="86" t="str">
        <f>中間シート!P596</f>
        <v/>
      </c>
    </row>
    <row r="994" spans="2:45" ht="5.0999999999999996" customHeight="1" thickBot="1" x14ac:dyDescent="0.2">
      <c r="C994" s="89"/>
      <c r="D994" s="89"/>
      <c r="E994" s="278"/>
      <c r="F994" s="100"/>
      <c r="G994" s="100"/>
      <c r="H994" s="100"/>
      <c r="I994" s="267"/>
      <c r="J994" s="101"/>
      <c r="K994" s="101"/>
      <c r="L994" s="101"/>
      <c r="M994" s="101"/>
      <c r="N994" s="101"/>
      <c r="O994" s="101"/>
      <c r="P994" s="75" t="s">
        <v>212</v>
      </c>
      <c r="Q994" s="100"/>
      <c r="R994" s="75" t="s">
        <v>212</v>
      </c>
      <c r="S994" s="75"/>
      <c r="T994" s="100"/>
      <c r="U994" s="75"/>
      <c r="V994" s="75" t="s">
        <v>212</v>
      </c>
      <c r="W994" s="89"/>
      <c r="X994" s="42" t="s">
        <v>212</v>
      </c>
      <c r="AQ994" s="21" t="s">
        <v>212</v>
      </c>
      <c r="AR994" s="86"/>
      <c r="AS994" s="86" t="s">
        <v>212</v>
      </c>
    </row>
    <row r="995" spans="2:45" ht="18" customHeight="1" thickBot="1" x14ac:dyDescent="0.2">
      <c r="B995" s="42">
        <v>28</v>
      </c>
      <c r="C995" s="89"/>
      <c r="D995" s="89"/>
      <c r="E995" s="277" t="s">
        <v>222</v>
      </c>
      <c r="F995" s="390"/>
      <c r="G995" s="391"/>
      <c r="H995" s="392"/>
      <c r="I995" s="266"/>
      <c r="J995" s="20"/>
      <c r="K995" s="98"/>
      <c r="L995" s="20"/>
      <c r="M995" s="98"/>
      <c r="N995" s="20"/>
      <c r="O995" s="98"/>
      <c r="P995" s="75" t="s">
        <v>212</v>
      </c>
      <c r="Q995" s="75"/>
      <c r="R995" s="75" t="s">
        <v>212</v>
      </c>
      <c r="S995" s="75"/>
      <c r="T995" s="100"/>
      <c r="U995" s="75"/>
      <c r="V995" s="75" t="s">
        <v>212</v>
      </c>
      <c r="W995" s="89"/>
      <c r="X995" s="42" t="str">
        <f>IF($B995&lt;=入力シート!$F$85,""&amp;中間シート!X751,"")</f>
        <v/>
      </c>
      <c r="AQ995" s="81">
        <f>中間シート!E751</f>
        <v>0</v>
      </c>
      <c r="AR995" s="86">
        <f>IF(F995="含まれている",1,IF(F995="含まれていない",2,0))</f>
        <v>0</v>
      </c>
      <c r="AS995" s="86" t="str">
        <f>中間シート!P597</f>
        <v/>
      </c>
    </row>
    <row r="996" spans="2:45" x14ac:dyDescent="0.15">
      <c r="C996" s="89"/>
      <c r="D996" s="89"/>
      <c r="E996" s="280"/>
      <c r="F996" s="101"/>
      <c r="G996" s="101"/>
      <c r="H996" s="101"/>
      <c r="I996" s="101"/>
      <c r="J996" s="101"/>
      <c r="K996" s="101"/>
      <c r="L996" s="101"/>
      <c r="M996" s="100"/>
      <c r="N996" s="75"/>
      <c r="O996" s="75"/>
      <c r="P996" s="101" t="s">
        <v>212</v>
      </c>
      <c r="Q996" s="75"/>
      <c r="R996" s="75" t="s">
        <v>212</v>
      </c>
      <c r="S996" s="75"/>
      <c r="T996" s="75"/>
      <c r="U996" s="75"/>
      <c r="V996" s="75" t="s">
        <v>212</v>
      </c>
      <c r="W996" s="89"/>
      <c r="X996" s="42" t="s">
        <v>212</v>
      </c>
      <c r="AQ996" s="86" t="s">
        <v>212</v>
      </c>
      <c r="AR996" s="86"/>
      <c r="AS996" s="86" t="s">
        <v>212</v>
      </c>
    </row>
    <row r="997" spans="2:45" ht="14.25" thickBot="1" x14ac:dyDescent="0.2">
      <c r="C997" s="49"/>
      <c r="D997" s="49"/>
      <c r="E997" s="279"/>
      <c r="F997" s="22"/>
      <c r="G997" s="22"/>
      <c r="H997" s="22"/>
      <c r="I997" s="262"/>
      <c r="J997" s="22"/>
      <c r="K997" s="22"/>
      <c r="L997" s="22"/>
      <c r="M997" s="22"/>
      <c r="N997" s="22"/>
      <c r="O997" s="22"/>
      <c r="P997" s="22" t="s">
        <v>212</v>
      </c>
      <c r="Q997" s="78"/>
      <c r="R997" s="22" t="s">
        <v>212</v>
      </c>
      <c r="S997" s="22"/>
      <c r="T997" s="78"/>
      <c r="U997" s="78"/>
      <c r="V997" s="22" t="s">
        <v>212</v>
      </c>
      <c r="W997" s="49"/>
      <c r="X997" s="42" t="s">
        <v>212</v>
      </c>
      <c r="AQ997" s="86" t="s">
        <v>212</v>
      </c>
      <c r="AR997" s="86"/>
      <c r="AS997" s="86" t="s">
        <v>212</v>
      </c>
    </row>
    <row r="998" spans="2:45" ht="18" customHeight="1" thickBot="1" x14ac:dyDescent="0.2">
      <c r="B998" s="42">
        <v>29</v>
      </c>
      <c r="C998" s="49"/>
      <c r="D998" s="52" t="s">
        <v>184</v>
      </c>
      <c r="E998" s="275" t="s">
        <v>220</v>
      </c>
      <c r="F998" s="390"/>
      <c r="G998" s="391"/>
      <c r="H998" s="392"/>
      <c r="I998" s="263"/>
      <c r="J998" s="20"/>
      <c r="K998" s="30"/>
      <c r="L998" s="20"/>
      <c r="M998" s="30"/>
      <c r="N998" s="20"/>
      <c r="O998" s="30"/>
      <c r="P998" s="283">
        <f>中間シート!D848</f>
        <v>0</v>
      </c>
      <c r="Q998" s="78"/>
      <c r="R998" s="283">
        <f>中間シート!G848</f>
        <v>0</v>
      </c>
      <c r="S998" s="78"/>
      <c r="T998" s="97" t="s">
        <v>95</v>
      </c>
      <c r="U998" s="78"/>
      <c r="V998" s="283">
        <f>中間シート!H848</f>
        <v>0</v>
      </c>
      <c r="W998" s="49"/>
      <c r="X998" s="42" t="str">
        <f>IF($B998&lt;=入力シート!$F$85,""&amp;中間シート!X752,"")</f>
        <v/>
      </c>
      <c r="AQ998" s="81">
        <f>中間シート!E752</f>
        <v>0</v>
      </c>
      <c r="AR998" s="86">
        <f>IF(F998="含まれている",1,IF(F998="含まれていない",2,0))</f>
        <v>0</v>
      </c>
      <c r="AS998" s="86" t="str">
        <f>中間シート!P598</f>
        <v/>
      </c>
    </row>
    <row r="999" spans="2:45" ht="5.0999999999999996" customHeight="1" thickBot="1" x14ac:dyDescent="0.2">
      <c r="C999" s="49"/>
      <c r="D999" s="49"/>
      <c r="E999" s="276"/>
      <c r="F999" s="22"/>
      <c r="G999" s="22"/>
      <c r="H999" s="22"/>
      <c r="I999" s="262"/>
      <c r="J999" s="31"/>
      <c r="K999" s="31"/>
      <c r="L999" s="31"/>
      <c r="M999" s="31"/>
      <c r="N999" s="31"/>
      <c r="O999" s="31"/>
      <c r="P999" s="78" t="s">
        <v>212</v>
      </c>
      <c r="Q999" s="22"/>
      <c r="R999" s="78" t="s">
        <v>212</v>
      </c>
      <c r="S999" s="78"/>
      <c r="T999" s="22"/>
      <c r="U999" s="78"/>
      <c r="V999" s="78" t="s">
        <v>212</v>
      </c>
      <c r="W999" s="49"/>
      <c r="X999" s="42" t="s">
        <v>212</v>
      </c>
      <c r="AQ999" s="86" t="s">
        <v>212</v>
      </c>
      <c r="AR999" s="86"/>
      <c r="AS999" s="86" t="s">
        <v>212</v>
      </c>
    </row>
    <row r="1000" spans="2:45" ht="18" customHeight="1" thickBot="1" x14ac:dyDescent="0.2">
      <c r="B1000" s="42">
        <v>29</v>
      </c>
      <c r="C1000" s="49"/>
      <c r="D1000" s="49"/>
      <c r="E1000" s="275" t="s">
        <v>221</v>
      </c>
      <c r="F1000" s="390"/>
      <c r="G1000" s="391"/>
      <c r="H1000" s="392"/>
      <c r="I1000" s="263"/>
      <c r="J1000" s="20"/>
      <c r="K1000" s="30"/>
      <c r="L1000" s="20"/>
      <c r="M1000" s="30"/>
      <c r="N1000" s="20"/>
      <c r="O1000" s="30"/>
      <c r="P1000" s="78" t="s">
        <v>212</v>
      </c>
      <c r="Q1000" s="78"/>
      <c r="R1000" s="78" t="s">
        <v>212</v>
      </c>
      <c r="S1000" s="78"/>
      <c r="T1000" s="22"/>
      <c r="U1000" s="78"/>
      <c r="V1000" s="78" t="s">
        <v>212</v>
      </c>
      <c r="W1000" s="49"/>
      <c r="X1000" s="42" t="str">
        <f>IF($B1000&lt;=入力シート!$F$85,""&amp;中間シート!X753,"")</f>
        <v/>
      </c>
      <c r="AQ1000" s="81">
        <f>中間シート!E753</f>
        <v>0</v>
      </c>
      <c r="AR1000" s="86">
        <f>IF(F1000="含まれている",1,IF(F1000="含まれていない",2,0))</f>
        <v>0</v>
      </c>
      <c r="AS1000" s="86" t="str">
        <f>中間シート!P599</f>
        <v/>
      </c>
    </row>
    <row r="1001" spans="2:45" ht="5.0999999999999996" customHeight="1" thickBot="1" x14ac:dyDescent="0.2">
      <c r="C1001" s="49"/>
      <c r="D1001" s="49"/>
      <c r="E1001" s="276"/>
      <c r="F1001" s="22"/>
      <c r="G1001" s="22"/>
      <c r="H1001" s="22"/>
      <c r="I1001" s="262"/>
      <c r="J1001" s="31"/>
      <c r="K1001" s="31"/>
      <c r="L1001" s="31"/>
      <c r="M1001" s="31"/>
      <c r="N1001" s="31"/>
      <c r="O1001" s="31"/>
      <c r="P1001" s="78" t="s">
        <v>212</v>
      </c>
      <c r="Q1001" s="22"/>
      <c r="R1001" s="78" t="s">
        <v>212</v>
      </c>
      <c r="S1001" s="78"/>
      <c r="T1001" s="22"/>
      <c r="U1001" s="78"/>
      <c r="V1001" s="78" t="s">
        <v>212</v>
      </c>
      <c r="W1001" s="49"/>
      <c r="X1001" s="42" t="s">
        <v>212</v>
      </c>
      <c r="AQ1001" s="21" t="s">
        <v>212</v>
      </c>
      <c r="AR1001" s="86"/>
      <c r="AS1001" s="86" t="s">
        <v>212</v>
      </c>
    </row>
    <row r="1002" spans="2:45" ht="18" customHeight="1" thickBot="1" x14ac:dyDescent="0.2">
      <c r="B1002" s="42">
        <v>29</v>
      </c>
      <c r="C1002" s="49"/>
      <c r="D1002" s="49"/>
      <c r="E1002" s="275" t="s">
        <v>222</v>
      </c>
      <c r="F1002" s="390"/>
      <c r="G1002" s="391"/>
      <c r="H1002" s="392"/>
      <c r="I1002" s="263"/>
      <c r="J1002" s="20"/>
      <c r="K1002" s="30"/>
      <c r="L1002" s="20"/>
      <c r="M1002" s="30"/>
      <c r="N1002" s="20"/>
      <c r="O1002" s="30"/>
      <c r="P1002" s="78" t="s">
        <v>212</v>
      </c>
      <c r="Q1002" s="78"/>
      <c r="R1002" s="78" t="s">
        <v>212</v>
      </c>
      <c r="S1002" s="78"/>
      <c r="T1002" s="22"/>
      <c r="U1002" s="78"/>
      <c r="V1002" s="78" t="s">
        <v>212</v>
      </c>
      <c r="W1002" s="49"/>
      <c r="X1002" s="42" t="str">
        <f>IF($B1002&lt;=入力シート!$F$85,""&amp;中間シート!X754,"")</f>
        <v/>
      </c>
      <c r="AQ1002" s="81">
        <f>中間シート!E754</f>
        <v>0</v>
      </c>
      <c r="AR1002" s="86">
        <f>IF(F1002="含まれている",1,IF(F1002="含まれていない",2,0))</f>
        <v>0</v>
      </c>
      <c r="AS1002" s="86" t="str">
        <f>中間シート!P600</f>
        <v/>
      </c>
    </row>
    <row r="1003" spans="2:45" x14ac:dyDescent="0.15">
      <c r="C1003" s="49"/>
      <c r="D1003" s="49"/>
      <c r="E1003" s="55"/>
      <c r="F1003" s="31"/>
      <c r="G1003" s="31"/>
      <c r="H1003" s="31"/>
      <c r="I1003" s="31"/>
      <c r="J1003" s="31"/>
      <c r="K1003" s="31"/>
      <c r="L1003" s="31"/>
      <c r="M1003" s="22"/>
      <c r="N1003" s="78"/>
      <c r="O1003" s="78"/>
      <c r="P1003" s="31" t="s">
        <v>212</v>
      </c>
      <c r="Q1003" s="78"/>
      <c r="R1003" s="78" t="s">
        <v>212</v>
      </c>
      <c r="S1003" s="78"/>
      <c r="T1003" s="78"/>
      <c r="U1003" s="78"/>
      <c r="V1003" s="78" t="s">
        <v>212</v>
      </c>
      <c r="W1003" s="49"/>
      <c r="X1003" s="42" t="s">
        <v>212</v>
      </c>
      <c r="AQ1003" s="86" t="s">
        <v>212</v>
      </c>
      <c r="AR1003" s="86"/>
      <c r="AS1003" s="86" t="s">
        <v>212</v>
      </c>
    </row>
    <row r="1004" spans="2:45" ht="14.25" thickBot="1" x14ac:dyDescent="0.2">
      <c r="C1004" s="89"/>
      <c r="D1004" s="89"/>
      <c r="E1004" s="280"/>
      <c r="F1004" s="89"/>
      <c r="G1004" s="89"/>
      <c r="H1004" s="89"/>
      <c r="I1004" s="265"/>
      <c r="J1004" s="89"/>
      <c r="K1004" s="89"/>
      <c r="L1004" s="89"/>
      <c r="M1004" s="89"/>
      <c r="N1004" s="89"/>
      <c r="O1004" s="89"/>
      <c r="P1004" s="89" t="s">
        <v>212</v>
      </c>
      <c r="Q1004" s="89"/>
      <c r="R1004" s="89" t="s">
        <v>212</v>
      </c>
      <c r="S1004" s="89"/>
      <c r="T1004" s="89"/>
      <c r="U1004" s="89"/>
      <c r="V1004" s="89" t="s">
        <v>212</v>
      </c>
      <c r="W1004" s="89"/>
      <c r="X1004" s="42" t="s">
        <v>212</v>
      </c>
      <c r="AQ1004" s="86" t="s">
        <v>212</v>
      </c>
      <c r="AR1004" s="86"/>
      <c r="AS1004" s="86" t="s">
        <v>212</v>
      </c>
    </row>
    <row r="1005" spans="2:45" ht="18" customHeight="1" thickBot="1" x14ac:dyDescent="0.2">
      <c r="B1005" s="42">
        <v>30</v>
      </c>
      <c r="C1005" s="89"/>
      <c r="D1005" s="91" t="s">
        <v>185</v>
      </c>
      <c r="E1005" s="277" t="s">
        <v>220</v>
      </c>
      <c r="F1005" s="390"/>
      <c r="G1005" s="391"/>
      <c r="H1005" s="392"/>
      <c r="I1005" s="266"/>
      <c r="J1005" s="20"/>
      <c r="K1005" s="98"/>
      <c r="L1005" s="20"/>
      <c r="M1005" s="98"/>
      <c r="N1005" s="20"/>
      <c r="O1005" s="98"/>
      <c r="P1005" s="283">
        <f>中間シート!D849</f>
        <v>0</v>
      </c>
      <c r="Q1005" s="75"/>
      <c r="R1005" s="283">
        <f>中間シート!G849</f>
        <v>0</v>
      </c>
      <c r="S1005" s="75"/>
      <c r="T1005" s="99" t="s">
        <v>95</v>
      </c>
      <c r="U1005" s="75"/>
      <c r="V1005" s="283">
        <f>中間シート!H849</f>
        <v>0</v>
      </c>
      <c r="W1005" s="89"/>
      <c r="X1005" s="42" t="str">
        <f>IF($B1005&lt;=入力シート!$F$85,""&amp;中間シート!X755,"")</f>
        <v/>
      </c>
      <c r="AQ1005" s="81">
        <f>中間シート!E755</f>
        <v>0</v>
      </c>
      <c r="AR1005" s="86">
        <f>IF(F1005="含まれている",1,IF(F1005="含まれていない",2,0))</f>
        <v>0</v>
      </c>
      <c r="AS1005" s="86" t="str">
        <f>中間シート!P601</f>
        <v/>
      </c>
    </row>
    <row r="1006" spans="2:45" ht="5.0999999999999996" customHeight="1" thickBot="1" x14ac:dyDescent="0.2">
      <c r="C1006" s="89"/>
      <c r="D1006" s="89"/>
      <c r="E1006" s="278"/>
      <c r="F1006" s="100"/>
      <c r="G1006" s="100"/>
      <c r="H1006" s="100"/>
      <c r="I1006" s="267"/>
      <c r="J1006" s="101"/>
      <c r="K1006" s="101"/>
      <c r="L1006" s="101"/>
      <c r="M1006" s="101"/>
      <c r="N1006" s="101"/>
      <c r="O1006" s="101"/>
      <c r="P1006" s="75" t="s">
        <v>212</v>
      </c>
      <c r="Q1006" s="100"/>
      <c r="R1006" s="75" t="s">
        <v>212</v>
      </c>
      <c r="S1006" s="75"/>
      <c r="T1006" s="100"/>
      <c r="U1006" s="75"/>
      <c r="V1006" s="75" t="s">
        <v>212</v>
      </c>
      <c r="W1006" s="89"/>
      <c r="X1006" s="42" t="s">
        <v>212</v>
      </c>
      <c r="AQ1006" s="86" t="s">
        <v>212</v>
      </c>
      <c r="AR1006" s="86"/>
      <c r="AS1006" s="86" t="s">
        <v>212</v>
      </c>
    </row>
    <row r="1007" spans="2:45" ht="18" customHeight="1" thickBot="1" x14ac:dyDescent="0.2">
      <c r="B1007" s="42">
        <v>30</v>
      </c>
      <c r="C1007" s="89"/>
      <c r="D1007" s="89"/>
      <c r="E1007" s="277" t="s">
        <v>221</v>
      </c>
      <c r="F1007" s="390"/>
      <c r="G1007" s="391"/>
      <c r="H1007" s="392"/>
      <c r="I1007" s="266"/>
      <c r="J1007" s="20"/>
      <c r="K1007" s="98"/>
      <c r="L1007" s="20"/>
      <c r="M1007" s="98"/>
      <c r="N1007" s="20"/>
      <c r="O1007" s="98"/>
      <c r="P1007" s="75" t="s">
        <v>212</v>
      </c>
      <c r="Q1007" s="75"/>
      <c r="R1007" s="75" t="s">
        <v>212</v>
      </c>
      <c r="S1007" s="75"/>
      <c r="T1007" s="100"/>
      <c r="U1007" s="75"/>
      <c r="V1007" s="75" t="s">
        <v>212</v>
      </c>
      <c r="W1007" s="89"/>
      <c r="X1007" s="42" t="str">
        <f>IF($B1007&lt;=入力シート!$F$85,""&amp;中間シート!X756,"")</f>
        <v/>
      </c>
      <c r="AQ1007" s="81">
        <f>中間シート!E756</f>
        <v>0</v>
      </c>
      <c r="AR1007" s="86">
        <f>IF(F1007="含まれている",1,IF(F1007="含まれていない",2,0))</f>
        <v>0</v>
      </c>
      <c r="AS1007" s="86" t="str">
        <f>中間シート!P602</f>
        <v/>
      </c>
    </row>
    <row r="1008" spans="2:45" ht="5.0999999999999996" customHeight="1" thickBot="1" x14ac:dyDescent="0.2">
      <c r="C1008" s="89"/>
      <c r="D1008" s="89"/>
      <c r="E1008" s="278"/>
      <c r="F1008" s="100"/>
      <c r="G1008" s="100"/>
      <c r="H1008" s="100"/>
      <c r="I1008" s="267"/>
      <c r="J1008" s="101"/>
      <c r="K1008" s="101"/>
      <c r="L1008" s="101"/>
      <c r="M1008" s="101"/>
      <c r="N1008" s="101"/>
      <c r="O1008" s="101"/>
      <c r="P1008" s="75" t="s">
        <v>212</v>
      </c>
      <c r="Q1008" s="100"/>
      <c r="R1008" s="75" t="s">
        <v>212</v>
      </c>
      <c r="S1008" s="75"/>
      <c r="T1008" s="100"/>
      <c r="U1008" s="75"/>
      <c r="V1008" s="75" t="s">
        <v>212</v>
      </c>
      <c r="W1008" s="89"/>
      <c r="X1008" s="42" t="s">
        <v>212</v>
      </c>
      <c r="AQ1008" s="21" t="s">
        <v>212</v>
      </c>
      <c r="AR1008" s="86"/>
      <c r="AS1008" s="86" t="s">
        <v>212</v>
      </c>
    </row>
    <row r="1009" spans="2:45" ht="18" customHeight="1" thickBot="1" x14ac:dyDescent="0.2">
      <c r="B1009" s="42">
        <v>30</v>
      </c>
      <c r="C1009" s="89"/>
      <c r="D1009" s="89"/>
      <c r="E1009" s="277" t="s">
        <v>222</v>
      </c>
      <c r="F1009" s="390"/>
      <c r="G1009" s="391"/>
      <c r="H1009" s="392"/>
      <c r="I1009" s="266"/>
      <c r="J1009" s="20"/>
      <c r="K1009" s="98"/>
      <c r="L1009" s="20"/>
      <c r="M1009" s="98"/>
      <c r="N1009" s="20"/>
      <c r="O1009" s="98"/>
      <c r="P1009" s="75" t="s">
        <v>212</v>
      </c>
      <c r="Q1009" s="75"/>
      <c r="R1009" s="75" t="s">
        <v>212</v>
      </c>
      <c r="S1009" s="75"/>
      <c r="T1009" s="100"/>
      <c r="U1009" s="75"/>
      <c r="V1009" s="75" t="s">
        <v>212</v>
      </c>
      <c r="W1009" s="89"/>
      <c r="X1009" s="42" t="str">
        <f>IF($B1009&lt;=入力シート!$F$85,""&amp;中間シート!X757,"")</f>
        <v/>
      </c>
      <c r="AQ1009" s="81">
        <f>中間シート!E757</f>
        <v>0</v>
      </c>
      <c r="AR1009" s="86">
        <f>IF(F1009="含まれている",1,IF(F1009="含まれていない",2,0))</f>
        <v>0</v>
      </c>
      <c r="AS1009" s="86" t="str">
        <f>中間シート!P603</f>
        <v/>
      </c>
    </row>
    <row r="1010" spans="2:45" x14ac:dyDescent="0.15">
      <c r="C1010" s="89"/>
      <c r="D1010" s="89"/>
      <c r="E1010" s="280"/>
      <c r="F1010" s="101"/>
      <c r="G1010" s="101"/>
      <c r="H1010" s="101"/>
      <c r="I1010" s="101"/>
      <c r="J1010" s="101"/>
      <c r="K1010" s="101"/>
      <c r="L1010" s="101"/>
      <c r="M1010" s="100"/>
      <c r="N1010" s="75"/>
      <c r="O1010" s="75"/>
      <c r="P1010" s="101" t="s">
        <v>212</v>
      </c>
      <c r="Q1010" s="75"/>
      <c r="R1010" s="75" t="s">
        <v>212</v>
      </c>
      <c r="S1010" s="75"/>
      <c r="T1010" s="75"/>
      <c r="U1010" s="75"/>
      <c r="V1010" s="75" t="s">
        <v>212</v>
      </c>
      <c r="W1010" s="89"/>
      <c r="X1010" s="42" t="s">
        <v>212</v>
      </c>
      <c r="AQ1010" s="86" t="s">
        <v>212</v>
      </c>
      <c r="AR1010" s="86"/>
      <c r="AS1010" s="86" t="s">
        <v>212</v>
      </c>
    </row>
    <row r="1011" spans="2:45" ht="14.25" thickBot="1" x14ac:dyDescent="0.2">
      <c r="C1011" s="49"/>
      <c r="D1011" s="49"/>
      <c r="E1011" s="279"/>
      <c r="F1011" s="22"/>
      <c r="G1011" s="22"/>
      <c r="H1011" s="22"/>
      <c r="I1011" s="262"/>
      <c r="J1011" s="22"/>
      <c r="K1011" s="22"/>
      <c r="L1011" s="22"/>
      <c r="M1011" s="22"/>
      <c r="N1011" s="22"/>
      <c r="O1011" s="22"/>
      <c r="P1011" s="22" t="s">
        <v>212</v>
      </c>
      <c r="Q1011" s="78"/>
      <c r="R1011" s="22" t="s">
        <v>212</v>
      </c>
      <c r="S1011" s="22"/>
      <c r="T1011" s="78"/>
      <c r="U1011" s="78"/>
      <c r="V1011" s="22" t="s">
        <v>212</v>
      </c>
      <c r="W1011" s="49"/>
      <c r="X1011" s="42" t="s">
        <v>212</v>
      </c>
      <c r="AQ1011" s="86" t="s">
        <v>212</v>
      </c>
      <c r="AR1011" s="86"/>
      <c r="AS1011" s="86" t="s">
        <v>212</v>
      </c>
    </row>
    <row r="1012" spans="2:45" ht="18" customHeight="1" thickBot="1" x14ac:dyDescent="0.2">
      <c r="B1012" s="42">
        <v>31</v>
      </c>
      <c r="C1012" s="49"/>
      <c r="D1012" s="52" t="s">
        <v>186</v>
      </c>
      <c r="E1012" s="275" t="s">
        <v>220</v>
      </c>
      <c r="F1012" s="390"/>
      <c r="G1012" s="391"/>
      <c r="H1012" s="392"/>
      <c r="I1012" s="263"/>
      <c r="J1012" s="20"/>
      <c r="K1012" s="30"/>
      <c r="L1012" s="20"/>
      <c r="M1012" s="30"/>
      <c r="N1012" s="20"/>
      <c r="O1012" s="30"/>
      <c r="P1012" s="283">
        <f>中間シート!D850</f>
        <v>0</v>
      </c>
      <c r="Q1012" s="78"/>
      <c r="R1012" s="283">
        <f>中間シート!G850</f>
        <v>0</v>
      </c>
      <c r="S1012" s="78"/>
      <c r="T1012" s="97" t="s">
        <v>95</v>
      </c>
      <c r="U1012" s="78"/>
      <c r="V1012" s="283">
        <f>中間シート!H850</f>
        <v>0</v>
      </c>
      <c r="W1012" s="49"/>
      <c r="X1012" s="42" t="str">
        <f>IF($B1012&lt;=入力シート!$F$85,""&amp;中間シート!X758,"")</f>
        <v/>
      </c>
      <c r="AQ1012" s="81">
        <f>中間シート!E758</f>
        <v>0</v>
      </c>
      <c r="AR1012" s="86">
        <f>IF(F1012="含まれている",1,IF(F1012="含まれていない",2,0))</f>
        <v>0</v>
      </c>
      <c r="AS1012" s="86" t="str">
        <f>中間シート!P604</f>
        <v/>
      </c>
    </row>
    <row r="1013" spans="2:45" ht="5.0999999999999996" customHeight="1" thickBot="1" x14ac:dyDescent="0.2">
      <c r="C1013" s="49"/>
      <c r="D1013" s="49"/>
      <c r="E1013" s="276"/>
      <c r="F1013" s="22"/>
      <c r="G1013" s="22"/>
      <c r="H1013" s="22"/>
      <c r="I1013" s="262"/>
      <c r="J1013" s="31"/>
      <c r="K1013" s="31"/>
      <c r="L1013" s="31"/>
      <c r="M1013" s="31"/>
      <c r="N1013" s="31"/>
      <c r="O1013" s="31"/>
      <c r="P1013" s="78" t="s">
        <v>212</v>
      </c>
      <c r="Q1013" s="22"/>
      <c r="R1013" s="78" t="s">
        <v>212</v>
      </c>
      <c r="S1013" s="78"/>
      <c r="T1013" s="22"/>
      <c r="U1013" s="78"/>
      <c r="V1013" s="78" t="s">
        <v>212</v>
      </c>
      <c r="W1013" s="49"/>
      <c r="X1013" s="42" t="s">
        <v>212</v>
      </c>
      <c r="AQ1013" s="86" t="s">
        <v>212</v>
      </c>
      <c r="AR1013" s="86"/>
      <c r="AS1013" s="86" t="s">
        <v>212</v>
      </c>
    </row>
    <row r="1014" spans="2:45" ht="18" customHeight="1" thickBot="1" x14ac:dyDescent="0.2">
      <c r="B1014" s="42">
        <v>31</v>
      </c>
      <c r="C1014" s="49"/>
      <c r="D1014" s="49"/>
      <c r="E1014" s="275" t="s">
        <v>221</v>
      </c>
      <c r="F1014" s="390"/>
      <c r="G1014" s="391"/>
      <c r="H1014" s="392"/>
      <c r="I1014" s="263"/>
      <c r="J1014" s="20"/>
      <c r="K1014" s="30"/>
      <c r="L1014" s="20"/>
      <c r="M1014" s="30"/>
      <c r="N1014" s="20"/>
      <c r="O1014" s="30"/>
      <c r="P1014" s="78" t="s">
        <v>212</v>
      </c>
      <c r="Q1014" s="78"/>
      <c r="R1014" s="78" t="s">
        <v>212</v>
      </c>
      <c r="S1014" s="78"/>
      <c r="T1014" s="22"/>
      <c r="U1014" s="78"/>
      <c r="V1014" s="78" t="s">
        <v>212</v>
      </c>
      <c r="W1014" s="49"/>
      <c r="X1014" s="42" t="str">
        <f>IF($B1014&lt;=入力シート!$F$85,""&amp;中間シート!X759,"")</f>
        <v/>
      </c>
      <c r="AQ1014" s="81">
        <f>中間シート!E759</f>
        <v>0</v>
      </c>
      <c r="AR1014" s="86">
        <f>IF(F1014="含まれている",1,IF(F1014="含まれていない",2,0))</f>
        <v>0</v>
      </c>
      <c r="AS1014" s="86" t="str">
        <f>中間シート!P605</f>
        <v/>
      </c>
    </row>
    <row r="1015" spans="2:45" ht="5.0999999999999996" customHeight="1" thickBot="1" x14ac:dyDescent="0.2">
      <c r="C1015" s="49"/>
      <c r="D1015" s="49"/>
      <c r="E1015" s="276"/>
      <c r="F1015" s="22"/>
      <c r="G1015" s="22"/>
      <c r="H1015" s="22"/>
      <c r="I1015" s="262"/>
      <c r="J1015" s="31"/>
      <c r="K1015" s="31"/>
      <c r="L1015" s="31"/>
      <c r="M1015" s="31"/>
      <c r="N1015" s="31"/>
      <c r="O1015" s="31"/>
      <c r="P1015" s="78" t="s">
        <v>212</v>
      </c>
      <c r="Q1015" s="22"/>
      <c r="R1015" s="78" t="s">
        <v>212</v>
      </c>
      <c r="S1015" s="78"/>
      <c r="T1015" s="22"/>
      <c r="U1015" s="78"/>
      <c r="V1015" s="78" t="s">
        <v>212</v>
      </c>
      <c r="W1015" s="49"/>
      <c r="X1015" s="42" t="s">
        <v>212</v>
      </c>
      <c r="AQ1015" s="21" t="s">
        <v>212</v>
      </c>
      <c r="AR1015" s="86"/>
      <c r="AS1015" s="86" t="s">
        <v>212</v>
      </c>
    </row>
    <row r="1016" spans="2:45" ht="18" customHeight="1" thickBot="1" x14ac:dyDescent="0.2">
      <c r="B1016" s="42">
        <v>31</v>
      </c>
      <c r="C1016" s="49"/>
      <c r="D1016" s="49"/>
      <c r="E1016" s="275" t="s">
        <v>222</v>
      </c>
      <c r="F1016" s="390"/>
      <c r="G1016" s="391"/>
      <c r="H1016" s="392"/>
      <c r="I1016" s="263"/>
      <c r="J1016" s="20"/>
      <c r="K1016" s="30"/>
      <c r="L1016" s="20"/>
      <c r="M1016" s="30"/>
      <c r="N1016" s="20"/>
      <c r="O1016" s="30"/>
      <c r="P1016" s="78" t="s">
        <v>212</v>
      </c>
      <c r="Q1016" s="78"/>
      <c r="R1016" s="78" t="s">
        <v>212</v>
      </c>
      <c r="S1016" s="78"/>
      <c r="T1016" s="22"/>
      <c r="U1016" s="78"/>
      <c r="V1016" s="78" t="s">
        <v>212</v>
      </c>
      <c r="W1016" s="49"/>
      <c r="X1016" s="42" t="str">
        <f>IF($B1016&lt;=入力シート!$F$85,""&amp;中間シート!X760,"")</f>
        <v/>
      </c>
      <c r="AQ1016" s="81">
        <f>中間シート!E760</f>
        <v>0</v>
      </c>
      <c r="AR1016" s="86">
        <f>IF(F1016="含まれている",1,IF(F1016="含まれていない",2,0))</f>
        <v>0</v>
      </c>
      <c r="AS1016" s="86" t="str">
        <f>中間シート!P606</f>
        <v/>
      </c>
    </row>
    <row r="1017" spans="2:45" x14ac:dyDescent="0.15">
      <c r="C1017" s="49"/>
      <c r="D1017" s="49"/>
      <c r="E1017" s="55"/>
      <c r="F1017" s="31"/>
      <c r="G1017" s="31"/>
      <c r="H1017" s="31"/>
      <c r="I1017" s="31"/>
      <c r="J1017" s="31"/>
      <c r="K1017" s="31"/>
      <c r="L1017" s="31"/>
      <c r="M1017" s="22"/>
      <c r="N1017" s="78"/>
      <c r="O1017" s="78"/>
      <c r="P1017" s="31" t="s">
        <v>212</v>
      </c>
      <c r="Q1017" s="78"/>
      <c r="R1017" s="78" t="s">
        <v>212</v>
      </c>
      <c r="S1017" s="78"/>
      <c r="T1017" s="78"/>
      <c r="U1017" s="78"/>
      <c r="V1017" s="78" t="s">
        <v>212</v>
      </c>
      <c r="W1017" s="49"/>
      <c r="X1017" s="42" t="s">
        <v>212</v>
      </c>
      <c r="AQ1017" s="86" t="s">
        <v>212</v>
      </c>
      <c r="AR1017" s="86"/>
      <c r="AS1017" s="86" t="s">
        <v>212</v>
      </c>
    </row>
    <row r="1018" spans="2:45" ht="14.25" thickBot="1" x14ac:dyDescent="0.2">
      <c r="C1018" s="89"/>
      <c r="D1018" s="89"/>
      <c r="E1018" s="280"/>
      <c r="F1018" s="89"/>
      <c r="G1018" s="89"/>
      <c r="H1018" s="89"/>
      <c r="I1018" s="265"/>
      <c r="J1018" s="89"/>
      <c r="K1018" s="89"/>
      <c r="L1018" s="89"/>
      <c r="M1018" s="89"/>
      <c r="N1018" s="89"/>
      <c r="O1018" s="89"/>
      <c r="P1018" s="89" t="s">
        <v>212</v>
      </c>
      <c r="Q1018" s="89"/>
      <c r="R1018" s="89" t="s">
        <v>212</v>
      </c>
      <c r="S1018" s="89"/>
      <c r="T1018" s="89"/>
      <c r="U1018" s="89"/>
      <c r="V1018" s="89" t="s">
        <v>212</v>
      </c>
      <c r="W1018" s="89"/>
      <c r="X1018" s="42" t="s">
        <v>212</v>
      </c>
      <c r="AQ1018" s="86" t="s">
        <v>212</v>
      </c>
      <c r="AR1018" s="86"/>
      <c r="AS1018" s="86" t="s">
        <v>212</v>
      </c>
    </row>
    <row r="1019" spans="2:45" ht="18" customHeight="1" thickBot="1" x14ac:dyDescent="0.2">
      <c r="B1019" s="42">
        <v>32</v>
      </c>
      <c r="C1019" s="89"/>
      <c r="D1019" s="91" t="s">
        <v>187</v>
      </c>
      <c r="E1019" s="277" t="s">
        <v>220</v>
      </c>
      <c r="F1019" s="390"/>
      <c r="G1019" s="391"/>
      <c r="H1019" s="392"/>
      <c r="I1019" s="266"/>
      <c r="J1019" s="20"/>
      <c r="K1019" s="98"/>
      <c r="L1019" s="20"/>
      <c r="M1019" s="98"/>
      <c r="N1019" s="20"/>
      <c r="O1019" s="98"/>
      <c r="P1019" s="283">
        <f>中間シート!D851</f>
        <v>0</v>
      </c>
      <c r="Q1019" s="75"/>
      <c r="R1019" s="283">
        <f>中間シート!G851</f>
        <v>0</v>
      </c>
      <c r="S1019" s="75"/>
      <c r="T1019" s="99" t="s">
        <v>95</v>
      </c>
      <c r="U1019" s="75"/>
      <c r="V1019" s="283">
        <f>中間シート!H851</f>
        <v>0</v>
      </c>
      <c r="W1019" s="89"/>
      <c r="X1019" s="42" t="str">
        <f>IF($B1019&lt;=入力シート!$F$85,""&amp;中間シート!X761,"")</f>
        <v/>
      </c>
      <c r="AQ1019" s="81">
        <f>中間シート!E761</f>
        <v>0</v>
      </c>
      <c r="AR1019" s="86">
        <f>IF(F1019="含まれている",1,IF(F1019="含まれていない",2,0))</f>
        <v>0</v>
      </c>
      <c r="AS1019" s="86" t="str">
        <f>中間シート!P607</f>
        <v/>
      </c>
    </row>
    <row r="1020" spans="2:45" ht="5.0999999999999996" customHeight="1" thickBot="1" x14ac:dyDescent="0.2">
      <c r="C1020" s="89"/>
      <c r="D1020" s="89"/>
      <c r="E1020" s="278"/>
      <c r="F1020" s="100"/>
      <c r="G1020" s="100"/>
      <c r="H1020" s="100"/>
      <c r="I1020" s="267"/>
      <c r="J1020" s="101"/>
      <c r="K1020" s="101"/>
      <c r="L1020" s="101"/>
      <c r="M1020" s="101"/>
      <c r="N1020" s="101"/>
      <c r="O1020" s="101"/>
      <c r="P1020" s="75" t="s">
        <v>212</v>
      </c>
      <c r="Q1020" s="100"/>
      <c r="R1020" s="75" t="s">
        <v>212</v>
      </c>
      <c r="S1020" s="75"/>
      <c r="T1020" s="100"/>
      <c r="U1020" s="75"/>
      <c r="V1020" s="75" t="s">
        <v>212</v>
      </c>
      <c r="W1020" s="89"/>
      <c r="X1020" s="42" t="s">
        <v>212</v>
      </c>
      <c r="AQ1020" s="86" t="s">
        <v>212</v>
      </c>
      <c r="AR1020" s="86"/>
      <c r="AS1020" s="86" t="s">
        <v>212</v>
      </c>
    </row>
    <row r="1021" spans="2:45" ht="18" customHeight="1" thickBot="1" x14ac:dyDescent="0.2">
      <c r="B1021" s="42">
        <v>32</v>
      </c>
      <c r="C1021" s="89"/>
      <c r="D1021" s="89"/>
      <c r="E1021" s="277" t="s">
        <v>221</v>
      </c>
      <c r="F1021" s="390"/>
      <c r="G1021" s="391"/>
      <c r="H1021" s="392"/>
      <c r="I1021" s="266"/>
      <c r="J1021" s="20"/>
      <c r="K1021" s="98"/>
      <c r="L1021" s="20"/>
      <c r="M1021" s="98"/>
      <c r="N1021" s="20"/>
      <c r="O1021" s="98"/>
      <c r="P1021" s="75" t="s">
        <v>212</v>
      </c>
      <c r="Q1021" s="75"/>
      <c r="R1021" s="75" t="s">
        <v>212</v>
      </c>
      <c r="S1021" s="75"/>
      <c r="T1021" s="100"/>
      <c r="U1021" s="75"/>
      <c r="V1021" s="75" t="s">
        <v>212</v>
      </c>
      <c r="W1021" s="89"/>
      <c r="X1021" s="42" t="str">
        <f>IF($B1021&lt;=入力シート!$F$85,""&amp;中間シート!X762,"")</f>
        <v/>
      </c>
      <c r="AQ1021" s="81">
        <f>中間シート!E762</f>
        <v>0</v>
      </c>
      <c r="AR1021" s="86">
        <f>IF(F1021="含まれている",1,IF(F1021="含まれていない",2,0))</f>
        <v>0</v>
      </c>
      <c r="AS1021" s="86" t="str">
        <f>中間シート!P608</f>
        <v/>
      </c>
    </row>
    <row r="1022" spans="2:45" ht="5.0999999999999996" customHeight="1" thickBot="1" x14ac:dyDescent="0.2">
      <c r="C1022" s="89"/>
      <c r="D1022" s="89"/>
      <c r="E1022" s="278"/>
      <c r="F1022" s="100"/>
      <c r="G1022" s="100"/>
      <c r="H1022" s="100"/>
      <c r="I1022" s="267"/>
      <c r="J1022" s="101"/>
      <c r="K1022" s="101"/>
      <c r="L1022" s="101"/>
      <c r="M1022" s="101"/>
      <c r="N1022" s="101"/>
      <c r="O1022" s="101"/>
      <c r="P1022" s="75" t="s">
        <v>212</v>
      </c>
      <c r="Q1022" s="100"/>
      <c r="R1022" s="75" t="s">
        <v>212</v>
      </c>
      <c r="S1022" s="75"/>
      <c r="T1022" s="100"/>
      <c r="U1022" s="75"/>
      <c r="V1022" s="75" t="s">
        <v>212</v>
      </c>
      <c r="W1022" s="89"/>
      <c r="X1022" s="42" t="s">
        <v>212</v>
      </c>
      <c r="AQ1022" s="21" t="s">
        <v>212</v>
      </c>
      <c r="AR1022" s="86"/>
      <c r="AS1022" s="86" t="s">
        <v>212</v>
      </c>
    </row>
    <row r="1023" spans="2:45" ht="18" customHeight="1" thickBot="1" x14ac:dyDescent="0.2">
      <c r="B1023" s="42">
        <v>32</v>
      </c>
      <c r="C1023" s="89"/>
      <c r="D1023" s="89"/>
      <c r="E1023" s="277" t="s">
        <v>222</v>
      </c>
      <c r="F1023" s="390"/>
      <c r="G1023" s="391"/>
      <c r="H1023" s="392"/>
      <c r="I1023" s="266"/>
      <c r="J1023" s="20"/>
      <c r="K1023" s="98"/>
      <c r="L1023" s="20"/>
      <c r="M1023" s="98"/>
      <c r="N1023" s="20"/>
      <c r="O1023" s="98"/>
      <c r="P1023" s="75" t="s">
        <v>212</v>
      </c>
      <c r="Q1023" s="75"/>
      <c r="R1023" s="75" t="s">
        <v>212</v>
      </c>
      <c r="S1023" s="75"/>
      <c r="T1023" s="100"/>
      <c r="U1023" s="75"/>
      <c r="V1023" s="75" t="s">
        <v>212</v>
      </c>
      <c r="W1023" s="89"/>
      <c r="X1023" s="42" t="str">
        <f>IF($B1023&lt;=入力シート!$F$85,""&amp;中間シート!X763,"")</f>
        <v/>
      </c>
      <c r="AQ1023" s="81">
        <f>中間シート!E763</f>
        <v>0</v>
      </c>
      <c r="AR1023" s="86">
        <f>IF(F1023="含まれている",1,IF(F1023="含まれていない",2,0))</f>
        <v>0</v>
      </c>
      <c r="AS1023" s="86" t="str">
        <f>中間シート!P609</f>
        <v/>
      </c>
    </row>
    <row r="1024" spans="2:45" x14ac:dyDescent="0.15">
      <c r="C1024" s="89"/>
      <c r="D1024" s="89"/>
      <c r="E1024" s="280"/>
      <c r="F1024" s="101"/>
      <c r="G1024" s="101"/>
      <c r="H1024" s="101"/>
      <c r="I1024" s="101"/>
      <c r="J1024" s="101"/>
      <c r="K1024" s="101"/>
      <c r="L1024" s="101"/>
      <c r="M1024" s="100"/>
      <c r="N1024" s="75"/>
      <c r="O1024" s="75"/>
      <c r="P1024" s="101" t="s">
        <v>212</v>
      </c>
      <c r="Q1024" s="75"/>
      <c r="R1024" s="75" t="s">
        <v>212</v>
      </c>
      <c r="S1024" s="75"/>
      <c r="T1024" s="75"/>
      <c r="U1024" s="75"/>
      <c r="V1024" s="75" t="s">
        <v>212</v>
      </c>
      <c r="W1024" s="89"/>
      <c r="X1024" s="42" t="s">
        <v>212</v>
      </c>
      <c r="AQ1024" s="86" t="s">
        <v>212</v>
      </c>
      <c r="AR1024" s="86"/>
      <c r="AS1024" s="86" t="s">
        <v>212</v>
      </c>
    </row>
    <row r="1025" spans="2:45" ht="14.25" thickBot="1" x14ac:dyDescent="0.2">
      <c r="C1025" s="49"/>
      <c r="D1025" s="49"/>
      <c r="E1025" s="279"/>
      <c r="F1025" s="22"/>
      <c r="G1025" s="22"/>
      <c r="H1025" s="22"/>
      <c r="I1025" s="262"/>
      <c r="J1025" s="22"/>
      <c r="K1025" s="22"/>
      <c r="L1025" s="22"/>
      <c r="M1025" s="22"/>
      <c r="N1025" s="22"/>
      <c r="O1025" s="22"/>
      <c r="P1025" s="22" t="s">
        <v>212</v>
      </c>
      <c r="Q1025" s="78"/>
      <c r="R1025" s="22" t="s">
        <v>212</v>
      </c>
      <c r="S1025" s="22"/>
      <c r="T1025" s="78"/>
      <c r="U1025" s="78"/>
      <c r="V1025" s="22" t="s">
        <v>212</v>
      </c>
      <c r="W1025" s="49"/>
      <c r="X1025" s="42" t="s">
        <v>212</v>
      </c>
      <c r="AQ1025" s="86" t="s">
        <v>212</v>
      </c>
      <c r="AR1025" s="86"/>
      <c r="AS1025" s="86" t="s">
        <v>212</v>
      </c>
    </row>
    <row r="1026" spans="2:45" ht="18" customHeight="1" thickBot="1" x14ac:dyDescent="0.2">
      <c r="B1026" s="42">
        <v>33</v>
      </c>
      <c r="C1026" s="49"/>
      <c r="D1026" s="52" t="s">
        <v>188</v>
      </c>
      <c r="E1026" s="275" t="s">
        <v>220</v>
      </c>
      <c r="F1026" s="390"/>
      <c r="G1026" s="391"/>
      <c r="H1026" s="392"/>
      <c r="I1026" s="263"/>
      <c r="J1026" s="20"/>
      <c r="K1026" s="30"/>
      <c r="L1026" s="20"/>
      <c r="M1026" s="30"/>
      <c r="N1026" s="20"/>
      <c r="O1026" s="30"/>
      <c r="P1026" s="283">
        <f>中間シート!D852</f>
        <v>0</v>
      </c>
      <c r="Q1026" s="78"/>
      <c r="R1026" s="283">
        <f>中間シート!G852</f>
        <v>0</v>
      </c>
      <c r="S1026" s="78"/>
      <c r="T1026" s="97" t="s">
        <v>95</v>
      </c>
      <c r="U1026" s="78"/>
      <c r="V1026" s="283">
        <f>中間シート!H852</f>
        <v>0</v>
      </c>
      <c r="W1026" s="49"/>
      <c r="X1026" s="42" t="str">
        <f>IF($B1026&lt;=入力シート!$F$85,""&amp;中間シート!X764,"")</f>
        <v/>
      </c>
      <c r="AQ1026" s="81">
        <f>中間シート!E764</f>
        <v>0</v>
      </c>
      <c r="AR1026" s="86">
        <f>IF(F1026="含まれている",1,IF(F1026="含まれていない",2,0))</f>
        <v>0</v>
      </c>
      <c r="AS1026" s="86" t="str">
        <f>中間シート!P610</f>
        <v/>
      </c>
    </row>
    <row r="1027" spans="2:45" ht="5.0999999999999996" customHeight="1" thickBot="1" x14ac:dyDescent="0.2">
      <c r="C1027" s="49"/>
      <c r="D1027" s="49"/>
      <c r="E1027" s="276"/>
      <c r="F1027" s="22"/>
      <c r="G1027" s="22"/>
      <c r="H1027" s="22"/>
      <c r="I1027" s="262"/>
      <c r="J1027" s="31"/>
      <c r="K1027" s="31"/>
      <c r="L1027" s="31"/>
      <c r="M1027" s="31"/>
      <c r="N1027" s="31"/>
      <c r="O1027" s="31"/>
      <c r="P1027" s="78" t="s">
        <v>212</v>
      </c>
      <c r="Q1027" s="22"/>
      <c r="R1027" s="78" t="s">
        <v>212</v>
      </c>
      <c r="S1027" s="78"/>
      <c r="T1027" s="22"/>
      <c r="U1027" s="78"/>
      <c r="V1027" s="78" t="s">
        <v>212</v>
      </c>
      <c r="W1027" s="49"/>
      <c r="X1027" s="42" t="s">
        <v>212</v>
      </c>
      <c r="AQ1027" s="86" t="s">
        <v>212</v>
      </c>
      <c r="AR1027" s="86"/>
      <c r="AS1027" s="86" t="s">
        <v>212</v>
      </c>
    </row>
    <row r="1028" spans="2:45" ht="18" customHeight="1" thickBot="1" x14ac:dyDescent="0.2">
      <c r="B1028" s="42">
        <v>33</v>
      </c>
      <c r="C1028" s="49"/>
      <c r="D1028" s="49"/>
      <c r="E1028" s="275" t="s">
        <v>221</v>
      </c>
      <c r="F1028" s="390"/>
      <c r="G1028" s="391"/>
      <c r="H1028" s="392"/>
      <c r="I1028" s="263"/>
      <c r="J1028" s="20"/>
      <c r="K1028" s="30"/>
      <c r="L1028" s="20"/>
      <c r="M1028" s="30"/>
      <c r="N1028" s="20"/>
      <c r="O1028" s="30"/>
      <c r="P1028" s="78" t="s">
        <v>212</v>
      </c>
      <c r="Q1028" s="78"/>
      <c r="R1028" s="78" t="s">
        <v>212</v>
      </c>
      <c r="S1028" s="78"/>
      <c r="T1028" s="22"/>
      <c r="U1028" s="78"/>
      <c r="V1028" s="78" t="s">
        <v>212</v>
      </c>
      <c r="W1028" s="49"/>
      <c r="X1028" s="42" t="str">
        <f>IF($B1028&lt;=入力シート!$F$85,""&amp;中間シート!X765,"")</f>
        <v/>
      </c>
      <c r="AQ1028" s="81">
        <f>中間シート!E765</f>
        <v>0</v>
      </c>
      <c r="AR1028" s="86">
        <f>IF(F1028="含まれている",1,IF(F1028="含まれていない",2,0))</f>
        <v>0</v>
      </c>
      <c r="AS1028" s="86" t="str">
        <f>中間シート!P611</f>
        <v/>
      </c>
    </row>
    <row r="1029" spans="2:45" ht="5.0999999999999996" customHeight="1" thickBot="1" x14ac:dyDescent="0.2">
      <c r="C1029" s="49"/>
      <c r="D1029" s="49"/>
      <c r="E1029" s="276"/>
      <c r="F1029" s="22"/>
      <c r="G1029" s="22"/>
      <c r="H1029" s="22"/>
      <c r="I1029" s="262"/>
      <c r="J1029" s="31"/>
      <c r="K1029" s="31"/>
      <c r="L1029" s="31"/>
      <c r="M1029" s="31"/>
      <c r="N1029" s="31"/>
      <c r="O1029" s="31"/>
      <c r="P1029" s="78" t="s">
        <v>212</v>
      </c>
      <c r="Q1029" s="22"/>
      <c r="R1029" s="78" t="s">
        <v>212</v>
      </c>
      <c r="S1029" s="78"/>
      <c r="T1029" s="22"/>
      <c r="U1029" s="78"/>
      <c r="V1029" s="78" t="s">
        <v>212</v>
      </c>
      <c r="W1029" s="49"/>
      <c r="X1029" s="42" t="s">
        <v>212</v>
      </c>
      <c r="AQ1029" s="21" t="s">
        <v>212</v>
      </c>
      <c r="AR1029" s="86"/>
      <c r="AS1029" s="86" t="s">
        <v>212</v>
      </c>
    </row>
    <row r="1030" spans="2:45" ht="18" customHeight="1" thickBot="1" x14ac:dyDescent="0.2">
      <c r="B1030" s="42">
        <v>33</v>
      </c>
      <c r="C1030" s="49"/>
      <c r="D1030" s="49"/>
      <c r="E1030" s="275" t="s">
        <v>222</v>
      </c>
      <c r="F1030" s="390"/>
      <c r="G1030" s="391"/>
      <c r="H1030" s="392"/>
      <c r="I1030" s="263"/>
      <c r="J1030" s="20"/>
      <c r="K1030" s="30"/>
      <c r="L1030" s="20"/>
      <c r="M1030" s="30"/>
      <c r="N1030" s="20"/>
      <c r="O1030" s="30"/>
      <c r="P1030" s="78" t="s">
        <v>212</v>
      </c>
      <c r="Q1030" s="78"/>
      <c r="R1030" s="78" t="s">
        <v>212</v>
      </c>
      <c r="S1030" s="78"/>
      <c r="T1030" s="22"/>
      <c r="U1030" s="78"/>
      <c r="V1030" s="78" t="s">
        <v>212</v>
      </c>
      <c r="W1030" s="49"/>
      <c r="X1030" s="42" t="str">
        <f>IF($B1030&lt;=入力シート!$F$85,""&amp;中間シート!X766,"")</f>
        <v/>
      </c>
      <c r="AQ1030" s="81">
        <f>中間シート!E766</f>
        <v>0</v>
      </c>
      <c r="AR1030" s="86">
        <f>IF(F1030="含まれている",1,IF(F1030="含まれていない",2,0))</f>
        <v>0</v>
      </c>
      <c r="AS1030" s="86" t="str">
        <f>中間シート!P612</f>
        <v/>
      </c>
    </row>
    <row r="1031" spans="2:45" x14ac:dyDescent="0.15">
      <c r="C1031" s="49"/>
      <c r="D1031" s="49"/>
      <c r="E1031" s="55"/>
      <c r="F1031" s="31"/>
      <c r="G1031" s="31"/>
      <c r="H1031" s="31"/>
      <c r="I1031" s="31"/>
      <c r="J1031" s="31"/>
      <c r="K1031" s="31"/>
      <c r="L1031" s="31"/>
      <c r="M1031" s="22"/>
      <c r="N1031" s="78"/>
      <c r="O1031" s="78"/>
      <c r="P1031" s="31" t="s">
        <v>212</v>
      </c>
      <c r="Q1031" s="78"/>
      <c r="R1031" s="78" t="s">
        <v>212</v>
      </c>
      <c r="S1031" s="78"/>
      <c r="T1031" s="78"/>
      <c r="U1031" s="78"/>
      <c r="V1031" s="78" t="s">
        <v>212</v>
      </c>
      <c r="W1031" s="49"/>
      <c r="X1031" s="42" t="s">
        <v>212</v>
      </c>
      <c r="AQ1031" s="86" t="s">
        <v>212</v>
      </c>
      <c r="AR1031" s="86"/>
      <c r="AS1031" s="86" t="s">
        <v>212</v>
      </c>
    </row>
    <row r="1032" spans="2:45" ht="14.25" thickBot="1" x14ac:dyDescent="0.2">
      <c r="C1032" s="89"/>
      <c r="D1032" s="89"/>
      <c r="E1032" s="280"/>
      <c r="F1032" s="89"/>
      <c r="G1032" s="89"/>
      <c r="H1032" s="89"/>
      <c r="I1032" s="265"/>
      <c r="J1032" s="89"/>
      <c r="K1032" s="89"/>
      <c r="L1032" s="89"/>
      <c r="M1032" s="89"/>
      <c r="N1032" s="89"/>
      <c r="O1032" s="89"/>
      <c r="P1032" s="89" t="s">
        <v>212</v>
      </c>
      <c r="Q1032" s="89"/>
      <c r="R1032" s="89" t="s">
        <v>212</v>
      </c>
      <c r="S1032" s="89"/>
      <c r="T1032" s="89"/>
      <c r="U1032" s="89"/>
      <c r="V1032" s="89" t="s">
        <v>212</v>
      </c>
      <c r="W1032" s="89"/>
      <c r="X1032" s="42" t="s">
        <v>212</v>
      </c>
      <c r="AQ1032" s="86" t="s">
        <v>212</v>
      </c>
      <c r="AR1032" s="86"/>
      <c r="AS1032" s="86" t="s">
        <v>212</v>
      </c>
    </row>
    <row r="1033" spans="2:45" ht="18" customHeight="1" thickBot="1" x14ac:dyDescent="0.2">
      <c r="B1033" s="42">
        <v>34</v>
      </c>
      <c r="C1033" s="89"/>
      <c r="D1033" s="91" t="s">
        <v>189</v>
      </c>
      <c r="E1033" s="277" t="s">
        <v>220</v>
      </c>
      <c r="F1033" s="390"/>
      <c r="G1033" s="391"/>
      <c r="H1033" s="392"/>
      <c r="I1033" s="266"/>
      <c r="J1033" s="20"/>
      <c r="K1033" s="98"/>
      <c r="L1033" s="20"/>
      <c r="M1033" s="98"/>
      <c r="N1033" s="20"/>
      <c r="O1033" s="98"/>
      <c r="P1033" s="283">
        <f>中間シート!D853</f>
        <v>0</v>
      </c>
      <c r="Q1033" s="75"/>
      <c r="R1033" s="283">
        <f>中間シート!G853</f>
        <v>0</v>
      </c>
      <c r="S1033" s="75"/>
      <c r="T1033" s="99" t="s">
        <v>95</v>
      </c>
      <c r="U1033" s="75"/>
      <c r="V1033" s="283">
        <f>中間シート!H853</f>
        <v>0</v>
      </c>
      <c r="W1033" s="89"/>
      <c r="X1033" s="42" t="str">
        <f>IF($B1033&lt;=入力シート!$F$85,""&amp;中間シート!X767,"")</f>
        <v/>
      </c>
      <c r="AQ1033" s="81">
        <f>中間シート!E767</f>
        <v>0</v>
      </c>
      <c r="AR1033" s="86">
        <f>IF(F1033="含まれている",1,IF(F1033="含まれていない",2,0))</f>
        <v>0</v>
      </c>
      <c r="AS1033" s="86" t="str">
        <f>中間シート!P613</f>
        <v/>
      </c>
    </row>
    <row r="1034" spans="2:45" ht="5.0999999999999996" customHeight="1" thickBot="1" x14ac:dyDescent="0.2">
      <c r="C1034" s="89"/>
      <c r="D1034" s="89"/>
      <c r="E1034" s="278"/>
      <c r="F1034" s="100"/>
      <c r="G1034" s="100"/>
      <c r="H1034" s="100"/>
      <c r="I1034" s="267"/>
      <c r="J1034" s="101"/>
      <c r="K1034" s="101"/>
      <c r="L1034" s="101"/>
      <c r="M1034" s="101"/>
      <c r="N1034" s="101"/>
      <c r="O1034" s="101"/>
      <c r="P1034" s="75" t="s">
        <v>212</v>
      </c>
      <c r="Q1034" s="100"/>
      <c r="R1034" s="75" t="s">
        <v>212</v>
      </c>
      <c r="S1034" s="75"/>
      <c r="T1034" s="100"/>
      <c r="U1034" s="75"/>
      <c r="V1034" s="75" t="s">
        <v>212</v>
      </c>
      <c r="W1034" s="89"/>
      <c r="X1034" s="42" t="s">
        <v>212</v>
      </c>
      <c r="AQ1034" s="86" t="s">
        <v>212</v>
      </c>
      <c r="AR1034" s="86"/>
      <c r="AS1034" s="86" t="s">
        <v>212</v>
      </c>
    </row>
    <row r="1035" spans="2:45" ht="18" customHeight="1" thickBot="1" x14ac:dyDescent="0.2">
      <c r="B1035" s="42">
        <v>34</v>
      </c>
      <c r="C1035" s="89"/>
      <c r="D1035" s="89"/>
      <c r="E1035" s="277" t="s">
        <v>221</v>
      </c>
      <c r="F1035" s="390"/>
      <c r="G1035" s="391"/>
      <c r="H1035" s="392"/>
      <c r="I1035" s="266"/>
      <c r="J1035" s="20"/>
      <c r="K1035" s="98"/>
      <c r="L1035" s="20"/>
      <c r="M1035" s="98"/>
      <c r="N1035" s="20"/>
      <c r="O1035" s="98"/>
      <c r="P1035" s="75" t="s">
        <v>212</v>
      </c>
      <c r="Q1035" s="75"/>
      <c r="R1035" s="75" t="s">
        <v>212</v>
      </c>
      <c r="S1035" s="75"/>
      <c r="T1035" s="100"/>
      <c r="U1035" s="75"/>
      <c r="V1035" s="75" t="s">
        <v>212</v>
      </c>
      <c r="W1035" s="89"/>
      <c r="X1035" s="42" t="str">
        <f>IF($B1035&lt;=入力シート!$F$85,""&amp;中間シート!X768,"")</f>
        <v/>
      </c>
      <c r="AQ1035" s="81">
        <f>中間シート!E768</f>
        <v>0</v>
      </c>
      <c r="AR1035" s="86">
        <f>IF(F1035="含まれている",1,IF(F1035="含まれていない",2,0))</f>
        <v>0</v>
      </c>
      <c r="AS1035" s="86" t="str">
        <f>中間シート!P614</f>
        <v/>
      </c>
    </row>
    <row r="1036" spans="2:45" ht="5.0999999999999996" customHeight="1" thickBot="1" x14ac:dyDescent="0.2">
      <c r="C1036" s="89"/>
      <c r="D1036" s="89"/>
      <c r="E1036" s="278"/>
      <c r="F1036" s="100"/>
      <c r="G1036" s="100"/>
      <c r="H1036" s="100"/>
      <c r="I1036" s="267"/>
      <c r="J1036" s="101"/>
      <c r="K1036" s="101"/>
      <c r="L1036" s="101"/>
      <c r="M1036" s="101"/>
      <c r="N1036" s="101"/>
      <c r="O1036" s="101"/>
      <c r="P1036" s="75" t="s">
        <v>212</v>
      </c>
      <c r="Q1036" s="100"/>
      <c r="R1036" s="75" t="s">
        <v>212</v>
      </c>
      <c r="S1036" s="75"/>
      <c r="T1036" s="100"/>
      <c r="U1036" s="75"/>
      <c r="V1036" s="75" t="s">
        <v>212</v>
      </c>
      <c r="W1036" s="89"/>
      <c r="X1036" s="42" t="s">
        <v>212</v>
      </c>
      <c r="AQ1036" s="21" t="s">
        <v>212</v>
      </c>
      <c r="AR1036" s="86"/>
      <c r="AS1036" s="86" t="s">
        <v>212</v>
      </c>
    </row>
    <row r="1037" spans="2:45" ht="18" customHeight="1" thickBot="1" x14ac:dyDescent="0.2">
      <c r="B1037" s="42">
        <v>34</v>
      </c>
      <c r="C1037" s="89"/>
      <c r="D1037" s="89"/>
      <c r="E1037" s="277" t="s">
        <v>222</v>
      </c>
      <c r="F1037" s="390"/>
      <c r="G1037" s="391"/>
      <c r="H1037" s="392"/>
      <c r="I1037" s="266"/>
      <c r="J1037" s="20"/>
      <c r="K1037" s="98"/>
      <c r="L1037" s="20"/>
      <c r="M1037" s="98"/>
      <c r="N1037" s="20"/>
      <c r="O1037" s="98"/>
      <c r="P1037" s="75" t="s">
        <v>212</v>
      </c>
      <c r="Q1037" s="75"/>
      <c r="R1037" s="75" t="s">
        <v>212</v>
      </c>
      <c r="S1037" s="75"/>
      <c r="T1037" s="100"/>
      <c r="U1037" s="75"/>
      <c r="V1037" s="75" t="s">
        <v>212</v>
      </c>
      <c r="W1037" s="89"/>
      <c r="X1037" s="42" t="str">
        <f>IF($B1037&lt;=入力シート!$F$85,""&amp;中間シート!X769,"")</f>
        <v/>
      </c>
      <c r="AQ1037" s="81">
        <f>中間シート!E769</f>
        <v>0</v>
      </c>
      <c r="AR1037" s="86">
        <f>IF(F1037="含まれている",1,IF(F1037="含まれていない",2,0))</f>
        <v>0</v>
      </c>
      <c r="AS1037" s="86" t="str">
        <f>中間シート!P615</f>
        <v/>
      </c>
    </row>
    <row r="1038" spans="2:45" x14ac:dyDescent="0.15">
      <c r="C1038" s="89"/>
      <c r="D1038" s="89"/>
      <c r="E1038" s="280"/>
      <c r="F1038" s="101"/>
      <c r="G1038" s="101"/>
      <c r="H1038" s="101"/>
      <c r="I1038" s="101"/>
      <c r="J1038" s="101"/>
      <c r="K1038" s="101"/>
      <c r="L1038" s="101"/>
      <c r="M1038" s="100"/>
      <c r="N1038" s="75"/>
      <c r="O1038" s="75"/>
      <c r="P1038" s="101" t="s">
        <v>212</v>
      </c>
      <c r="Q1038" s="75"/>
      <c r="R1038" s="75" t="s">
        <v>212</v>
      </c>
      <c r="S1038" s="75"/>
      <c r="T1038" s="75"/>
      <c r="U1038" s="75"/>
      <c r="V1038" s="75" t="s">
        <v>212</v>
      </c>
      <c r="W1038" s="89"/>
      <c r="X1038" s="42" t="s">
        <v>212</v>
      </c>
      <c r="AQ1038" s="86" t="s">
        <v>212</v>
      </c>
      <c r="AR1038" s="86"/>
      <c r="AS1038" s="86" t="s">
        <v>212</v>
      </c>
    </row>
    <row r="1039" spans="2:45" ht="14.25" thickBot="1" x14ac:dyDescent="0.2">
      <c r="C1039" s="49"/>
      <c r="D1039" s="49"/>
      <c r="E1039" s="279"/>
      <c r="F1039" s="22"/>
      <c r="G1039" s="22"/>
      <c r="H1039" s="22"/>
      <c r="I1039" s="262"/>
      <c r="J1039" s="22"/>
      <c r="K1039" s="22"/>
      <c r="L1039" s="22"/>
      <c r="M1039" s="22"/>
      <c r="N1039" s="22"/>
      <c r="O1039" s="22"/>
      <c r="P1039" s="22" t="s">
        <v>212</v>
      </c>
      <c r="Q1039" s="78"/>
      <c r="R1039" s="22" t="s">
        <v>212</v>
      </c>
      <c r="S1039" s="22"/>
      <c r="T1039" s="78"/>
      <c r="U1039" s="78"/>
      <c r="V1039" s="22" t="s">
        <v>212</v>
      </c>
      <c r="W1039" s="49"/>
      <c r="X1039" s="42" t="s">
        <v>212</v>
      </c>
      <c r="AQ1039" s="86" t="s">
        <v>212</v>
      </c>
      <c r="AR1039" s="86"/>
      <c r="AS1039" s="86" t="s">
        <v>212</v>
      </c>
    </row>
    <row r="1040" spans="2:45" ht="18" customHeight="1" thickBot="1" x14ac:dyDescent="0.2">
      <c r="B1040" s="42">
        <v>35</v>
      </c>
      <c r="C1040" s="49"/>
      <c r="D1040" s="52" t="s">
        <v>190</v>
      </c>
      <c r="E1040" s="275" t="s">
        <v>220</v>
      </c>
      <c r="F1040" s="390"/>
      <c r="G1040" s="391"/>
      <c r="H1040" s="392"/>
      <c r="I1040" s="263"/>
      <c r="J1040" s="20"/>
      <c r="K1040" s="30"/>
      <c r="L1040" s="20"/>
      <c r="M1040" s="30"/>
      <c r="N1040" s="20"/>
      <c r="O1040" s="30"/>
      <c r="P1040" s="283">
        <f>中間シート!D854</f>
        <v>0</v>
      </c>
      <c r="Q1040" s="78"/>
      <c r="R1040" s="283">
        <f>中間シート!G854</f>
        <v>0</v>
      </c>
      <c r="S1040" s="78"/>
      <c r="T1040" s="97" t="s">
        <v>95</v>
      </c>
      <c r="U1040" s="78"/>
      <c r="V1040" s="283">
        <f>中間シート!H854</f>
        <v>0</v>
      </c>
      <c r="W1040" s="49"/>
      <c r="X1040" s="42" t="str">
        <f>IF($B1040&lt;=入力シート!$F$85,""&amp;中間シート!X770,"")</f>
        <v/>
      </c>
      <c r="AQ1040" s="81">
        <f>中間シート!E770</f>
        <v>0</v>
      </c>
      <c r="AR1040" s="86">
        <f>IF(F1040="含まれている",1,IF(F1040="含まれていない",2,0))</f>
        <v>0</v>
      </c>
      <c r="AS1040" s="86" t="str">
        <f>中間シート!P616</f>
        <v/>
      </c>
    </row>
    <row r="1041" spans="2:45" ht="5.0999999999999996" customHeight="1" thickBot="1" x14ac:dyDescent="0.2">
      <c r="C1041" s="49"/>
      <c r="D1041" s="49"/>
      <c r="E1041" s="276"/>
      <c r="F1041" s="22"/>
      <c r="G1041" s="22"/>
      <c r="H1041" s="22"/>
      <c r="I1041" s="262"/>
      <c r="J1041" s="31"/>
      <c r="K1041" s="31"/>
      <c r="L1041" s="31"/>
      <c r="M1041" s="31"/>
      <c r="N1041" s="31"/>
      <c r="O1041" s="31"/>
      <c r="P1041" s="78" t="s">
        <v>212</v>
      </c>
      <c r="Q1041" s="22"/>
      <c r="R1041" s="78" t="s">
        <v>212</v>
      </c>
      <c r="S1041" s="78"/>
      <c r="T1041" s="22"/>
      <c r="U1041" s="78"/>
      <c r="V1041" s="78" t="s">
        <v>212</v>
      </c>
      <c r="W1041" s="49"/>
      <c r="X1041" s="42" t="s">
        <v>212</v>
      </c>
      <c r="AQ1041" s="86" t="s">
        <v>212</v>
      </c>
      <c r="AR1041" s="86"/>
      <c r="AS1041" s="86" t="s">
        <v>212</v>
      </c>
    </row>
    <row r="1042" spans="2:45" ht="18" customHeight="1" thickBot="1" x14ac:dyDescent="0.2">
      <c r="B1042" s="42">
        <v>35</v>
      </c>
      <c r="C1042" s="49"/>
      <c r="D1042" s="49"/>
      <c r="E1042" s="275" t="s">
        <v>221</v>
      </c>
      <c r="F1042" s="390"/>
      <c r="G1042" s="391"/>
      <c r="H1042" s="392"/>
      <c r="I1042" s="263"/>
      <c r="J1042" s="20"/>
      <c r="K1042" s="30"/>
      <c r="L1042" s="20"/>
      <c r="M1042" s="30"/>
      <c r="N1042" s="20"/>
      <c r="O1042" s="30"/>
      <c r="P1042" s="78" t="s">
        <v>212</v>
      </c>
      <c r="Q1042" s="78"/>
      <c r="R1042" s="78" t="s">
        <v>212</v>
      </c>
      <c r="S1042" s="78"/>
      <c r="T1042" s="22"/>
      <c r="U1042" s="78"/>
      <c r="V1042" s="78" t="s">
        <v>212</v>
      </c>
      <c r="W1042" s="49"/>
      <c r="X1042" s="42" t="str">
        <f>IF($B1042&lt;=入力シート!$F$85,""&amp;中間シート!X771,"")</f>
        <v/>
      </c>
      <c r="AQ1042" s="81">
        <f>中間シート!E771</f>
        <v>0</v>
      </c>
      <c r="AR1042" s="86">
        <f>IF(F1042="含まれている",1,IF(F1042="含まれていない",2,0))</f>
        <v>0</v>
      </c>
      <c r="AS1042" s="86" t="str">
        <f>中間シート!P617</f>
        <v/>
      </c>
    </row>
    <row r="1043" spans="2:45" ht="5.0999999999999996" customHeight="1" thickBot="1" x14ac:dyDescent="0.2">
      <c r="C1043" s="49"/>
      <c r="D1043" s="49"/>
      <c r="E1043" s="276"/>
      <c r="F1043" s="22"/>
      <c r="G1043" s="22"/>
      <c r="H1043" s="22"/>
      <c r="I1043" s="262"/>
      <c r="J1043" s="31"/>
      <c r="K1043" s="31"/>
      <c r="L1043" s="31"/>
      <c r="M1043" s="31"/>
      <c r="N1043" s="31"/>
      <c r="O1043" s="31"/>
      <c r="P1043" s="78" t="s">
        <v>212</v>
      </c>
      <c r="Q1043" s="22"/>
      <c r="R1043" s="78" t="s">
        <v>212</v>
      </c>
      <c r="S1043" s="78"/>
      <c r="T1043" s="22"/>
      <c r="U1043" s="78"/>
      <c r="V1043" s="78" t="s">
        <v>212</v>
      </c>
      <c r="W1043" s="49"/>
      <c r="X1043" s="42" t="s">
        <v>212</v>
      </c>
      <c r="AQ1043" s="21" t="s">
        <v>212</v>
      </c>
      <c r="AR1043" s="86"/>
      <c r="AS1043" s="86" t="s">
        <v>212</v>
      </c>
    </row>
    <row r="1044" spans="2:45" ht="18" customHeight="1" thickBot="1" x14ac:dyDescent="0.2">
      <c r="B1044" s="42">
        <v>35</v>
      </c>
      <c r="C1044" s="49"/>
      <c r="D1044" s="49"/>
      <c r="E1044" s="275" t="s">
        <v>222</v>
      </c>
      <c r="F1044" s="390"/>
      <c r="G1044" s="391"/>
      <c r="H1044" s="392"/>
      <c r="I1044" s="263"/>
      <c r="J1044" s="20"/>
      <c r="K1044" s="30"/>
      <c r="L1044" s="20"/>
      <c r="M1044" s="30"/>
      <c r="N1044" s="20"/>
      <c r="O1044" s="30"/>
      <c r="P1044" s="78" t="s">
        <v>212</v>
      </c>
      <c r="Q1044" s="78"/>
      <c r="R1044" s="78" t="s">
        <v>212</v>
      </c>
      <c r="S1044" s="78"/>
      <c r="T1044" s="22"/>
      <c r="U1044" s="78"/>
      <c r="V1044" s="78" t="s">
        <v>212</v>
      </c>
      <c r="W1044" s="49"/>
      <c r="X1044" s="42" t="str">
        <f>IF($B1044&lt;=入力シート!$F$85,""&amp;中間シート!X772,"")</f>
        <v/>
      </c>
      <c r="AQ1044" s="81">
        <f>中間シート!E772</f>
        <v>0</v>
      </c>
      <c r="AR1044" s="86">
        <f>IF(F1044="含まれている",1,IF(F1044="含まれていない",2,0))</f>
        <v>0</v>
      </c>
      <c r="AS1044" s="86" t="str">
        <f>中間シート!P618</f>
        <v/>
      </c>
    </row>
    <row r="1045" spans="2:45" x14ac:dyDescent="0.15">
      <c r="C1045" s="49"/>
      <c r="D1045" s="49"/>
      <c r="E1045" s="55"/>
      <c r="F1045" s="31"/>
      <c r="G1045" s="31"/>
      <c r="H1045" s="31"/>
      <c r="I1045" s="31"/>
      <c r="J1045" s="31"/>
      <c r="K1045" s="31"/>
      <c r="L1045" s="31"/>
      <c r="M1045" s="22"/>
      <c r="N1045" s="78"/>
      <c r="O1045" s="78"/>
      <c r="P1045" s="31" t="s">
        <v>212</v>
      </c>
      <c r="Q1045" s="78"/>
      <c r="R1045" s="78" t="s">
        <v>212</v>
      </c>
      <c r="S1045" s="78"/>
      <c r="T1045" s="78"/>
      <c r="U1045" s="78"/>
      <c r="V1045" s="78" t="s">
        <v>212</v>
      </c>
      <c r="W1045" s="49"/>
      <c r="X1045" s="42" t="s">
        <v>212</v>
      </c>
      <c r="AQ1045" s="86" t="s">
        <v>212</v>
      </c>
      <c r="AR1045" s="86"/>
      <c r="AS1045" s="86" t="s">
        <v>212</v>
      </c>
    </row>
    <row r="1046" spans="2:45" ht="14.25" thickBot="1" x14ac:dyDescent="0.2">
      <c r="C1046" s="89"/>
      <c r="D1046" s="89"/>
      <c r="E1046" s="280"/>
      <c r="F1046" s="89"/>
      <c r="G1046" s="89"/>
      <c r="H1046" s="89"/>
      <c r="I1046" s="265"/>
      <c r="J1046" s="89"/>
      <c r="K1046" s="89"/>
      <c r="L1046" s="89"/>
      <c r="M1046" s="89"/>
      <c r="N1046" s="89"/>
      <c r="O1046" s="89"/>
      <c r="P1046" s="89" t="s">
        <v>212</v>
      </c>
      <c r="Q1046" s="89"/>
      <c r="R1046" s="89" t="s">
        <v>212</v>
      </c>
      <c r="S1046" s="89"/>
      <c r="T1046" s="89"/>
      <c r="U1046" s="89"/>
      <c r="V1046" s="89" t="s">
        <v>212</v>
      </c>
      <c r="W1046" s="89"/>
      <c r="X1046" s="42" t="s">
        <v>212</v>
      </c>
      <c r="AQ1046" s="86" t="s">
        <v>212</v>
      </c>
      <c r="AR1046" s="86"/>
      <c r="AS1046" s="86" t="s">
        <v>212</v>
      </c>
    </row>
    <row r="1047" spans="2:45" ht="18" customHeight="1" thickBot="1" x14ac:dyDescent="0.2">
      <c r="B1047" s="42">
        <v>36</v>
      </c>
      <c r="C1047" s="89"/>
      <c r="D1047" s="91" t="s">
        <v>191</v>
      </c>
      <c r="E1047" s="277" t="s">
        <v>220</v>
      </c>
      <c r="F1047" s="390"/>
      <c r="G1047" s="391"/>
      <c r="H1047" s="392"/>
      <c r="I1047" s="266"/>
      <c r="J1047" s="20"/>
      <c r="K1047" s="98"/>
      <c r="L1047" s="20"/>
      <c r="M1047" s="98"/>
      <c r="N1047" s="20"/>
      <c r="O1047" s="98"/>
      <c r="P1047" s="283">
        <f>中間シート!D855</f>
        <v>0</v>
      </c>
      <c r="Q1047" s="75"/>
      <c r="R1047" s="283">
        <f>中間シート!G855</f>
        <v>0</v>
      </c>
      <c r="S1047" s="75"/>
      <c r="T1047" s="99" t="s">
        <v>95</v>
      </c>
      <c r="U1047" s="75"/>
      <c r="V1047" s="283">
        <f>中間シート!H855</f>
        <v>0</v>
      </c>
      <c r="W1047" s="89"/>
      <c r="X1047" s="42" t="str">
        <f>IF($B1047&lt;=入力シート!$F$85,""&amp;中間シート!X773,"")</f>
        <v/>
      </c>
      <c r="AQ1047" s="81">
        <f>中間シート!E773</f>
        <v>0</v>
      </c>
      <c r="AR1047" s="86">
        <f>IF(F1047="含まれている",1,IF(F1047="含まれていない",2,0))</f>
        <v>0</v>
      </c>
      <c r="AS1047" s="86" t="str">
        <f>中間シート!P619</f>
        <v/>
      </c>
    </row>
    <row r="1048" spans="2:45" ht="5.0999999999999996" customHeight="1" thickBot="1" x14ac:dyDescent="0.2">
      <c r="C1048" s="89"/>
      <c r="D1048" s="89"/>
      <c r="E1048" s="278"/>
      <c r="F1048" s="100"/>
      <c r="G1048" s="100"/>
      <c r="H1048" s="100"/>
      <c r="I1048" s="267"/>
      <c r="J1048" s="101"/>
      <c r="K1048" s="101"/>
      <c r="L1048" s="101"/>
      <c r="M1048" s="101"/>
      <c r="N1048" s="101"/>
      <c r="O1048" s="101"/>
      <c r="P1048" s="75" t="s">
        <v>212</v>
      </c>
      <c r="Q1048" s="100"/>
      <c r="R1048" s="75" t="s">
        <v>212</v>
      </c>
      <c r="S1048" s="75"/>
      <c r="T1048" s="100"/>
      <c r="U1048" s="75"/>
      <c r="V1048" s="75" t="s">
        <v>212</v>
      </c>
      <c r="W1048" s="89"/>
      <c r="X1048" s="42" t="s">
        <v>212</v>
      </c>
      <c r="AQ1048" s="86" t="s">
        <v>212</v>
      </c>
      <c r="AR1048" s="86"/>
      <c r="AS1048" s="86" t="s">
        <v>212</v>
      </c>
    </row>
    <row r="1049" spans="2:45" ht="18" customHeight="1" thickBot="1" x14ac:dyDescent="0.2">
      <c r="B1049" s="42">
        <v>36</v>
      </c>
      <c r="C1049" s="89"/>
      <c r="D1049" s="89"/>
      <c r="E1049" s="277" t="s">
        <v>221</v>
      </c>
      <c r="F1049" s="390"/>
      <c r="G1049" s="391"/>
      <c r="H1049" s="392"/>
      <c r="I1049" s="266"/>
      <c r="J1049" s="20"/>
      <c r="K1049" s="98"/>
      <c r="L1049" s="20"/>
      <c r="M1049" s="98"/>
      <c r="N1049" s="20"/>
      <c r="O1049" s="98"/>
      <c r="P1049" s="75" t="s">
        <v>212</v>
      </c>
      <c r="Q1049" s="75"/>
      <c r="R1049" s="75" t="s">
        <v>212</v>
      </c>
      <c r="S1049" s="75"/>
      <c r="T1049" s="100"/>
      <c r="U1049" s="75"/>
      <c r="V1049" s="75" t="s">
        <v>212</v>
      </c>
      <c r="W1049" s="89"/>
      <c r="X1049" s="42" t="str">
        <f>IF($B1049&lt;=入力シート!$F$85,""&amp;中間シート!X774,"")</f>
        <v/>
      </c>
      <c r="AQ1049" s="81">
        <f>中間シート!E774</f>
        <v>0</v>
      </c>
      <c r="AR1049" s="86">
        <f>IF(F1049="含まれている",1,IF(F1049="含まれていない",2,0))</f>
        <v>0</v>
      </c>
      <c r="AS1049" s="86" t="str">
        <f>中間シート!P620</f>
        <v/>
      </c>
    </row>
    <row r="1050" spans="2:45" ht="5.0999999999999996" customHeight="1" thickBot="1" x14ac:dyDescent="0.2">
      <c r="C1050" s="89"/>
      <c r="D1050" s="89"/>
      <c r="E1050" s="278"/>
      <c r="F1050" s="100"/>
      <c r="G1050" s="100"/>
      <c r="H1050" s="100"/>
      <c r="I1050" s="267"/>
      <c r="J1050" s="101"/>
      <c r="K1050" s="101"/>
      <c r="L1050" s="101"/>
      <c r="M1050" s="101"/>
      <c r="N1050" s="101"/>
      <c r="O1050" s="101"/>
      <c r="P1050" s="75" t="s">
        <v>212</v>
      </c>
      <c r="Q1050" s="100"/>
      <c r="R1050" s="75" t="s">
        <v>212</v>
      </c>
      <c r="S1050" s="75"/>
      <c r="T1050" s="100"/>
      <c r="U1050" s="75"/>
      <c r="V1050" s="75" t="s">
        <v>212</v>
      </c>
      <c r="W1050" s="89"/>
      <c r="X1050" s="42" t="s">
        <v>212</v>
      </c>
      <c r="AQ1050" s="21" t="s">
        <v>212</v>
      </c>
      <c r="AR1050" s="86"/>
      <c r="AS1050" s="86" t="s">
        <v>212</v>
      </c>
    </row>
    <row r="1051" spans="2:45" ht="18" customHeight="1" thickBot="1" x14ac:dyDescent="0.2">
      <c r="B1051" s="42">
        <v>36</v>
      </c>
      <c r="C1051" s="89"/>
      <c r="D1051" s="89"/>
      <c r="E1051" s="277" t="s">
        <v>222</v>
      </c>
      <c r="F1051" s="390"/>
      <c r="G1051" s="391"/>
      <c r="H1051" s="392"/>
      <c r="I1051" s="266"/>
      <c r="J1051" s="20"/>
      <c r="K1051" s="98"/>
      <c r="L1051" s="20"/>
      <c r="M1051" s="98"/>
      <c r="N1051" s="20"/>
      <c r="O1051" s="98"/>
      <c r="P1051" s="75" t="s">
        <v>212</v>
      </c>
      <c r="Q1051" s="75"/>
      <c r="R1051" s="75" t="s">
        <v>212</v>
      </c>
      <c r="S1051" s="75"/>
      <c r="T1051" s="100"/>
      <c r="U1051" s="75"/>
      <c r="V1051" s="75" t="s">
        <v>212</v>
      </c>
      <c r="W1051" s="89"/>
      <c r="X1051" s="42" t="str">
        <f>IF($B1051&lt;=入力シート!$F$85,""&amp;中間シート!X775,"")</f>
        <v/>
      </c>
      <c r="AQ1051" s="81">
        <f>中間シート!E775</f>
        <v>0</v>
      </c>
      <c r="AR1051" s="86">
        <f>IF(F1051="含まれている",1,IF(F1051="含まれていない",2,0))</f>
        <v>0</v>
      </c>
      <c r="AS1051" s="86" t="str">
        <f>中間シート!P621</f>
        <v/>
      </c>
    </row>
    <row r="1052" spans="2:45" x14ac:dyDescent="0.15">
      <c r="C1052" s="89"/>
      <c r="D1052" s="89"/>
      <c r="E1052" s="280"/>
      <c r="F1052" s="101"/>
      <c r="G1052" s="101"/>
      <c r="H1052" s="101"/>
      <c r="I1052" s="101"/>
      <c r="J1052" s="101"/>
      <c r="K1052" s="101"/>
      <c r="L1052" s="101"/>
      <c r="M1052" s="100"/>
      <c r="N1052" s="75"/>
      <c r="O1052" s="75"/>
      <c r="P1052" s="101" t="s">
        <v>212</v>
      </c>
      <c r="Q1052" s="75"/>
      <c r="R1052" s="75" t="s">
        <v>212</v>
      </c>
      <c r="S1052" s="75"/>
      <c r="T1052" s="75"/>
      <c r="U1052" s="75"/>
      <c r="V1052" s="75" t="s">
        <v>212</v>
      </c>
      <c r="W1052" s="89"/>
      <c r="X1052" s="42" t="s">
        <v>212</v>
      </c>
      <c r="AQ1052" s="86" t="s">
        <v>212</v>
      </c>
      <c r="AR1052" s="86"/>
      <c r="AS1052" s="86" t="s">
        <v>212</v>
      </c>
    </row>
    <row r="1053" spans="2:45" ht="14.25" thickBot="1" x14ac:dyDescent="0.2">
      <c r="C1053" s="49"/>
      <c r="D1053" s="49"/>
      <c r="E1053" s="279"/>
      <c r="F1053" s="22"/>
      <c r="G1053" s="22"/>
      <c r="H1053" s="22"/>
      <c r="I1053" s="262"/>
      <c r="J1053" s="22"/>
      <c r="K1053" s="22"/>
      <c r="L1053" s="22"/>
      <c r="M1053" s="22"/>
      <c r="N1053" s="22"/>
      <c r="O1053" s="22"/>
      <c r="P1053" s="22" t="s">
        <v>212</v>
      </c>
      <c r="Q1053" s="78"/>
      <c r="R1053" s="22" t="s">
        <v>212</v>
      </c>
      <c r="S1053" s="22"/>
      <c r="T1053" s="78"/>
      <c r="U1053" s="78"/>
      <c r="V1053" s="22" t="s">
        <v>212</v>
      </c>
      <c r="W1053" s="49"/>
      <c r="X1053" s="42" t="s">
        <v>212</v>
      </c>
      <c r="AQ1053" s="86" t="s">
        <v>212</v>
      </c>
      <c r="AR1053" s="86"/>
      <c r="AS1053" s="86" t="s">
        <v>212</v>
      </c>
    </row>
    <row r="1054" spans="2:45" ht="18" customHeight="1" thickBot="1" x14ac:dyDescent="0.2">
      <c r="B1054" s="42">
        <v>37</v>
      </c>
      <c r="C1054" s="49"/>
      <c r="D1054" s="52" t="s">
        <v>192</v>
      </c>
      <c r="E1054" s="275" t="s">
        <v>220</v>
      </c>
      <c r="F1054" s="390"/>
      <c r="G1054" s="391"/>
      <c r="H1054" s="392"/>
      <c r="I1054" s="263"/>
      <c r="J1054" s="20"/>
      <c r="K1054" s="30"/>
      <c r="L1054" s="20"/>
      <c r="M1054" s="30"/>
      <c r="N1054" s="20"/>
      <c r="O1054" s="30"/>
      <c r="P1054" s="283">
        <f>中間シート!D856</f>
        <v>0</v>
      </c>
      <c r="Q1054" s="78"/>
      <c r="R1054" s="283">
        <f>中間シート!G856</f>
        <v>0</v>
      </c>
      <c r="S1054" s="78"/>
      <c r="T1054" s="97" t="s">
        <v>95</v>
      </c>
      <c r="U1054" s="78"/>
      <c r="V1054" s="283">
        <f>中間シート!H856</f>
        <v>0</v>
      </c>
      <c r="W1054" s="49"/>
      <c r="X1054" s="42" t="str">
        <f>IF($B1054&lt;=入力シート!$F$85,""&amp;中間シート!X776,"")</f>
        <v/>
      </c>
      <c r="AQ1054" s="81">
        <f>中間シート!E776</f>
        <v>0</v>
      </c>
      <c r="AR1054" s="86">
        <f>IF(F1054="含まれている",1,IF(F1054="含まれていない",2,0))</f>
        <v>0</v>
      </c>
      <c r="AS1054" s="86" t="str">
        <f>中間シート!P622</f>
        <v/>
      </c>
    </row>
    <row r="1055" spans="2:45" ht="5.0999999999999996" customHeight="1" thickBot="1" x14ac:dyDescent="0.2">
      <c r="C1055" s="49"/>
      <c r="D1055" s="49"/>
      <c r="E1055" s="276"/>
      <c r="F1055" s="22"/>
      <c r="G1055" s="22"/>
      <c r="H1055" s="22"/>
      <c r="I1055" s="262"/>
      <c r="J1055" s="31"/>
      <c r="K1055" s="31"/>
      <c r="L1055" s="31"/>
      <c r="M1055" s="31"/>
      <c r="N1055" s="31"/>
      <c r="O1055" s="31"/>
      <c r="P1055" s="78" t="s">
        <v>212</v>
      </c>
      <c r="Q1055" s="22"/>
      <c r="R1055" s="78" t="s">
        <v>212</v>
      </c>
      <c r="S1055" s="78"/>
      <c r="T1055" s="22"/>
      <c r="U1055" s="78"/>
      <c r="V1055" s="78" t="s">
        <v>212</v>
      </c>
      <c r="W1055" s="49"/>
      <c r="X1055" s="42" t="s">
        <v>212</v>
      </c>
      <c r="AQ1055" s="86" t="s">
        <v>212</v>
      </c>
      <c r="AR1055" s="86"/>
      <c r="AS1055" s="86" t="s">
        <v>212</v>
      </c>
    </row>
    <row r="1056" spans="2:45" ht="18" customHeight="1" thickBot="1" x14ac:dyDescent="0.2">
      <c r="B1056" s="42">
        <v>37</v>
      </c>
      <c r="C1056" s="49"/>
      <c r="D1056" s="49"/>
      <c r="E1056" s="275" t="s">
        <v>221</v>
      </c>
      <c r="F1056" s="390"/>
      <c r="G1056" s="391"/>
      <c r="H1056" s="392"/>
      <c r="I1056" s="263"/>
      <c r="J1056" s="20"/>
      <c r="K1056" s="30"/>
      <c r="L1056" s="20"/>
      <c r="M1056" s="30"/>
      <c r="N1056" s="20"/>
      <c r="O1056" s="30"/>
      <c r="P1056" s="78" t="s">
        <v>212</v>
      </c>
      <c r="Q1056" s="78"/>
      <c r="R1056" s="78" t="s">
        <v>212</v>
      </c>
      <c r="S1056" s="78"/>
      <c r="T1056" s="22"/>
      <c r="U1056" s="78"/>
      <c r="V1056" s="78" t="s">
        <v>212</v>
      </c>
      <c r="W1056" s="49"/>
      <c r="X1056" s="42" t="str">
        <f>IF($B1056&lt;=入力シート!$F$85,""&amp;中間シート!X777,"")</f>
        <v/>
      </c>
      <c r="AQ1056" s="81">
        <f>中間シート!E777</f>
        <v>0</v>
      </c>
      <c r="AR1056" s="86">
        <f>IF(F1056="含まれている",1,IF(F1056="含まれていない",2,0))</f>
        <v>0</v>
      </c>
      <c r="AS1056" s="86" t="str">
        <f>中間シート!P623</f>
        <v/>
      </c>
    </row>
    <row r="1057" spans="2:45" ht="5.0999999999999996" customHeight="1" thickBot="1" x14ac:dyDescent="0.2">
      <c r="C1057" s="49"/>
      <c r="D1057" s="49"/>
      <c r="E1057" s="276"/>
      <c r="F1057" s="22"/>
      <c r="G1057" s="22"/>
      <c r="H1057" s="22"/>
      <c r="I1057" s="262"/>
      <c r="J1057" s="31"/>
      <c r="K1057" s="31"/>
      <c r="L1057" s="31"/>
      <c r="M1057" s="31"/>
      <c r="N1057" s="31"/>
      <c r="O1057" s="31"/>
      <c r="P1057" s="78" t="s">
        <v>212</v>
      </c>
      <c r="Q1057" s="22"/>
      <c r="R1057" s="78" t="s">
        <v>212</v>
      </c>
      <c r="S1057" s="78"/>
      <c r="T1057" s="22"/>
      <c r="U1057" s="78"/>
      <c r="V1057" s="78" t="s">
        <v>212</v>
      </c>
      <c r="W1057" s="49"/>
      <c r="X1057" s="42" t="s">
        <v>212</v>
      </c>
      <c r="AQ1057" s="21" t="s">
        <v>212</v>
      </c>
      <c r="AR1057" s="86"/>
      <c r="AS1057" s="86" t="s">
        <v>212</v>
      </c>
    </row>
    <row r="1058" spans="2:45" ht="18" customHeight="1" thickBot="1" x14ac:dyDescent="0.2">
      <c r="B1058" s="42">
        <v>37</v>
      </c>
      <c r="C1058" s="49"/>
      <c r="D1058" s="49"/>
      <c r="E1058" s="275" t="s">
        <v>222</v>
      </c>
      <c r="F1058" s="390"/>
      <c r="G1058" s="391"/>
      <c r="H1058" s="392"/>
      <c r="I1058" s="263"/>
      <c r="J1058" s="20"/>
      <c r="K1058" s="30"/>
      <c r="L1058" s="20"/>
      <c r="M1058" s="30"/>
      <c r="N1058" s="20"/>
      <c r="O1058" s="30"/>
      <c r="P1058" s="78" t="s">
        <v>212</v>
      </c>
      <c r="Q1058" s="78"/>
      <c r="R1058" s="78" t="s">
        <v>212</v>
      </c>
      <c r="S1058" s="78"/>
      <c r="T1058" s="22"/>
      <c r="U1058" s="78"/>
      <c r="V1058" s="78" t="s">
        <v>212</v>
      </c>
      <c r="W1058" s="49"/>
      <c r="X1058" s="42" t="str">
        <f>IF($B1058&lt;=入力シート!$F$85,""&amp;中間シート!X778,"")</f>
        <v/>
      </c>
      <c r="AQ1058" s="81">
        <f>中間シート!E778</f>
        <v>0</v>
      </c>
      <c r="AR1058" s="86">
        <f>IF(F1058="含まれている",1,IF(F1058="含まれていない",2,0))</f>
        <v>0</v>
      </c>
      <c r="AS1058" s="86" t="str">
        <f>中間シート!P624</f>
        <v/>
      </c>
    </row>
    <row r="1059" spans="2:45" x14ac:dyDescent="0.15">
      <c r="C1059" s="49"/>
      <c r="D1059" s="49"/>
      <c r="E1059" s="55"/>
      <c r="F1059" s="31"/>
      <c r="G1059" s="31"/>
      <c r="H1059" s="31"/>
      <c r="I1059" s="31"/>
      <c r="J1059" s="31"/>
      <c r="K1059" s="31"/>
      <c r="L1059" s="31"/>
      <c r="M1059" s="22"/>
      <c r="N1059" s="78"/>
      <c r="O1059" s="78"/>
      <c r="P1059" s="31" t="s">
        <v>212</v>
      </c>
      <c r="Q1059" s="78"/>
      <c r="R1059" s="78" t="s">
        <v>212</v>
      </c>
      <c r="S1059" s="78"/>
      <c r="T1059" s="78"/>
      <c r="U1059" s="78"/>
      <c r="V1059" s="78" t="s">
        <v>212</v>
      </c>
      <c r="W1059" s="49"/>
      <c r="X1059" s="42" t="s">
        <v>212</v>
      </c>
      <c r="AQ1059" s="86" t="s">
        <v>212</v>
      </c>
      <c r="AR1059" s="86"/>
      <c r="AS1059" s="86" t="s">
        <v>212</v>
      </c>
    </row>
    <row r="1060" spans="2:45" ht="14.25" thickBot="1" x14ac:dyDescent="0.2">
      <c r="C1060" s="89"/>
      <c r="D1060" s="89"/>
      <c r="E1060" s="280"/>
      <c r="F1060" s="89"/>
      <c r="G1060" s="89"/>
      <c r="H1060" s="89"/>
      <c r="I1060" s="265"/>
      <c r="J1060" s="89"/>
      <c r="K1060" s="89"/>
      <c r="L1060" s="89"/>
      <c r="M1060" s="89"/>
      <c r="N1060" s="89"/>
      <c r="O1060" s="89"/>
      <c r="P1060" s="89" t="s">
        <v>212</v>
      </c>
      <c r="Q1060" s="89"/>
      <c r="R1060" s="89" t="s">
        <v>212</v>
      </c>
      <c r="S1060" s="89"/>
      <c r="T1060" s="89"/>
      <c r="U1060" s="89"/>
      <c r="V1060" s="89" t="s">
        <v>212</v>
      </c>
      <c r="W1060" s="89"/>
      <c r="X1060" s="42" t="s">
        <v>212</v>
      </c>
      <c r="AQ1060" s="86" t="s">
        <v>212</v>
      </c>
      <c r="AR1060" s="86"/>
      <c r="AS1060" s="86" t="s">
        <v>212</v>
      </c>
    </row>
    <row r="1061" spans="2:45" ht="18" customHeight="1" thickBot="1" x14ac:dyDescent="0.2">
      <c r="B1061" s="42">
        <v>38</v>
      </c>
      <c r="C1061" s="89"/>
      <c r="D1061" s="91" t="s">
        <v>193</v>
      </c>
      <c r="E1061" s="277" t="s">
        <v>220</v>
      </c>
      <c r="F1061" s="390"/>
      <c r="G1061" s="391"/>
      <c r="H1061" s="392"/>
      <c r="I1061" s="266"/>
      <c r="J1061" s="20"/>
      <c r="K1061" s="98"/>
      <c r="L1061" s="20"/>
      <c r="M1061" s="98"/>
      <c r="N1061" s="20"/>
      <c r="O1061" s="98"/>
      <c r="P1061" s="283">
        <f>中間シート!D857</f>
        <v>0</v>
      </c>
      <c r="Q1061" s="75"/>
      <c r="R1061" s="283">
        <f>中間シート!G857</f>
        <v>0</v>
      </c>
      <c r="S1061" s="75"/>
      <c r="T1061" s="99" t="s">
        <v>95</v>
      </c>
      <c r="U1061" s="75"/>
      <c r="V1061" s="283">
        <f>中間シート!H857</f>
        <v>0</v>
      </c>
      <c r="W1061" s="89"/>
      <c r="X1061" s="42" t="str">
        <f>IF($B1061&lt;=入力シート!$F$85,""&amp;中間シート!X779,"")</f>
        <v/>
      </c>
      <c r="AQ1061" s="81">
        <f>中間シート!E779</f>
        <v>0</v>
      </c>
      <c r="AR1061" s="86">
        <f>IF(F1061="含まれている",1,IF(F1061="含まれていない",2,0))</f>
        <v>0</v>
      </c>
      <c r="AS1061" s="86" t="str">
        <f>中間シート!P625</f>
        <v/>
      </c>
    </row>
    <row r="1062" spans="2:45" ht="5.0999999999999996" customHeight="1" thickBot="1" x14ac:dyDescent="0.2">
      <c r="C1062" s="89"/>
      <c r="D1062" s="89"/>
      <c r="E1062" s="278"/>
      <c r="F1062" s="100"/>
      <c r="G1062" s="100"/>
      <c r="H1062" s="100"/>
      <c r="I1062" s="267"/>
      <c r="J1062" s="101"/>
      <c r="K1062" s="101"/>
      <c r="L1062" s="101"/>
      <c r="M1062" s="101"/>
      <c r="N1062" s="101"/>
      <c r="O1062" s="101"/>
      <c r="P1062" s="75" t="s">
        <v>212</v>
      </c>
      <c r="Q1062" s="100"/>
      <c r="R1062" s="75" t="s">
        <v>212</v>
      </c>
      <c r="S1062" s="75"/>
      <c r="T1062" s="100"/>
      <c r="U1062" s="75"/>
      <c r="V1062" s="75" t="s">
        <v>212</v>
      </c>
      <c r="W1062" s="89"/>
      <c r="X1062" s="42" t="s">
        <v>212</v>
      </c>
      <c r="AQ1062" s="86" t="s">
        <v>212</v>
      </c>
      <c r="AR1062" s="86"/>
      <c r="AS1062" s="86" t="s">
        <v>212</v>
      </c>
    </row>
    <row r="1063" spans="2:45" ht="18" customHeight="1" thickBot="1" x14ac:dyDescent="0.2">
      <c r="B1063" s="42">
        <v>38</v>
      </c>
      <c r="C1063" s="89"/>
      <c r="D1063" s="89"/>
      <c r="E1063" s="277" t="s">
        <v>221</v>
      </c>
      <c r="F1063" s="390"/>
      <c r="G1063" s="391"/>
      <c r="H1063" s="392"/>
      <c r="I1063" s="266"/>
      <c r="J1063" s="20"/>
      <c r="K1063" s="98"/>
      <c r="L1063" s="20"/>
      <c r="M1063" s="98"/>
      <c r="N1063" s="20"/>
      <c r="O1063" s="98"/>
      <c r="P1063" s="75" t="s">
        <v>212</v>
      </c>
      <c r="Q1063" s="75"/>
      <c r="R1063" s="75" t="s">
        <v>212</v>
      </c>
      <c r="S1063" s="75"/>
      <c r="T1063" s="100"/>
      <c r="U1063" s="75"/>
      <c r="V1063" s="75" t="s">
        <v>212</v>
      </c>
      <c r="W1063" s="89"/>
      <c r="X1063" s="42" t="str">
        <f>IF($B1063&lt;=入力シート!$F$85,""&amp;中間シート!X780,"")</f>
        <v/>
      </c>
      <c r="AQ1063" s="81">
        <f>中間シート!E780</f>
        <v>0</v>
      </c>
      <c r="AR1063" s="86">
        <f>IF(F1063="含まれている",1,IF(F1063="含まれていない",2,0))</f>
        <v>0</v>
      </c>
      <c r="AS1063" s="86" t="str">
        <f>中間シート!P626</f>
        <v/>
      </c>
    </row>
    <row r="1064" spans="2:45" ht="5.0999999999999996" customHeight="1" thickBot="1" x14ac:dyDescent="0.2">
      <c r="C1064" s="89"/>
      <c r="D1064" s="89"/>
      <c r="E1064" s="278"/>
      <c r="F1064" s="100"/>
      <c r="G1064" s="100"/>
      <c r="H1064" s="100"/>
      <c r="I1064" s="267"/>
      <c r="J1064" s="101"/>
      <c r="K1064" s="101"/>
      <c r="L1064" s="101"/>
      <c r="M1064" s="101"/>
      <c r="N1064" s="101"/>
      <c r="O1064" s="101"/>
      <c r="P1064" s="75" t="s">
        <v>212</v>
      </c>
      <c r="Q1064" s="100"/>
      <c r="R1064" s="75" t="s">
        <v>212</v>
      </c>
      <c r="S1064" s="75"/>
      <c r="T1064" s="100"/>
      <c r="U1064" s="75"/>
      <c r="V1064" s="75" t="s">
        <v>212</v>
      </c>
      <c r="W1064" s="89"/>
      <c r="X1064" s="42" t="s">
        <v>212</v>
      </c>
      <c r="AQ1064" s="21" t="s">
        <v>212</v>
      </c>
      <c r="AR1064" s="86"/>
      <c r="AS1064" s="86" t="s">
        <v>212</v>
      </c>
    </row>
    <row r="1065" spans="2:45" ht="18" customHeight="1" thickBot="1" x14ac:dyDescent="0.2">
      <c r="B1065" s="42">
        <v>38</v>
      </c>
      <c r="C1065" s="89"/>
      <c r="D1065" s="89"/>
      <c r="E1065" s="277" t="s">
        <v>222</v>
      </c>
      <c r="F1065" s="390"/>
      <c r="G1065" s="391"/>
      <c r="H1065" s="392"/>
      <c r="I1065" s="266"/>
      <c r="J1065" s="20"/>
      <c r="K1065" s="98"/>
      <c r="L1065" s="20"/>
      <c r="M1065" s="98"/>
      <c r="N1065" s="20"/>
      <c r="O1065" s="98"/>
      <c r="P1065" s="75" t="s">
        <v>212</v>
      </c>
      <c r="Q1065" s="75"/>
      <c r="R1065" s="75" t="s">
        <v>212</v>
      </c>
      <c r="S1065" s="75"/>
      <c r="T1065" s="100"/>
      <c r="U1065" s="75"/>
      <c r="V1065" s="75" t="s">
        <v>212</v>
      </c>
      <c r="W1065" s="89"/>
      <c r="X1065" s="42" t="str">
        <f>IF($B1065&lt;=入力シート!$F$85,""&amp;中間シート!X781,"")</f>
        <v/>
      </c>
      <c r="AQ1065" s="81">
        <f>中間シート!E781</f>
        <v>0</v>
      </c>
      <c r="AR1065" s="86">
        <f>IF(F1065="含まれている",1,IF(F1065="含まれていない",2,0))</f>
        <v>0</v>
      </c>
      <c r="AS1065" s="86" t="str">
        <f>中間シート!P627</f>
        <v/>
      </c>
    </row>
    <row r="1066" spans="2:45" x14ac:dyDescent="0.15">
      <c r="C1066" s="89"/>
      <c r="D1066" s="89"/>
      <c r="E1066" s="280"/>
      <c r="F1066" s="101"/>
      <c r="G1066" s="101"/>
      <c r="H1066" s="101"/>
      <c r="I1066" s="101"/>
      <c r="J1066" s="101"/>
      <c r="K1066" s="101"/>
      <c r="L1066" s="101"/>
      <c r="M1066" s="100"/>
      <c r="N1066" s="75"/>
      <c r="O1066" s="75"/>
      <c r="P1066" s="101" t="s">
        <v>212</v>
      </c>
      <c r="Q1066" s="75"/>
      <c r="R1066" s="75" t="s">
        <v>212</v>
      </c>
      <c r="S1066" s="75"/>
      <c r="T1066" s="75"/>
      <c r="U1066" s="75"/>
      <c r="V1066" s="75" t="s">
        <v>212</v>
      </c>
      <c r="W1066" s="89"/>
      <c r="X1066" s="42" t="s">
        <v>212</v>
      </c>
      <c r="AQ1066" s="86" t="s">
        <v>212</v>
      </c>
      <c r="AR1066" s="86"/>
      <c r="AS1066" s="86" t="s">
        <v>212</v>
      </c>
    </row>
    <row r="1067" spans="2:45" ht="14.25" thickBot="1" x14ac:dyDescent="0.2">
      <c r="C1067" s="49"/>
      <c r="D1067" s="49"/>
      <c r="E1067" s="279"/>
      <c r="F1067" s="22"/>
      <c r="G1067" s="22"/>
      <c r="H1067" s="22"/>
      <c r="I1067" s="262"/>
      <c r="J1067" s="22"/>
      <c r="K1067" s="22"/>
      <c r="L1067" s="22"/>
      <c r="M1067" s="22"/>
      <c r="N1067" s="22"/>
      <c r="O1067" s="22"/>
      <c r="P1067" s="22" t="s">
        <v>212</v>
      </c>
      <c r="Q1067" s="78"/>
      <c r="R1067" s="22" t="s">
        <v>212</v>
      </c>
      <c r="S1067" s="22"/>
      <c r="T1067" s="78"/>
      <c r="U1067" s="78"/>
      <c r="V1067" s="22" t="s">
        <v>212</v>
      </c>
      <c r="W1067" s="49"/>
      <c r="X1067" s="42" t="s">
        <v>212</v>
      </c>
      <c r="AQ1067" s="86" t="s">
        <v>212</v>
      </c>
      <c r="AR1067" s="86"/>
      <c r="AS1067" s="86" t="s">
        <v>212</v>
      </c>
    </row>
    <row r="1068" spans="2:45" ht="18" customHeight="1" thickBot="1" x14ac:dyDescent="0.2">
      <c r="B1068" s="42">
        <v>39</v>
      </c>
      <c r="C1068" s="49"/>
      <c r="D1068" s="52" t="s">
        <v>194</v>
      </c>
      <c r="E1068" s="275" t="s">
        <v>220</v>
      </c>
      <c r="F1068" s="390"/>
      <c r="G1068" s="391"/>
      <c r="H1068" s="392"/>
      <c r="I1068" s="263"/>
      <c r="J1068" s="20"/>
      <c r="K1068" s="30"/>
      <c r="L1068" s="20"/>
      <c r="M1068" s="30"/>
      <c r="N1068" s="20"/>
      <c r="O1068" s="30"/>
      <c r="P1068" s="283">
        <f>中間シート!D858</f>
        <v>0</v>
      </c>
      <c r="Q1068" s="78"/>
      <c r="R1068" s="283">
        <f>中間シート!G858</f>
        <v>0</v>
      </c>
      <c r="S1068" s="78"/>
      <c r="T1068" s="97" t="s">
        <v>95</v>
      </c>
      <c r="U1068" s="78"/>
      <c r="V1068" s="283">
        <f>中間シート!H858</f>
        <v>0</v>
      </c>
      <c r="W1068" s="49"/>
      <c r="X1068" s="42" t="str">
        <f>IF($B1068&lt;=入力シート!$F$85,""&amp;中間シート!X782,"")</f>
        <v/>
      </c>
      <c r="AQ1068" s="81">
        <f>中間シート!E782</f>
        <v>0</v>
      </c>
      <c r="AR1068" s="86">
        <f>IF(F1068="含まれている",1,IF(F1068="含まれていない",2,0))</f>
        <v>0</v>
      </c>
      <c r="AS1068" s="86" t="str">
        <f>中間シート!P628</f>
        <v/>
      </c>
    </row>
    <row r="1069" spans="2:45" ht="5.0999999999999996" customHeight="1" thickBot="1" x14ac:dyDescent="0.2">
      <c r="C1069" s="49"/>
      <c r="D1069" s="49"/>
      <c r="E1069" s="276"/>
      <c r="F1069" s="22"/>
      <c r="G1069" s="22"/>
      <c r="H1069" s="22"/>
      <c r="I1069" s="262"/>
      <c r="J1069" s="31"/>
      <c r="K1069" s="31"/>
      <c r="L1069" s="31"/>
      <c r="M1069" s="31"/>
      <c r="N1069" s="31"/>
      <c r="O1069" s="31"/>
      <c r="P1069" s="78" t="s">
        <v>212</v>
      </c>
      <c r="Q1069" s="22"/>
      <c r="R1069" s="78" t="s">
        <v>212</v>
      </c>
      <c r="S1069" s="78"/>
      <c r="T1069" s="22"/>
      <c r="U1069" s="78"/>
      <c r="V1069" s="78" t="s">
        <v>212</v>
      </c>
      <c r="W1069" s="49"/>
      <c r="X1069" s="42" t="s">
        <v>212</v>
      </c>
      <c r="AQ1069" s="86" t="s">
        <v>212</v>
      </c>
      <c r="AR1069" s="86"/>
      <c r="AS1069" s="86" t="s">
        <v>212</v>
      </c>
    </row>
    <row r="1070" spans="2:45" ht="18" customHeight="1" thickBot="1" x14ac:dyDescent="0.2">
      <c r="B1070" s="42">
        <v>39</v>
      </c>
      <c r="C1070" s="49"/>
      <c r="D1070" s="49"/>
      <c r="E1070" s="275" t="s">
        <v>221</v>
      </c>
      <c r="F1070" s="390"/>
      <c r="G1070" s="391"/>
      <c r="H1070" s="392"/>
      <c r="I1070" s="263"/>
      <c r="J1070" s="20"/>
      <c r="K1070" s="30"/>
      <c r="L1070" s="20"/>
      <c r="M1070" s="30"/>
      <c r="N1070" s="20"/>
      <c r="O1070" s="30"/>
      <c r="P1070" s="78" t="s">
        <v>212</v>
      </c>
      <c r="Q1070" s="78"/>
      <c r="R1070" s="78" t="s">
        <v>212</v>
      </c>
      <c r="S1070" s="78"/>
      <c r="T1070" s="22"/>
      <c r="U1070" s="78"/>
      <c r="V1070" s="78" t="s">
        <v>212</v>
      </c>
      <c r="W1070" s="49"/>
      <c r="X1070" s="42" t="str">
        <f>IF($B1070&lt;=入力シート!$F$85,""&amp;中間シート!X783,"")</f>
        <v/>
      </c>
      <c r="AQ1070" s="81">
        <f>中間シート!E783</f>
        <v>0</v>
      </c>
      <c r="AR1070" s="86">
        <f>IF(F1070="含まれている",1,IF(F1070="含まれていない",2,0))</f>
        <v>0</v>
      </c>
      <c r="AS1070" s="86" t="str">
        <f>中間シート!P629</f>
        <v/>
      </c>
    </row>
    <row r="1071" spans="2:45" ht="5.0999999999999996" customHeight="1" thickBot="1" x14ac:dyDescent="0.2">
      <c r="C1071" s="49"/>
      <c r="D1071" s="49"/>
      <c r="E1071" s="276"/>
      <c r="F1071" s="22"/>
      <c r="G1071" s="22"/>
      <c r="H1071" s="22"/>
      <c r="I1071" s="262"/>
      <c r="J1071" s="31"/>
      <c r="K1071" s="31"/>
      <c r="L1071" s="31"/>
      <c r="M1071" s="31"/>
      <c r="N1071" s="31"/>
      <c r="O1071" s="31"/>
      <c r="P1071" s="78" t="s">
        <v>212</v>
      </c>
      <c r="Q1071" s="22"/>
      <c r="R1071" s="78" t="s">
        <v>212</v>
      </c>
      <c r="S1071" s="78"/>
      <c r="T1071" s="22"/>
      <c r="U1071" s="78"/>
      <c r="V1071" s="78" t="s">
        <v>212</v>
      </c>
      <c r="W1071" s="49"/>
      <c r="X1071" s="42" t="s">
        <v>212</v>
      </c>
      <c r="AQ1071" s="21" t="s">
        <v>212</v>
      </c>
      <c r="AR1071" s="86"/>
      <c r="AS1071" s="86" t="s">
        <v>212</v>
      </c>
    </row>
    <row r="1072" spans="2:45" ht="18" customHeight="1" thickBot="1" x14ac:dyDescent="0.2">
      <c r="B1072" s="42">
        <v>39</v>
      </c>
      <c r="C1072" s="49"/>
      <c r="D1072" s="49"/>
      <c r="E1072" s="275" t="s">
        <v>222</v>
      </c>
      <c r="F1072" s="390"/>
      <c r="G1072" s="391"/>
      <c r="H1072" s="392"/>
      <c r="I1072" s="263"/>
      <c r="J1072" s="20"/>
      <c r="K1072" s="30"/>
      <c r="L1072" s="20"/>
      <c r="M1072" s="30"/>
      <c r="N1072" s="20"/>
      <c r="O1072" s="30"/>
      <c r="P1072" s="78" t="s">
        <v>212</v>
      </c>
      <c r="Q1072" s="78"/>
      <c r="R1072" s="78" t="s">
        <v>212</v>
      </c>
      <c r="S1072" s="78"/>
      <c r="T1072" s="22"/>
      <c r="U1072" s="78"/>
      <c r="V1072" s="78" t="s">
        <v>212</v>
      </c>
      <c r="W1072" s="49"/>
      <c r="X1072" s="42" t="str">
        <f>IF($B1072&lt;=入力シート!$F$85,""&amp;中間シート!X784,"")</f>
        <v/>
      </c>
      <c r="AQ1072" s="81">
        <f>中間シート!E784</f>
        <v>0</v>
      </c>
      <c r="AR1072" s="86">
        <f>IF(F1072="含まれている",1,IF(F1072="含まれていない",2,0))</f>
        <v>0</v>
      </c>
      <c r="AS1072" s="86" t="str">
        <f>中間シート!P630</f>
        <v/>
      </c>
    </row>
    <row r="1073" spans="2:45" x14ac:dyDescent="0.15">
      <c r="C1073" s="49"/>
      <c r="D1073" s="49"/>
      <c r="E1073" s="55"/>
      <c r="F1073" s="31"/>
      <c r="G1073" s="31"/>
      <c r="H1073" s="31"/>
      <c r="I1073" s="31"/>
      <c r="J1073" s="31"/>
      <c r="K1073" s="31"/>
      <c r="L1073" s="31"/>
      <c r="M1073" s="22"/>
      <c r="N1073" s="78"/>
      <c r="O1073" s="78"/>
      <c r="P1073" s="31" t="s">
        <v>212</v>
      </c>
      <c r="Q1073" s="78"/>
      <c r="R1073" s="78" t="s">
        <v>212</v>
      </c>
      <c r="S1073" s="78"/>
      <c r="T1073" s="78"/>
      <c r="U1073" s="78"/>
      <c r="V1073" s="78" t="s">
        <v>212</v>
      </c>
      <c r="W1073" s="49"/>
      <c r="X1073" s="42" t="s">
        <v>212</v>
      </c>
      <c r="AQ1073" s="86" t="s">
        <v>212</v>
      </c>
      <c r="AR1073" s="86"/>
      <c r="AS1073" s="86" t="s">
        <v>212</v>
      </c>
    </row>
    <row r="1074" spans="2:45" ht="14.25" thickBot="1" x14ac:dyDescent="0.2">
      <c r="C1074" s="89"/>
      <c r="D1074" s="89"/>
      <c r="E1074" s="280"/>
      <c r="F1074" s="89"/>
      <c r="G1074" s="89"/>
      <c r="H1074" s="89"/>
      <c r="I1074" s="265"/>
      <c r="J1074" s="89"/>
      <c r="K1074" s="89"/>
      <c r="L1074" s="89"/>
      <c r="M1074" s="89"/>
      <c r="N1074" s="89"/>
      <c r="O1074" s="89"/>
      <c r="P1074" s="89" t="s">
        <v>212</v>
      </c>
      <c r="Q1074" s="89"/>
      <c r="R1074" s="89" t="s">
        <v>212</v>
      </c>
      <c r="S1074" s="89"/>
      <c r="T1074" s="89"/>
      <c r="U1074" s="89"/>
      <c r="V1074" s="89" t="s">
        <v>212</v>
      </c>
      <c r="W1074" s="89"/>
      <c r="X1074" s="42" t="s">
        <v>212</v>
      </c>
      <c r="AQ1074" s="86" t="s">
        <v>212</v>
      </c>
      <c r="AR1074" s="86"/>
      <c r="AS1074" s="86" t="s">
        <v>212</v>
      </c>
    </row>
    <row r="1075" spans="2:45" ht="18" customHeight="1" thickBot="1" x14ac:dyDescent="0.2">
      <c r="B1075" s="42">
        <v>40</v>
      </c>
      <c r="C1075" s="89"/>
      <c r="D1075" s="91" t="s">
        <v>195</v>
      </c>
      <c r="E1075" s="277" t="s">
        <v>220</v>
      </c>
      <c r="F1075" s="390"/>
      <c r="G1075" s="391"/>
      <c r="H1075" s="392"/>
      <c r="I1075" s="266"/>
      <c r="J1075" s="20"/>
      <c r="K1075" s="98"/>
      <c r="L1075" s="20"/>
      <c r="M1075" s="98"/>
      <c r="N1075" s="20"/>
      <c r="O1075" s="98"/>
      <c r="P1075" s="283">
        <f>中間シート!D859</f>
        <v>0</v>
      </c>
      <c r="Q1075" s="75"/>
      <c r="R1075" s="283">
        <f>中間シート!G859</f>
        <v>0</v>
      </c>
      <c r="S1075" s="75"/>
      <c r="T1075" s="99" t="s">
        <v>95</v>
      </c>
      <c r="U1075" s="75"/>
      <c r="V1075" s="283">
        <f>中間シート!H859</f>
        <v>0</v>
      </c>
      <c r="W1075" s="89"/>
      <c r="X1075" s="42" t="str">
        <f>IF($B1075&lt;=入力シート!$F$85,""&amp;中間シート!X785,"")</f>
        <v/>
      </c>
      <c r="AQ1075" s="81">
        <f>中間シート!E785</f>
        <v>0</v>
      </c>
      <c r="AR1075" s="86">
        <f>IF(F1075="含まれている",1,IF(F1075="含まれていない",2,0))</f>
        <v>0</v>
      </c>
      <c r="AS1075" s="86" t="str">
        <f>中間シート!P631</f>
        <v/>
      </c>
    </row>
    <row r="1076" spans="2:45" ht="5.0999999999999996" customHeight="1" thickBot="1" x14ac:dyDescent="0.2">
      <c r="C1076" s="89"/>
      <c r="D1076" s="89"/>
      <c r="E1076" s="278"/>
      <c r="F1076" s="100"/>
      <c r="G1076" s="100"/>
      <c r="H1076" s="100"/>
      <c r="I1076" s="267"/>
      <c r="J1076" s="101"/>
      <c r="K1076" s="101"/>
      <c r="L1076" s="101"/>
      <c r="M1076" s="101"/>
      <c r="N1076" s="101"/>
      <c r="O1076" s="101"/>
      <c r="P1076" s="75" t="s">
        <v>212</v>
      </c>
      <c r="Q1076" s="100"/>
      <c r="R1076" s="75" t="s">
        <v>212</v>
      </c>
      <c r="S1076" s="75"/>
      <c r="T1076" s="100"/>
      <c r="U1076" s="75"/>
      <c r="V1076" s="75" t="s">
        <v>212</v>
      </c>
      <c r="W1076" s="89"/>
      <c r="X1076" s="42" t="s">
        <v>212</v>
      </c>
      <c r="AQ1076" s="86" t="s">
        <v>212</v>
      </c>
      <c r="AR1076" s="86"/>
      <c r="AS1076" s="86" t="s">
        <v>212</v>
      </c>
    </row>
    <row r="1077" spans="2:45" ht="18" customHeight="1" thickBot="1" x14ac:dyDescent="0.2">
      <c r="B1077" s="42">
        <v>40</v>
      </c>
      <c r="C1077" s="89"/>
      <c r="D1077" s="89"/>
      <c r="E1077" s="277" t="s">
        <v>221</v>
      </c>
      <c r="F1077" s="390"/>
      <c r="G1077" s="391"/>
      <c r="H1077" s="392"/>
      <c r="I1077" s="266"/>
      <c r="J1077" s="20"/>
      <c r="K1077" s="98"/>
      <c r="L1077" s="20"/>
      <c r="M1077" s="98"/>
      <c r="N1077" s="20"/>
      <c r="O1077" s="98"/>
      <c r="P1077" s="75" t="s">
        <v>212</v>
      </c>
      <c r="Q1077" s="75"/>
      <c r="R1077" s="75" t="s">
        <v>212</v>
      </c>
      <c r="S1077" s="75"/>
      <c r="T1077" s="100"/>
      <c r="U1077" s="75"/>
      <c r="V1077" s="75" t="s">
        <v>212</v>
      </c>
      <c r="W1077" s="89"/>
      <c r="X1077" s="42" t="str">
        <f>IF($B1077&lt;=入力シート!$F$85,""&amp;中間シート!X786,"")</f>
        <v/>
      </c>
      <c r="AQ1077" s="81">
        <f>中間シート!E786</f>
        <v>0</v>
      </c>
      <c r="AR1077" s="86">
        <f>IF(F1077="含まれている",1,IF(F1077="含まれていない",2,0))</f>
        <v>0</v>
      </c>
      <c r="AS1077" s="86" t="str">
        <f>中間シート!P632</f>
        <v/>
      </c>
    </row>
    <row r="1078" spans="2:45" ht="5.0999999999999996" customHeight="1" thickBot="1" x14ac:dyDescent="0.2">
      <c r="C1078" s="89"/>
      <c r="D1078" s="89"/>
      <c r="E1078" s="278"/>
      <c r="F1078" s="100"/>
      <c r="G1078" s="100"/>
      <c r="H1078" s="100"/>
      <c r="I1078" s="267"/>
      <c r="J1078" s="101"/>
      <c r="K1078" s="101"/>
      <c r="L1078" s="101"/>
      <c r="M1078" s="101"/>
      <c r="N1078" s="101"/>
      <c r="O1078" s="101"/>
      <c r="P1078" s="75" t="s">
        <v>212</v>
      </c>
      <c r="Q1078" s="100"/>
      <c r="R1078" s="75" t="s">
        <v>212</v>
      </c>
      <c r="S1078" s="75"/>
      <c r="T1078" s="100"/>
      <c r="U1078" s="75"/>
      <c r="V1078" s="75" t="s">
        <v>212</v>
      </c>
      <c r="W1078" s="89"/>
      <c r="X1078" s="42" t="s">
        <v>212</v>
      </c>
      <c r="AQ1078" s="21" t="s">
        <v>212</v>
      </c>
      <c r="AR1078" s="86"/>
      <c r="AS1078" s="86" t="s">
        <v>212</v>
      </c>
    </row>
    <row r="1079" spans="2:45" ht="18" customHeight="1" thickBot="1" x14ac:dyDescent="0.2">
      <c r="B1079" s="42">
        <v>40</v>
      </c>
      <c r="C1079" s="89"/>
      <c r="D1079" s="89"/>
      <c r="E1079" s="277" t="s">
        <v>222</v>
      </c>
      <c r="F1079" s="390"/>
      <c r="G1079" s="391"/>
      <c r="H1079" s="392"/>
      <c r="I1079" s="266"/>
      <c r="J1079" s="20"/>
      <c r="K1079" s="98"/>
      <c r="L1079" s="20"/>
      <c r="M1079" s="98"/>
      <c r="N1079" s="20"/>
      <c r="O1079" s="98"/>
      <c r="P1079" s="75" t="s">
        <v>212</v>
      </c>
      <c r="Q1079" s="75"/>
      <c r="R1079" s="75" t="s">
        <v>212</v>
      </c>
      <c r="S1079" s="75"/>
      <c r="T1079" s="100"/>
      <c r="U1079" s="75"/>
      <c r="V1079" s="75" t="s">
        <v>212</v>
      </c>
      <c r="W1079" s="89"/>
      <c r="X1079" s="42" t="str">
        <f>IF($B1079&lt;=入力シート!$F$85,""&amp;中間シート!X787,"")</f>
        <v/>
      </c>
      <c r="AQ1079" s="81">
        <f>中間シート!E787</f>
        <v>0</v>
      </c>
      <c r="AR1079" s="86">
        <f>IF(F1079="含まれている",1,IF(F1079="含まれていない",2,0))</f>
        <v>0</v>
      </c>
      <c r="AS1079" s="86" t="str">
        <f>中間シート!P633</f>
        <v/>
      </c>
    </row>
    <row r="1080" spans="2:45" x14ac:dyDescent="0.15">
      <c r="C1080" s="89"/>
      <c r="D1080" s="89"/>
      <c r="E1080" s="280"/>
      <c r="F1080" s="101"/>
      <c r="G1080" s="101"/>
      <c r="H1080" s="101"/>
      <c r="I1080" s="101"/>
      <c r="J1080" s="101"/>
      <c r="K1080" s="101"/>
      <c r="L1080" s="101"/>
      <c r="M1080" s="100"/>
      <c r="N1080" s="75"/>
      <c r="O1080" s="75"/>
      <c r="P1080" s="101" t="s">
        <v>212</v>
      </c>
      <c r="Q1080" s="75"/>
      <c r="R1080" s="75" t="s">
        <v>212</v>
      </c>
      <c r="S1080" s="75"/>
      <c r="T1080" s="75"/>
      <c r="U1080" s="75"/>
      <c r="V1080" s="75" t="s">
        <v>212</v>
      </c>
      <c r="W1080" s="89"/>
      <c r="X1080" s="42" t="s">
        <v>212</v>
      </c>
      <c r="AQ1080" s="86" t="s">
        <v>212</v>
      </c>
      <c r="AR1080" s="86"/>
      <c r="AS1080" s="86" t="s">
        <v>212</v>
      </c>
    </row>
    <row r="1081" spans="2:45" ht="14.25" thickBot="1" x14ac:dyDescent="0.2">
      <c r="C1081" s="49"/>
      <c r="D1081" s="49"/>
      <c r="E1081" s="279"/>
      <c r="F1081" s="22"/>
      <c r="G1081" s="22"/>
      <c r="H1081" s="22"/>
      <c r="I1081" s="262"/>
      <c r="J1081" s="22"/>
      <c r="K1081" s="22"/>
      <c r="L1081" s="22"/>
      <c r="M1081" s="22"/>
      <c r="N1081" s="22"/>
      <c r="O1081" s="22"/>
      <c r="P1081" s="22" t="s">
        <v>212</v>
      </c>
      <c r="Q1081" s="78"/>
      <c r="R1081" s="22" t="s">
        <v>212</v>
      </c>
      <c r="S1081" s="22"/>
      <c r="T1081" s="78"/>
      <c r="U1081" s="78"/>
      <c r="V1081" s="22" t="s">
        <v>212</v>
      </c>
      <c r="W1081" s="49"/>
      <c r="X1081" s="42" t="s">
        <v>212</v>
      </c>
      <c r="AQ1081" s="86" t="s">
        <v>212</v>
      </c>
      <c r="AR1081" s="86"/>
      <c r="AS1081" s="86" t="s">
        <v>212</v>
      </c>
    </row>
    <row r="1082" spans="2:45" ht="18" customHeight="1" thickBot="1" x14ac:dyDescent="0.2">
      <c r="B1082" s="42">
        <v>41</v>
      </c>
      <c r="C1082" s="49"/>
      <c r="D1082" s="52" t="s">
        <v>196</v>
      </c>
      <c r="E1082" s="275" t="s">
        <v>220</v>
      </c>
      <c r="F1082" s="390"/>
      <c r="G1082" s="391"/>
      <c r="H1082" s="392"/>
      <c r="I1082" s="263"/>
      <c r="J1082" s="20"/>
      <c r="K1082" s="30"/>
      <c r="L1082" s="20"/>
      <c r="M1082" s="30"/>
      <c r="N1082" s="20"/>
      <c r="O1082" s="30"/>
      <c r="P1082" s="283">
        <f>中間シート!D860</f>
        <v>0</v>
      </c>
      <c r="Q1082" s="78"/>
      <c r="R1082" s="283">
        <f>中間シート!G860</f>
        <v>0</v>
      </c>
      <c r="S1082" s="78"/>
      <c r="T1082" s="97" t="s">
        <v>95</v>
      </c>
      <c r="U1082" s="78"/>
      <c r="V1082" s="283">
        <f>中間シート!H860</f>
        <v>0</v>
      </c>
      <c r="W1082" s="49"/>
      <c r="X1082" s="42" t="str">
        <f>IF($B1082&lt;=入力シート!$F$85,""&amp;中間シート!X788,"")</f>
        <v/>
      </c>
      <c r="AQ1082" s="81">
        <f>中間シート!E788</f>
        <v>0</v>
      </c>
      <c r="AR1082" s="86">
        <f>IF(F1082="含まれている",1,IF(F1082="含まれていない",2,0))</f>
        <v>0</v>
      </c>
      <c r="AS1082" s="86" t="str">
        <f>中間シート!P634</f>
        <v/>
      </c>
    </row>
    <row r="1083" spans="2:45" ht="5.0999999999999996" customHeight="1" thickBot="1" x14ac:dyDescent="0.2">
      <c r="C1083" s="49"/>
      <c r="D1083" s="49"/>
      <c r="E1083" s="276"/>
      <c r="F1083" s="22"/>
      <c r="G1083" s="22"/>
      <c r="H1083" s="22"/>
      <c r="I1083" s="262"/>
      <c r="J1083" s="31"/>
      <c r="K1083" s="31"/>
      <c r="L1083" s="31"/>
      <c r="M1083" s="31"/>
      <c r="N1083" s="31"/>
      <c r="O1083" s="31"/>
      <c r="P1083" s="78" t="s">
        <v>212</v>
      </c>
      <c r="Q1083" s="22"/>
      <c r="R1083" s="78" t="s">
        <v>212</v>
      </c>
      <c r="S1083" s="78"/>
      <c r="T1083" s="22"/>
      <c r="U1083" s="78"/>
      <c r="V1083" s="78" t="s">
        <v>212</v>
      </c>
      <c r="W1083" s="49"/>
      <c r="X1083" s="42" t="s">
        <v>212</v>
      </c>
      <c r="AQ1083" s="86" t="s">
        <v>212</v>
      </c>
      <c r="AR1083" s="86"/>
      <c r="AS1083" s="86" t="s">
        <v>212</v>
      </c>
    </row>
    <row r="1084" spans="2:45" ht="18" customHeight="1" thickBot="1" x14ac:dyDescent="0.2">
      <c r="B1084" s="42">
        <v>41</v>
      </c>
      <c r="C1084" s="49"/>
      <c r="D1084" s="49"/>
      <c r="E1084" s="275" t="s">
        <v>221</v>
      </c>
      <c r="F1084" s="390"/>
      <c r="G1084" s="391"/>
      <c r="H1084" s="392"/>
      <c r="I1084" s="263"/>
      <c r="J1084" s="20"/>
      <c r="K1084" s="30"/>
      <c r="L1084" s="20"/>
      <c r="M1084" s="30"/>
      <c r="N1084" s="20"/>
      <c r="O1084" s="30"/>
      <c r="P1084" s="78" t="s">
        <v>212</v>
      </c>
      <c r="Q1084" s="78"/>
      <c r="R1084" s="78" t="s">
        <v>212</v>
      </c>
      <c r="S1084" s="78"/>
      <c r="T1084" s="22"/>
      <c r="U1084" s="78"/>
      <c r="V1084" s="78" t="s">
        <v>212</v>
      </c>
      <c r="W1084" s="49"/>
      <c r="X1084" s="42" t="str">
        <f>IF($B1084&lt;=入力シート!$F$85,""&amp;中間シート!X789,"")</f>
        <v/>
      </c>
      <c r="AQ1084" s="81">
        <f>中間シート!E789</f>
        <v>0</v>
      </c>
      <c r="AR1084" s="86">
        <f>IF(F1084="含まれている",1,IF(F1084="含まれていない",2,0))</f>
        <v>0</v>
      </c>
      <c r="AS1084" s="86" t="str">
        <f>中間シート!P635</f>
        <v/>
      </c>
    </row>
    <row r="1085" spans="2:45" ht="5.0999999999999996" customHeight="1" thickBot="1" x14ac:dyDescent="0.2">
      <c r="C1085" s="49"/>
      <c r="D1085" s="49"/>
      <c r="E1085" s="276"/>
      <c r="F1085" s="22"/>
      <c r="G1085" s="22"/>
      <c r="H1085" s="22"/>
      <c r="I1085" s="262"/>
      <c r="J1085" s="31"/>
      <c r="K1085" s="31"/>
      <c r="L1085" s="31"/>
      <c r="M1085" s="31"/>
      <c r="N1085" s="31"/>
      <c r="O1085" s="31"/>
      <c r="P1085" s="78" t="s">
        <v>212</v>
      </c>
      <c r="Q1085" s="22"/>
      <c r="R1085" s="78" t="s">
        <v>212</v>
      </c>
      <c r="S1085" s="78"/>
      <c r="T1085" s="22"/>
      <c r="U1085" s="78"/>
      <c r="V1085" s="78" t="s">
        <v>212</v>
      </c>
      <c r="W1085" s="49"/>
      <c r="X1085" s="42" t="s">
        <v>212</v>
      </c>
      <c r="AQ1085" s="21" t="s">
        <v>212</v>
      </c>
      <c r="AR1085" s="86"/>
      <c r="AS1085" s="86" t="s">
        <v>212</v>
      </c>
    </row>
    <row r="1086" spans="2:45" ht="18" customHeight="1" thickBot="1" x14ac:dyDescent="0.2">
      <c r="B1086" s="42">
        <v>41</v>
      </c>
      <c r="C1086" s="49"/>
      <c r="D1086" s="49"/>
      <c r="E1086" s="275" t="s">
        <v>222</v>
      </c>
      <c r="F1086" s="390"/>
      <c r="G1086" s="391"/>
      <c r="H1086" s="392"/>
      <c r="I1086" s="263"/>
      <c r="J1086" s="20"/>
      <c r="K1086" s="30"/>
      <c r="L1086" s="20"/>
      <c r="M1086" s="30"/>
      <c r="N1086" s="20"/>
      <c r="O1086" s="30"/>
      <c r="P1086" s="78" t="s">
        <v>212</v>
      </c>
      <c r="Q1086" s="78"/>
      <c r="R1086" s="78" t="s">
        <v>212</v>
      </c>
      <c r="S1086" s="78"/>
      <c r="T1086" s="22"/>
      <c r="U1086" s="78"/>
      <c r="V1086" s="78" t="s">
        <v>212</v>
      </c>
      <c r="W1086" s="49"/>
      <c r="X1086" s="42" t="str">
        <f>IF($B1086&lt;=入力シート!$F$85,""&amp;中間シート!X790,"")</f>
        <v/>
      </c>
      <c r="AQ1086" s="81">
        <f>中間シート!E790</f>
        <v>0</v>
      </c>
      <c r="AR1086" s="86">
        <f>IF(F1086="含まれている",1,IF(F1086="含まれていない",2,0))</f>
        <v>0</v>
      </c>
      <c r="AS1086" s="86" t="str">
        <f>中間シート!P636</f>
        <v/>
      </c>
    </row>
    <row r="1087" spans="2:45" x14ac:dyDescent="0.15">
      <c r="C1087" s="49"/>
      <c r="D1087" s="49"/>
      <c r="E1087" s="55"/>
      <c r="F1087" s="31"/>
      <c r="G1087" s="31"/>
      <c r="H1087" s="31"/>
      <c r="I1087" s="31"/>
      <c r="J1087" s="31"/>
      <c r="K1087" s="31"/>
      <c r="L1087" s="31"/>
      <c r="M1087" s="22"/>
      <c r="N1087" s="78"/>
      <c r="O1087" s="78"/>
      <c r="P1087" s="31" t="s">
        <v>212</v>
      </c>
      <c r="Q1087" s="78"/>
      <c r="R1087" s="78" t="s">
        <v>212</v>
      </c>
      <c r="S1087" s="78"/>
      <c r="T1087" s="78"/>
      <c r="U1087" s="78"/>
      <c r="V1087" s="78" t="s">
        <v>212</v>
      </c>
      <c r="W1087" s="49"/>
      <c r="X1087" s="42" t="s">
        <v>212</v>
      </c>
      <c r="AQ1087" s="86" t="s">
        <v>212</v>
      </c>
      <c r="AR1087" s="86"/>
      <c r="AS1087" s="86" t="s">
        <v>212</v>
      </c>
    </row>
    <row r="1088" spans="2:45" ht="14.25" thickBot="1" x14ac:dyDescent="0.2">
      <c r="C1088" s="89"/>
      <c r="D1088" s="89"/>
      <c r="E1088" s="280"/>
      <c r="F1088" s="89"/>
      <c r="G1088" s="89"/>
      <c r="H1088" s="89"/>
      <c r="I1088" s="265"/>
      <c r="J1088" s="89"/>
      <c r="K1088" s="89"/>
      <c r="L1088" s="89"/>
      <c r="M1088" s="89"/>
      <c r="N1088" s="89"/>
      <c r="O1088" s="89"/>
      <c r="P1088" s="89" t="s">
        <v>212</v>
      </c>
      <c r="Q1088" s="89"/>
      <c r="R1088" s="89" t="s">
        <v>212</v>
      </c>
      <c r="S1088" s="89"/>
      <c r="T1088" s="89"/>
      <c r="U1088" s="89"/>
      <c r="V1088" s="89" t="s">
        <v>212</v>
      </c>
      <c r="W1088" s="89"/>
      <c r="X1088" s="42" t="s">
        <v>212</v>
      </c>
      <c r="AQ1088" s="86" t="s">
        <v>212</v>
      </c>
      <c r="AR1088" s="86"/>
      <c r="AS1088" s="86" t="s">
        <v>212</v>
      </c>
    </row>
    <row r="1089" spans="2:45" ht="18" customHeight="1" thickBot="1" x14ac:dyDescent="0.2">
      <c r="B1089" s="42">
        <v>42</v>
      </c>
      <c r="C1089" s="89"/>
      <c r="D1089" s="91" t="s">
        <v>197</v>
      </c>
      <c r="E1089" s="277" t="s">
        <v>220</v>
      </c>
      <c r="F1089" s="390"/>
      <c r="G1089" s="391"/>
      <c r="H1089" s="392"/>
      <c r="I1089" s="266"/>
      <c r="J1089" s="20"/>
      <c r="K1089" s="98"/>
      <c r="L1089" s="20"/>
      <c r="M1089" s="98"/>
      <c r="N1089" s="20"/>
      <c r="O1089" s="98"/>
      <c r="P1089" s="283">
        <f>中間シート!D861</f>
        <v>0</v>
      </c>
      <c r="Q1089" s="75"/>
      <c r="R1089" s="283">
        <f>中間シート!G861</f>
        <v>0</v>
      </c>
      <c r="S1089" s="75"/>
      <c r="T1089" s="99" t="s">
        <v>95</v>
      </c>
      <c r="U1089" s="75"/>
      <c r="V1089" s="283">
        <f>中間シート!H861</f>
        <v>0</v>
      </c>
      <c r="W1089" s="89"/>
      <c r="X1089" s="42" t="str">
        <f>IF($B1089&lt;=入力シート!$F$85,""&amp;中間シート!X791,"")</f>
        <v/>
      </c>
      <c r="AQ1089" s="81">
        <f>中間シート!E791</f>
        <v>0</v>
      </c>
      <c r="AR1089" s="86">
        <f>IF(F1089="含まれている",1,IF(F1089="含まれていない",2,0))</f>
        <v>0</v>
      </c>
      <c r="AS1089" s="86" t="str">
        <f>中間シート!P637</f>
        <v/>
      </c>
    </row>
    <row r="1090" spans="2:45" ht="5.0999999999999996" customHeight="1" thickBot="1" x14ac:dyDescent="0.2">
      <c r="C1090" s="89"/>
      <c r="D1090" s="89"/>
      <c r="E1090" s="278"/>
      <c r="F1090" s="100"/>
      <c r="G1090" s="100"/>
      <c r="H1090" s="100"/>
      <c r="I1090" s="267"/>
      <c r="J1090" s="101"/>
      <c r="K1090" s="101"/>
      <c r="L1090" s="101"/>
      <c r="M1090" s="101"/>
      <c r="N1090" s="101"/>
      <c r="O1090" s="101"/>
      <c r="P1090" s="75" t="s">
        <v>212</v>
      </c>
      <c r="Q1090" s="100"/>
      <c r="R1090" s="75" t="s">
        <v>212</v>
      </c>
      <c r="S1090" s="75"/>
      <c r="T1090" s="100"/>
      <c r="U1090" s="75"/>
      <c r="V1090" s="75" t="s">
        <v>212</v>
      </c>
      <c r="W1090" s="89"/>
      <c r="X1090" s="42" t="s">
        <v>212</v>
      </c>
      <c r="AQ1090" s="86" t="s">
        <v>212</v>
      </c>
      <c r="AR1090" s="86"/>
      <c r="AS1090" s="86" t="s">
        <v>212</v>
      </c>
    </row>
    <row r="1091" spans="2:45" ht="18" customHeight="1" thickBot="1" x14ac:dyDescent="0.2">
      <c r="B1091" s="42">
        <v>42</v>
      </c>
      <c r="C1091" s="89"/>
      <c r="D1091" s="89"/>
      <c r="E1091" s="277" t="s">
        <v>221</v>
      </c>
      <c r="F1091" s="390"/>
      <c r="G1091" s="391"/>
      <c r="H1091" s="392"/>
      <c r="I1091" s="266"/>
      <c r="J1091" s="20"/>
      <c r="K1091" s="98"/>
      <c r="L1091" s="20"/>
      <c r="M1091" s="98"/>
      <c r="N1091" s="20"/>
      <c r="O1091" s="98"/>
      <c r="P1091" s="75" t="s">
        <v>212</v>
      </c>
      <c r="Q1091" s="75"/>
      <c r="R1091" s="75" t="s">
        <v>212</v>
      </c>
      <c r="S1091" s="75"/>
      <c r="T1091" s="100"/>
      <c r="U1091" s="75"/>
      <c r="V1091" s="75" t="s">
        <v>212</v>
      </c>
      <c r="W1091" s="89"/>
      <c r="X1091" s="42" t="str">
        <f>IF($B1091&lt;=入力シート!$F$85,""&amp;中間シート!X792,"")</f>
        <v/>
      </c>
      <c r="AQ1091" s="81">
        <f>中間シート!E792</f>
        <v>0</v>
      </c>
      <c r="AR1091" s="86">
        <f>IF(F1091="含まれている",1,IF(F1091="含まれていない",2,0))</f>
        <v>0</v>
      </c>
      <c r="AS1091" s="86" t="str">
        <f>中間シート!P638</f>
        <v/>
      </c>
    </row>
    <row r="1092" spans="2:45" ht="5.0999999999999996" customHeight="1" thickBot="1" x14ac:dyDescent="0.2">
      <c r="C1092" s="89"/>
      <c r="D1092" s="89"/>
      <c r="E1092" s="278"/>
      <c r="F1092" s="100"/>
      <c r="G1092" s="100"/>
      <c r="H1092" s="100"/>
      <c r="I1092" s="267"/>
      <c r="J1092" s="101"/>
      <c r="K1092" s="101"/>
      <c r="L1092" s="101"/>
      <c r="M1092" s="101"/>
      <c r="N1092" s="101"/>
      <c r="O1092" s="101"/>
      <c r="P1092" s="75" t="s">
        <v>212</v>
      </c>
      <c r="Q1092" s="100"/>
      <c r="R1092" s="75" t="s">
        <v>212</v>
      </c>
      <c r="S1092" s="75"/>
      <c r="T1092" s="100"/>
      <c r="U1092" s="75"/>
      <c r="V1092" s="75" t="s">
        <v>212</v>
      </c>
      <c r="W1092" s="89"/>
      <c r="X1092" s="42" t="s">
        <v>212</v>
      </c>
      <c r="AQ1092" s="21" t="s">
        <v>212</v>
      </c>
      <c r="AR1092" s="86"/>
      <c r="AS1092" s="86" t="s">
        <v>212</v>
      </c>
    </row>
    <row r="1093" spans="2:45" ht="18" customHeight="1" thickBot="1" x14ac:dyDescent="0.2">
      <c r="B1093" s="42">
        <v>42</v>
      </c>
      <c r="C1093" s="89"/>
      <c r="D1093" s="89"/>
      <c r="E1093" s="277" t="s">
        <v>222</v>
      </c>
      <c r="F1093" s="390"/>
      <c r="G1093" s="391"/>
      <c r="H1093" s="392"/>
      <c r="I1093" s="266"/>
      <c r="J1093" s="20"/>
      <c r="K1093" s="98"/>
      <c r="L1093" s="20"/>
      <c r="M1093" s="98"/>
      <c r="N1093" s="20"/>
      <c r="O1093" s="98"/>
      <c r="P1093" s="75" t="s">
        <v>212</v>
      </c>
      <c r="Q1093" s="75"/>
      <c r="R1093" s="75" t="s">
        <v>212</v>
      </c>
      <c r="S1093" s="75"/>
      <c r="T1093" s="100"/>
      <c r="U1093" s="75"/>
      <c r="V1093" s="75" t="s">
        <v>212</v>
      </c>
      <c r="W1093" s="89"/>
      <c r="X1093" s="42" t="str">
        <f>IF($B1093&lt;=入力シート!$F$85,""&amp;中間シート!X793,"")</f>
        <v/>
      </c>
      <c r="AQ1093" s="81">
        <f>中間シート!E793</f>
        <v>0</v>
      </c>
      <c r="AR1093" s="86">
        <f>IF(F1093="含まれている",1,IF(F1093="含まれていない",2,0))</f>
        <v>0</v>
      </c>
      <c r="AS1093" s="86" t="str">
        <f>中間シート!P639</f>
        <v/>
      </c>
    </row>
    <row r="1094" spans="2:45" x14ac:dyDescent="0.15">
      <c r="C1094" s="89"/>
      <c r="D1094" s="89"/>
      <c r="E1094" s="280"/>
      <c r="F1094" s="101"/>
      <c r="G1094" s="101"/>
      <c r="H1094" s="101"/>
      <c r="I1094" s="101"/>
      <c r="J1094" s="101"/>
      <c r="K1094" s="101"/>
      <c r="L1094" s="101"/>
      <c r="M1094" s="100"/>
      <c r="N1094" s="75"/>
      <c r="O1094" s="75"/>
      <c r="P1094" s="101" t="s">
        <v>212</v>
      </c>
      <c r="Q1094" s="75"/>
      <c r="R1094" s="75" t="s">
        <v>212</v>
      </c>
      <c r="S1094" s="75"/>
      <c r="T1094" s="75"/>
      <c r="U1094" s="75"/>
      <c r="V1094" s="75" t="s">
        <v>212</v>
      </c>
      <c r="W1094" s="89"/>
      <c r="X1094" s="42" t="s">
        <v>212</v>
      </c>
      <c r="AQ1094" s="86" t="s">
        <v>212</v>
      </c>
      <c r="AR1094" s="86"/>
      <c r="AS1094" s="86" t="s">
        <v>212</v>
      </c>
    </row>
    <row r="1095" spans="2:45" ht="14.25" thickBot="1" x14ac:dyDescent="0.2">
      <c r="C1095" s="49"/>
      <c r="D1095" s="49"/>
      <c r="E1095" s="279"/>
      <c r="F1095" s="22"/>
      <c r="G1095" s="22"/>
      <c r="H1095" s="22"/>
      <c r="I1095" s="262"/>
      <c r="J1095" s="22"/>
      <c r="K1095" s="22"/>
      <c r="L1095" s="22"/>
      <c r="M1095" s="22"/>
      <c r="N1095" s="22"/>
      <c r="O1095" s="22"/>
      <c r="P1095" s="22" t="s">
        <v>212</v>
      </c>
      <c r="Q1095" s="78"/>
      <c r="R1095" s="22" t="s">
        <v>212</v>
      </c>
      <c r="S1095" s="22"/>
      <c r="T1095" s="78"/>
      <c r="U1095" s="78"/>
      <c r="V1095" s="22" t="s">
        <v>212</v>
      </c>
      <c r="W1095" s="49"/>
      <c r="X1095" s="42" t="s">
        <v>212</v>
      </c>
      <c r="AQ1095" s="86" t="s">
        <v>212</v>
      </c>
      <c r="AR1095" s="86"/>
      <c r="AS1095" s="86" t="s">
        <v>212</v>
      </c>
    </row>
    <row r="1096" spans="2:45" ht="18" customHeight="1" thickBot="1" x14ac:dyDescent="0.2">
      <c r="B1096" s="42">
        <v>43</v>
      </c>
      <c r="C1096" s="49"/>
      <c r="D1096" s="52" t="s">
        <v>198</v>
      </c>
      <c r="E1096" s="275" t="s">
        <v>220</v>
      </c>
      <c r="F1096" s="390"/>
      <c r="G1096" s="391"/>
      <c r="H1096" s="392"/>
      <c r="I1096" s="263"/>
      <c r="J1096" s="20"/>
      <c r="K1096" s="30"/>
      <c r="L1096" s="20"/>
      <c r="M1096" s="30"/>
      <c r="N1096" s="20"/>
      <c r="O1096" s="30"/>
      <c r="P1096" s="283">
        <f>中間シート!D862</f>
        <v>0</v>
      </c>
      <c r="Q1096" s="78"/>
      <c r="R1096" s="283">
        <f>中間シート!G862</f>
        <v>0</v>
      </c>
      <c r="S1096" s="78"/>
      <c r="T1096" s="97" t="s">
        <v>95</v>
      </c>
      <c r="U1096" s="78"/>
      <c r="V1096" s="283">
        <f>中間シート!H862</f>
        <v>0</v>
      </c>
      <c r="W1096" s="49"/>
      <c r="X1096" s="42" t="str">
        <f>IF($B1096&lt;=入力シート!$F$85,""&amp;中間シート!X794,"")</f>
        <v/>
      </c>
      <c r="AQ1096" s="81">
        <f>中間シート!E794</f>
        <v>0</v>
      </c>
      <c r="AR1096" s="86">
        <f>IF(F1096="含まれている",1,IF(F1096="含まれていない",2,0))</f>
        <v>0</v>
      </c>
      <c r="AS1096" s="86" t="str">
        <f>中間シート!P640</f>
        <v/>
      </c>
    </row>
    <row r="1097" spans="2:45" ht="5.0999999999999996" customHeight="1" thickBot="1" x14ac:dyDescent="0.2">
      <c r="C1097" s="49"/>
      <c r="D1097" s="49"/>
      <c r="E1097" s="276"/>
      <c r="F1097" s="22"/>
      <c r="G1097" s="22"/>
      <c r="H1097" s="22"/>
      <c r="I1097" s="262"/>
      <c r="J1097" s="31"/>
      <c r="K1097" s="31"/>
      <c r="L1097" s="31"/>
      <c r="M1097" s="31"/>
      <c r="N1097" s="31"/>
      <c r="O1097" s="31"/>
      <c r="P1097" s="78" t="s">
        <v>212</v>
      </c>
      <c r="Q1097" s="22"/>
      <c r="R1097" s="78" t="s">
        <v>212</v>
      </c>
      <c r="S1097" s="78"/>
      <c r="T1097" s="22"/>
      <c r="U1097" s="78"/>
      <c r="V1097" s="78" t="s">
        <v>212</v>
      </c>
      <c r="W1097" s="49"/>
      <c r="X1097" s="42" t="s">
        <v>212</v>
      </c>
      <c r="AQ1097" s="86" t="s">
        <v>212</v>
      </c>
      <c r="AR1097" s="86"/>
      <c r="AS1097" s="86" t="s">
        <v>212</v>
      </c>
    </row>
    <row r="1098" spans="2:45" ht="18" customHeight="1" thickBot="1" x14ac:dyDescent="0.2">
      <c r="B1098" s="42">
        <v>43</v>
      </c>
      <c r="C1098" s="49"/>
      <c r="D1098" s="49"/>
      <c r="E1098" s="275" t="s">
        <v>221</v>
      </c>
      <c r="F1098" s="390"/>
      <c r="G1098" s="391"/>
      <c r="H1098" s="392"/>
      <c r="I1098" s="263"/>
      <c r="J1098" s="20"/>
      <c r="K1098" s="30"/>
      <c r="L1098" s="20"/>
      <c r="M1098" s="30"/>
      <c r="N1098" s="20"/>
      <c r="O1098" s="30"/>
      <c r="P1098" s="78" t="s">
        <v>212</v>
      </c>
      <c r="Q1098" s="78"/>
      <c r="R1098" s="78" t="s">
        <v>212</v>
      </c>
      <c r="S1098" s="78"/>
      <c r="T1098" s="22"/>
      <c r="U1098" s="78"/>
      <c r="V1098" s="78" t="s">
        <v>212</v>
      </c>
      <c r="W1098" s="49"/>
      <c r="X1098" s="42" t="str">
        <f>IF($B1098&lt;=入力シート!$F$85,""&amp;中間シート!X795,"")</f>
        <v/>
      </c>
      <c r="AQ1098" s="81">
        <f>中間シート!E795</f>
        <v>0</v>
      </c>
      <c r="AR1098" s="86">
        <f>IF(F1098="含まれている",1,IF(F1098="含まれていない",2,0))</f>
        <v>0</v>
      </c>
      <c r="AS1098" s="86" t="str">
        <f>中間シート!P641</f>
        <v/>
      </c>
    </row>
    <row r="1099" spans="2:45" ht="5.0999999999999996" customHeight="1" thickBot="1" x14ac:dyDescent="0.2">
      <c r="C1099" s="49"/>
      <c r="D1099" s="49"/>
      <c r="E1099" s="276"/>
      <c r="F1099" s="22"/>
      <c r="G1099" s="22"/>
      <c r="H1099" s="22"/>
      <c r="I1099" s="262"/>
      <c r="J1099" s="31"/>
      <c r="K1099" s="31"/>
      <c r="L1099" s="31"/>
      <c r="M1099" s="31"/>
      <c r="N1099" s="31"/>
      <c r="O1099" s="31"/>
      <c r="P1099" s="78" t="s">
        <v>212</v>
      </c>
      <c r="Q1099" s="22"/>
      <c r="R1099" s="78" t="s">
        <v>212</v>
      </c>
      <c r="S1099" s="78"/>
      <c r="T1099" s="22"/>
      <c r="U1099" s="78"/>
      <c r="V1099" s="78" t="s">
        <v>212</v>
      </c>
      <c r="W1099" s="49"/>
      <c r="X1099" s="42" t="s">
        <v>212</v>
      </c>
      <c r="AQ1099" s="21" t="s">
        <v>212</v>
      </c>
      <c r="AR1099" s="86"/>
      <c r="AS1099" s="86" t="s">
        <v>212</v>
      </c>
    </row>
    <row r="1100" spans="2:45" ht="18" customHeight="1" thickBot="1" x14ac:dyDescent="0.2">
      <c r="B1100" s="42">
        <v>43</v>
      </c>
      <c r="C1100" s="49"/>
      <c r="D1100" s="49"/>
      <c r="E1100" s="275" t="s">
        <v>222</v>
      </c>
      <c r="F1100" s="390"/>
      <c r="G1100" s="391"/>
      <c r="H1100" s="392"/>
      <c r="I1100" s="263"/>
      <c r="J1100" s="20"/>
      <c r="K1100" s="30"/>
      <c r="L1100" s="20"/>
      <c r="M1100" s="30"/>
      <c r="N1100" s="20"/>
      <c r="O1100" s="30"/>
      <c r="P1100" s="78" t="s">
        <v>212</v>
      </c>
      <c r="Q1100" s="78"/>
      <c r="R1100" s="78" t="s">
        <v>212</v>
      </c>
      <c r="S1100" s="78"/>
      <c r="T1100" s="22"/>
      <c r="U1100" s="78"/>
      <c r="V1100" s="78" t="s">
        <v>212</v>
      </c>
      <c r="W1100" s="49"/>
      <c r="X1100" s="42" t="str">
        <f>IF($B1100&lt;=入力シート!$F$85,""&amp;中間シート!X796,"")</f>
        <v/>
      </c>
      <c r="AQ1100" s="81">
        <f>中間シート!E796</f>
        <v>0</v>
      </c>
      <c r="AR1100" s="86">
        <f>IF(F1100="含まれている",1,IF(F1100="含まれていない",2,0))</f>
        <v>0</v>
      </c>
      <c r="AS1100" s="86" t="str">
        <f>中間シート!P642</f>
        <v/>
      </c>
    </row>
    <row r="1101" spans="2:45" x14ac:dyDescent="0.15">
      <c r="C1101" s="49"/>
      <c r="D1101" s="49"/>
      <c r="E1101" s="55"/>
      <c r="F1101" s="31"/>
      <c r="G1101" s="31"/>
      <c r="H1101" s="31"/>
      <c r="I1101" s="31"/>
      <c r="J1101" s="31"/>
      <c r="K1101" s="31"/>
      <c r="L1101" s="31"/>
      <c r="M1101" s="22"/>
      <c r="N1101" s="78"/>
      <c r="O1101" s="78"/>
      <c r="P1101" s="31" t="s">
        <v>212</v>
      </c>
      <c r="Q1101" s="78"/>
      <c r="R1101" s="78" t="s">
        <v>212</v>
      </c>
      <c r="S1101" s="78"/>
      <c r="T1101" s="78"/>
      <c r="U1101" s="78"/>
      <c r="V1101" s="78" t="s">
        <v>212</v>
      </c>
      <c r="W1101" s="49"/>
      <c r="X1101" s="42" t="s">
        <v>212</v>
      </c>
      <c r="AQ1101" s="86" t="s">
        <v>212</v>
      </c>
      <c r="AR1101" s="86"/>
      <c r="AS1101" s="86" t="s">
        <v>212</v>
      </c>
    </row>
    <row r="1102" spans="2:45" ht="14.25" thickBot="1" x14ac:dyDescent="0.2">
      <c r="C1102" s="89"/>
      <c r="D1102" s="89"/>
      <c r="E1102" s="280"/>
      <c r="F1102" s="89"/>
      <c r="G1102" s="89"/>
      <c r="H1102" s="89"/>
      <c r="I1102" s="265"/>
      <c r="J1102" s="89"/>
      <c r="K1102" s="89"/>
      <c r="L1102" s="89"/>
      <c r="M1102" s="89"/>
      <c r="N1102" s="89"/>
      <c r="O1102" s="89"/>
      <c r="P1102" s="89" t="s">
        <v>212</v>
      </c>
      <c r="Q1102" s="89"/>
      <c r="R1102" s="89" t="s">
        <v>212</v>
      </c>
      <c r="S1102" s="89"/>
      <c r="T1102" s="89"/>
      <c r="U1102" s="89"/>
      <c r="V1102" s="89" t="s">
        <v>212</v>
      </c>
      <c r="W1102" s="89"/>
      <c r="X1102" s="42" t="s">
        <v>212</v>
      </c>
      <c r="AQ1102" s="86" t="s">
        <v>212</v>
      </c>
      <c r="AR1102" s="86"/>
      <c r="AS1102" s="86" t="s">
        <v>212</v>
      </c>
    </row>
    <row r="1103" spans="2:45" ht="18" customHeight="1" thickBot="1" x14ac:dyDescent="0.2">
      <c r="B1103" s="42">
        <v>44</v>
      </c>
      <c r="C1103" s="89"/>
      <c r="D1103" s="91" t="s">
        <v>199</v>
      </c>
      <c r="E1103" s="277" t="s">
        <v>220</v>
      </c>
      <c r="F1103" s="390"/>
      <c r="G1103" s="391"/>
      <c r="H1103" s="392"/>
      <c r="I1103" s="266"/>
      <c r="J1103" s="20"/>
      <c r="K1103" s="98"/>
      <c r="L1103" s="20"/>
      <c r="M1103" s="98"/>
      <c r="N1103" s="20"/>
      <c r="O1103" s="98"/>
      <c r="P1103" s="283">
        <f>中間シート!D863</f>
        <v>0</v>
      </c>
      <c r="Q1103" s="75"/>
      <c r="R1103" s="283">
        <f>中間シート!G863</f>
        <v>0</v>
      </c>
      <c r="S1103" s="75"/>
      <c r="T1103" s="99" t="s">
        <v>95</v>
      </c>
      <c r="U1103" s="75"/>
      <c r="V1103" s="283">
        <f>中間シート!H863</f>
        <v>0</v>
      </c>
      <c r="W1103" s="89"/>
      <c r="X1103" s="42" t="str">
        <f>IF($B1103&lt;=入力シート!$F$85,""&amp;中間シート!X797,"")</f>
        <v/>
      </c>
      <c r="AQ1103" s="81">
        <f>中間シート!E797</f>
        <v>0</v>
      </c>
      <c r="AR1103" s="86">
        <f>IF(F1103="含まれている",1,IF(F1103="含まれていない",2,0))</f>
        <v>0</v>
      </c>
      <c r="AS1103" s="86" t="str">
        <f>中間シート!P643</f>
        <v/>
      </c>
    </row>
    <row r="1104" spans="2:45" ht="5.0999999999999996" customHeight="1" thickBot="1" x14ac:dyDescent="0.2">
      <c r="C1104" s="89"/>
      <c r="D1104" s="89"/>
      <c r="E1104" s="278"/>
      <c r="F1104" s="100"/>
      <c r="G1104" s="100"/>
      <c r="H1104" s="100"/>
      <c r="I1104" s="267"/>
      <c r="J1104" s="101"/>
      <c r="K1104" s="101"/>
      <c r="L1104" s="101"/>
      <c r="M1104" s="101"/>
      <c r="N1104" s="101"/>
      <c r="O1104" s="101"/>
      <c r="P1104" s="75" t="s">
        <v>212</v>
      </c>
      <c r="Q1104" s="100"/>
      <c r="R1104" s="75" t="s">
        <v>212</v>
      </c>
      <c r="S1104" s="75"/>
      <c r="T1104" s="100"/>
      <c r="U1104" s="75"/>
      <c r="V1104" s="75" t="s">
        <v>212</v>
      </c>
      <c r="W1104" s="89"/>
      <c r="X1104" s="42" t="s">
        <v>212</v>
      </c>
      <c r="AQ1104" s="86" t="s">
        <v>212</v>
      </c>
      <c r="AR1104" s="86"/>
      <c r="AS1104" s="86" t="s">
        <v>212</v>
      </c>
    </row>
    <row r="1105" spans="2:45" ht="18" customHeight="1" thickBot="1" x14ac:dyDescent="0.2">
      <c r="B1105" s="42">
        <v>44</v>
      </c>
      <c r="C1105" s="89"/>
      <c r="D1105" s="89"/>
      <c r="E1105" s="277" t="s">
        <v>221</v>
      </c>
      <c r="F1105" s="390"/>
      <c r="G1105" s="391"/>
      <c r="H1105" s="392"/>
      <c r="I1105" s="266"/>
      <c r="J1105" s="20"/>
      <c r="K1105" s="98"/>
      <c r="L1105" s="20"/>
      <c r="M1105" s="98"/>
      <c r="N1105" s="20"/>
      <c r="O1105" s="98"/>
      <c r="P1105" s="75" t="s">
        <v>212</v>
      </c>
      <c r="Q1105" s="75"/>
      <c r="R1105" s="75" t="s">
        <v>212</v>
      </c>
      <c r="S1105" s="75"/>
      <c r="T1105" s="100"/>
      <c r="U1105" s="75"/>
      <c r="V1105" s="75" t="s">
        <v>212</v>
      </c>
      <c r="W1105" s="89"/>
      <c r="X1105" s="42" t="str">
        <f>IF($B1105&lt;=入力シート!$F$85,""&amp;中間シート!X798,"")</f>
        <v/>
      </c>
      <c r="AQ1105" s="81">
        <f>中間シート!E798</f>
        <v>0</v>
      </c>
      <c r="AR1105" s="86">
        <f>IF(F1105="含まれている",1,IF(F1105="含まれていない",2,0))</f>
        <v>0</v>
      </c>
      <c r="AS1105" s="86" t="str">
        <f>中間シート!P644</f>
        <v/>
      </c>
    </row>
    <row r="1106" spans="2:45" ht="5.0999999999999996" customHeight="1" thickBot="1" x14ac:dyDescent="0.2">
      <c r="C1106" s="89"/>
      <c r="D1106" s="89"/>
      <c r="E1106" s="278"/>
      <c r="F1106" s="100"/>
      <c r="G1106" s="100"/>
      <c r="H1106" s="100"/>
      <c r="I1106" s="267"/>
      <c r="J1106" s="101"/>
      <c r="K1106" s="101"/>
      <c r="L1106" s="101"/>
      <c r="M1106" s="101"/>
      <c r="N1106" s="101"/>
      <c r="O1106" s="101"/>
      <c r="P1106" s="75" t="s">
        <v>212</v>
      </c>
      <c r="Q1106" s="100"/>
      <c r="R1106" s="75" t="s">
        <v>212</v>
      </c>
      <c r="S1106" s="75"/>
      <c r="T1106" s="100"/>
      <c r="U1106" s="75"/>
      <c r="V1106" s="75" t="s">
        <v>212</v>
      </c>
      <c r="W1106" s="89"/>
      <c r="X1106" s="42" t="s">
        <v>212</v>
      </c>
      <c r="AQ1106" s="21" t="s">
        <v>212</v>
      </c>
      <c r="AR1106" s="86"/>
      <c r="AS1106" s="86" t="s">
        <v>212</v>
      </c>
    </row>
    <row r="1107" spans="2:45" ht="18" customHeight="1" thickBot="1" x14ac:dyDescent="0.2">
      <c r="B1107" s="42">
        <v>44</v>
      </c>
      <c r="C1107" s="89"/>
      <c r="D1107" s="89"/>
      <c r="E1107" s="277" t="s">
        <v>222</v>
      </c>
      <c r="F1107" s="390"/>
      <c r="G1107" s="391"/>
      <c r="H1107" s="392"/>
      <c r="I1107" s="266"/>
      <c r="J1107" s="20"/>
      <c r="K1107" s="98"/>
      <c r="L1107" s="20"/>
      <c r="M1107" s="98"/>
      <c r="N1107" s="20"/>
      <c r="O1107" s="98"/>
      <c r="P1107" s="75" t="s">
        <v>212</v>
      </c>
      <c r="Q1107" s="75"/>
      <c r="R1107" s="75" t="s">
        <v>212</v>
      </c>
      <c r="S1107" s="75"/>
      <c r="T1107" s="100"/>
      <c r="U1107" s="75"/>
      <c r="V1107" s="75" t="s">
        <v>212</v>
      </c>
      <c r="W1107" s="89"/>
      <c r="X1107" s="42" t="str">
        <f>IF($B1107&lt;=入力シート!$F$85,""&amp;中間シート!X799,"")</f>
        <v/>
      </c>
      <c r="AQ1107" s="81">
        <f>中間シート!E799</f>
        <v>0</v>
      </c>
      <c r="AR1107" s="86">
        <f>IF(F1107="含まれている",1,IF(F1107="含まれていない",2,0))</f>
        <v>0</v>
      </c>
      <c r="AS1107" s="86" t="str">
        <f>中間シート!P645</f>
        <v/>
      </c>
    </row>
    <row r="1108" spans="2:45" x14ac:dyDescent="0.15">
      <c r="C1108" s="89"/>
      <c r="D1108" s="89"/>
      <c r="E1108" s="280"/>
      <c r="F1108" s="101"/>
      <c r="G1108" s="101"/>
      <c r="H1108" s="101"/>
      <c r="I1108" s="101"/>
      <c r="J1108" s="101"/>
      <c r="K1108" s="101"/>
      <c r="L1108" s="101"/>
      <c r="M1108" s="100"/>
      <c r="N1108" s="75"/>
      <c r="O1108" s="75"/>
      <c r="P1108" s="101" t="s">
        <v>212</v>
      </c>
      <c r="Q1108" s="75"/>
      <c r="R1108" s="75" t="s">
        <v>212</v>
      </c>
      <c r="S1108" s="75"/>
      <c r="T1108" s="75"/>
      <c r="U1108" s="75"/>
      <c r="V1108" s="75" t="s">
        <v>212</v>
      </c>
      <c r="W1108" s="89"/>
      <c r="X1108" s="42" t="s">
        <v>212</v>
      </c>
      <c r="AQ1108" s="86" t="s">
        <v>212</v>
      </c>
      <c r="AR1108" s="86"/>
      <c r="AS1108" s="86" t="s">
        <v>212</v>
      </c>
    </row>
    <row r="1109" spans="2:45" ht="14.25" thickBot="1" x14ac:dyDescent="0.2">
      <c r="C1109" s="49"/>
      <c r="D1109" s="49"/>
      <c r="E1109" s="279"/>
      <c r="F1109" s="22"/>
      <c r="G1109" s="22"/>
      <c r="H1109" s="22"/>
      <c r="I1109" s="262"/>
      <c r="J1109" s="22"/>
      <c r="K1109" s="22"/>
      <c r="L1109" s="22"/>
      <c r="M1109" s="22"/>
      <c r="N1109" s="22"/>
      <c r="O1109" s="22"/>
      <c r="P1109" s="22" t="s">
        <v>212</v>
      </c>
      <c r="Q1109" s="78"/>
      <c r="R1109" s="22" t="s">
        <v>212</v>
      </c>
      <c r="S1109" s="22"/>
      <c r="T1109" s="78"/>
      <c r="U1109" s="78"/>
      <c r="V1109" s="22" t="s">
        <v>212</v>
      </c>
      <c r="W1109" s="49"/>
      <c r="X1109" s="42" t="s">
        <v>212</v>
      </c>
      <c r="AQ1109" s="86" t="s">
        <v>212</v>
      </c>
      <c r="AR1109" s="86"/>
      <c r="AS1109" s="86" t="s">
        <v>212</v>
      </c>
    </row>
    <row r="1110" spans="2:45" ht="18" customHeight="1" thickBot="1" x14ac:dyDescent="0.2">
      <c r="B1110" s="42">
        <v>45</v>
      </c>
      <c r="C1110" s="49"/>
      <c r="D1110" s="52" t="s">
        <v>200</v>
      </c>
      <c r="E1110" s="275" t="s">
        <v>220</v>
      </c>
      <c r="F1110" s="390"/>
      <c r="G1110" s="391"/>
      <c r="H1110" s="392"/>
      <c r="I1110" s="263"/>
      <c r="J1110" s="20"/>
      <c r="K1110" s="30"/>
      <c r="L1110" s="20"/>
      <c r="M1110" s="30"/>
      <c r="N1110" s="20"/>
      <c r="O1110" s="30"/>
      <c r="P1110" s="283">
        <f>中間シート!D864</f>
        <v>0</v>
      </c>
      <c r="Q1110" s="78"/>
      <c r="R1110" s="283">
        <f>中間シート!G864</f>
        <v>0</v>
      </c>
      <c r="S1110" s="78"/>
      <c r="T1110" s="97" t="s">
        <v>95</v>
      </c>
      <c r="U1110" s="78"/>
      <c r="V1110" s="283">
        <f>中間シート!H864</f>
        <v>0</v>
      </c>
      <c r="W1110" s="49"/>
      <c r="X1110" s="42" t="str">
        <f>IF($B1110&lt;=入力シート!$F$85,""&amp;中間シート!X800,"")</f>
        <v/>
      </c>
      <c r="AQ1110" s="81">
        <f>中間シート!E800</f>
        <v>0</v>
      </c>
      <c r="AR1110" s="86">
        <f>IF(F1110="含まれている",1,IF(F1110="含まれていない",2,0))</f>
        <v>0</v>
      </c>
      <c r="AS1110" s="86" t="str">
        <f>中間シート!P646</f>
        <v/>
      </c>
    </row>
    <row r="1111" spans="2:45" ht="5.0999999999999996" customHeight="1" thickBot="1" x14ac:dyDescent="0.2">
      <c r="C1111" s="49"/>
      <c r="D1111" s="49"/>
      <c r="E1111" s="276"/>
      <c r="F1111" s="22"/>
      <c r="G1111" s="22"/>
      <c r="H1111" s="22"/>
      <c r="I1111" s="262"/>
      <c r="J1111" s="31"/>
      <c r="K1111" s="31"/>
      <c r="L1111" s="31"/>
      <c r="M1111" s="31"/>
      <c r="N1111" s="31"/>
      <c r="O1111" s="31"/>
      <c r="P1111" s="78" t="s">
        <v>212</v>
      </c>
      <c r="Q1111" s="22"/>
      <c r="R1111" s="78" t="s">
        <v>212</v>
      </c>
      <c r="S1111" s="78"/>
      <c r="T1111" s="22"/>
      <c r="U1111" s="78"/>
      <c r="V1111" s="78" t="s">
        <v>212</v>
      </c>
      <c r="W1111" s="49"/>
      <c r="X1111" s="42" t="s">
        <v>212</v>
      </c>
      <c r="AQ1111" s="86" t="s">
        <v>212</v>
      </c>
      <c r="AR1111" s="86"/>
      <c r="AS1111" s="86" t="s">
        <v>212</v>
      </c>
    </row>
    <row r="1112" spans="2:45" ht="18" customHeight="1" thickBot="1" x14ac:dyDescent="0.2">
      <c r="B1112" s="42">
        <v>45</v>
      </c>
      <c r="C1112" s="49"/>
      <c r="D1112" s="49"/>
      <c r="E1112" s="275" t="s">
        <v>221</v>
      </c>
      <c r="F1112" s="390"/>
      <c r="G1112" s="391"/>
      <c r="H1112" s="392"/>
      <c r="I1112" s="263"/>
      <c r="J1112" s="20"/>
      <c r="K1112" s="30"/>
      <c r="L1112" s="20"/>
      <c r="M1112" s="30"/>
      <c r="N1112" s="20"/>
      <c r="O1112" s="30"/>
      <c r="P1112" s="78" t="s">
        <v>212</v>
      </c>
      <c r="Q1112" s="78"/>
      <c r="R1112" s="78" t="s">
        <v>212</v>
      </c>
      <c r="S1112" s="78"/>
      <c r="T1112" s="22"/>
      <c r="U1112" s="78"/>
      <c r="V1112" s="78" t="s">
        <v>212</v>
      </c>
      <c r="W1112" s="49"/>
      <c r="X1112" s="42" t="str">
        <f>IF($B1112&lt;=入力シート!$F$85,""&amp;中間シート!X801,"")</f>
        <v/>
      </c>
      <c r="AQ1112" s="81">
        <f>中間シート!E801</f>
        <v>0</v>
      </c>
      <c r="AR1112" s="86">
        <f>IF(F1112="含まれている",1,IF(F1112="含まれていない",2,0))</f>
        <v>0</v>
      </c>
      <c r="AS1112" s="86" t="str">
        <f>中間シート!P647</f>
        <v/>
      </c>
    </row>
    <row r="1113" spans="2:45" ht="5.0999999999999996" customHeight="1" thickBot="1" x14ac:dyDescent="0.2">
      <c r="C1113" s="49"/>
      <c r="D1113" s="49"/>
      <c r="E1113" s="276"/>
      <c r="F1113" s="22"/>
      <c r="G1113" s="22"/>
      <c r="H1113" s="22"/>
      <c r="I1113" s="262"/>
      <c r="J1113" s="31"/>
      <c r="K1113" s="31"/>
      <c r="L1113" s="31"/>
      <c r="M1113" s="31"/>
      <c r="N1113" s="31"/>
      <c r="O1113" s="31"/>
      <c r="P1113" s="78" t="s">
        <v>212</v>
      </c>
      <c r="Q1113" s="22"/>
      <c r="R1113" s="78" t="s">
        <v>212</v>
      </c>
      <c r="S1113" s="78"/>
      <c r="T1113" s="22"/>
      <c r="U1113" s="78"/>
      <c r="V1113" s="78" t="s">
        <v>212</v>
      </c>
      <c r="W1113" s="49"/>
      <c r="X1113" s="42" t="s">
        <v>212</v>
      </c>
      <c r="AQ1113" s="21" t="s">
        <v>212</v>
      </c>
      <c r="AR1113" s="86"/>
      <c r="AS1113" s="86" t="s">
        <v>212</v>
      </c>
    </row>
    <row r="1114" spans="2:45" ht="18" customHeight="1" thickBot="1" x14ac:dyDescent="0.2">
      <c r="B1114" s="42">
        <v>45</v>
      </c>
      <c r="C1114" s="49"/>
      <c r="D1114" s="49"/>
      <c r="E1114" s="275" t="s">
        <v>222</v>
      </c>
      <c r="F1114" s="390"/>
      <c r="G1114" s="391"/>
      <c r="H1114" s="392"/>
      <c r="I1114" s="263"/>
      <c r="J1114" s="20"/>
      <c r="K1114" s="30"/>
      <c r="L1114" s="20"/>
      <c r="M1114" s="30"/>
      <c r="N1114" s="20"/>
      <c r="O1114" s="30"/>
      <c r="P1114" s="78" t="s">
        <v>212</v>
      </c>
      <c r="Q1114" s="78"/>
      <c r="R1114" s="78" t="s">
        <v>212</v>
      </c>
      <c r="S1114" s="78"/>
      <c r="T1114" s="22"/>
      <c r="U1114" s="78"/>
      <c r="V1114" s="78" t="s">
        <v>212</v>
      </c>
      <c r="W1114" s="49"/>
      <c r="X1114" s="42" t="str">
        <f>IF($B1114&lt;=入力シート!$F$85,""&amp;中間シート!X802,"")</f>
        <v/>
      </c>
      <c r="AQ1114" s="81">
        <f>中間シート!E802</f>
        <v>0</v>
      </c>
      <c r="AR1114" s="86">
        <f>IF(F1114="含まれている",1,IF(F1114="含まれていない",2,0))</f>
        <v>0</v>
      </c>
      <c r="AS1114" s="86" t="str">
        <f>中間シート!P648</f>
        <v/>
      </c>
    </row>
    <row r="1115" spans="2:45" x14ac:dyDescent="0.15">
      <c r="C1115" s="49"/>
      <c r="D1115" s="49"/>
      <c r="E1115" s="55"/>
      <c r="F1115" s="31"/>
      <c r="G1115" s="31"/>
      <c r="H1115" s="31"/>
      <c r="I1115" s="31"/>
      <c r="J1115" s="31"/>
      <c r="K1115" s="31"/>
      <c r="L1115" s="31"/>
      <c r="M1115" s="22"/>
      <c r="N1115" s="78"/>
      <c r="O1115" s="78"/>
      <c r="P1115" s="31" t="s">
        <v>212</v>
      </c>
      <c r="Q1115" s="78"/>
      <c r="R1115" s="78" t="s">
        <v>212</v>
      </c>
      <c r="S1115" s="78"/>
      <c r="T1115" s="78"/>
      <c r="U1115" s="78"/>
      <c r="V1115" s="78" t="s">
        <v>212</v>
      </c>
      <c r="W1115" s="49"/>
      <c r="X1115" s="42" t="s">
        <v>212</v>
      </c>
      <c r="AQ1115" s="86" t="s">
        <v>212</v>
      </c>
      <c r="AR1115" s="86"/>
      <c r="AS1115" s="86" t="s">
        <v>212</v>
      </c>
    </row>
    <row r="1116" spans="2:45" ht="14.25" thickBot="1" x14ac:dyDescent="0.2">
      <c r="C1116" s="89"/>
      <c r="D1116" s="89"/>
      <c r="E1116" s="280"/>
      <c r="F1116" s="89"/>
      <c r="G1116" s="89"/>
      <c r="H1116" s="89"/>
      <c r="I1116" s="265"/>
      <c r="J1116" s="89"/>
      <c r="K1116" s="89"/>
      <c r="L1116" s="89"/>
      <c r="M1116" s="89"/>
      <c r="N1116" s="89"/>
      <c r="O1116" s="89"/>
      <c r="P1116" s="89" t="s">
        <v>212</v>
      </c>
      <c r="Q1116" s="89"/>
      <c r="R1116" s="89" t="s">
        <v>212</v>
      </c>
      <c r="S1116" s="89"/>
      <c r="T1116" s="89"/>
      <c r="U1116" s="89"/>
      <c r="V1116" s="89" t="s">
        <v>212</v>
      </c>
      <c r="W1116" s="89"/>
      <c r="X1116" s="42" t="s">
        <v>212</v>
      </c>
      <c r="AQ1116" s="86" t="s">
        <v>212</v>
      </c>
      <c r="AR1116" s="86"/>
      <c r="AS1116" s="86" t="s">
        <v>212</v>
      </c>
    </row>
    <row r="1117" spans="2:45" ht="18" customHeight="1" thickBot="1" x14ac:dyDescent="0.2">
      <c r="B1117" s="42">
        <v>46</v>
      </c>
      <c r="C1117" s="89"/>
      <c r="D1117" s="91" t="s">
        <v>201</v>
      </c>
      <c r="E1117" s="277" t="s">
        <v>220</v>
      </c>
      <c r="F1117" s="390"/>
      <c r="G1117" s="391"/>
      <c r="H1117" s="392"/>
      <c r="I1117" s="266"/>
      <c r="J1117" s="20"/>
      <c r="K1117" s="98"/>
      <c r="L1117" s="20"/>
      <c r="M1117" s="98"/>
      <c r="N1117" s="20"/>
      <c r="O1117" s="98"/>
      <c r="P1117" s="283">
        <f>中間シート!D865</f>
        <v>0</v>
      </c>
      <c r="Q1117" s="75"/>
      <c r="R1117" s="283">
        <f>中間シート!G865</f>
        <v>0</v>
      </c>
      <c r="S1117" s="75"/>
      <c r="T1117" s="99" t="s">
        <v>95</v>
      </c>
      <c r="U1117" s="75"/>
      <c r="V1117" s="283">
        <f>中間シート!H865</f>
        <v>0</v>
      </c>
      <c r="W1117" s="89"/>
      <c r="X1117" s="42" t="str">
        <f>IF($B1117&lt;=入力シート!$F$85,""&amp;中間シート!X803,"")</f>
        <v/>
      </c>
      <c r="AQ1117" s="81">
        <f>中間シート!E803</f>
        <v>0</v>
      </c>
      <c r="AR1117" s="86">
        <f>IF(F1117="含まれている",1,IF(F1117="含まれていない",2,0))</f>
        <v>0</v>
      </c>
      <c r="AS1117" s="86" t="str">
        <f>中間シート!P649</f>
        <v/>
      </c>
    </row>
    <row r="1118" spans="2:45" ht="5.0999999999999996" customHeight="1" thickBot="1" x14ac:dyDescent="0.2">
      <c r="C1118" s="89"/>
      <c r="D1118" s="89"/>
      <c r="E1118" s="278"/>
      <c r="F1118" s="100"/>
      <c r="G1118" s="100"/>
      <c r="H1118" s="100"/>
      <c r="I1118" s="267"/>
      <c r="J1118" s="101"/>
      <c r="K1118" s="101"/>
      <c r="L1118" s="101"/>
      <c r="M1118" s="101"/>
      <c r="N1118" s="101"/>
      <c r="O1118" s="101"/>
      <c r="P1118" s="75" t="s">
        <v>212</v>
      </c>
      <c r="Q1118" s="100"/>
      <c r="R1118" s="75" t="s">
        <v>212</v>
      </c>
      <c r="S1118" s="75"/>
      <c r="T1118" s="100"/>
      <c r="U1118" s="75"/>
      <c r="V1118" s="75" t="s">
        <v>212</v>
      </c>
      <c r="W1118" s="89"/>
      <c r="X1118" s="42" t="s">
        <v>212</v>
      </c>
      <c r="AQ1118" s="86" t="s">
        <v>212</v>
      </c>
      <c r="AR1118" s="86"/>
      <c r="AS1118" s="86" t="s">
        <v>212</v>
      </c>
    </row>
    <row r="1119" spans="2:45" ht="18" customHeight="1" thickBot="1" x14ac:dyDescent="0.2">
      <c r="B1119" s="42">
        <v>46</v>
      </c>
      <c r="C1119" s="89"/>
      <c r="D1119" s="89"/>
      <c r="E1119" s="277" t="s">
        <v>221</v>
      </c>
      <c r="F1119" s="390"/>
      <c r="G1119" s="391"/>
      <c r="H1119" s="392"/>
      <c r="I1119" s="266"/>
      <c r="J1119" s="20"/>
      <c r="K1119" s="98"/>
      <c r="L1119" s="20"/>
      <c r="M1119" s="98"/>
      <c r="N1119" s="20"/>
      <c r="O1119" s="98"/>
      <c r="P1119" s="75" t="s">
        <v>212</v>
      </c>
      <c r="Q1119" s="75"/>
      <c r="R1119" s="75" t="s">
        <v>212</v>
      </c>
      <c r="S1119" s="75"/>
      <c r="T1119" s="100"/>
      <c r="U1119" s="75"/>
      <c r="V1119" s="75" t="s">
        <v>212</v>
      </c>
      <c r="W1119" s="89"/>
      <c r="X1119" s="42" t="str">
        <f>IF($B1119&lt;=入力シート!$F$85,""&amp;中間シート!X804,"")</f>
        <v/>
      </c>
      <c r="AQ1119" s="81">
        <f>中間シート!E804</f>
        <v>0</v>
      </c>
      <c r="AR1119" s="86">
        <f>IF(F1119="含まれている",1,IF(F1119="含まれていない",2,0))</f>
        <v>0</v>
      </c>
      <c r="AS1119" s="86" t="str">
        <f>中間シート!P650</f>
        <v/>
      </c>
    </row>
    <row r="1120" spans="2:45" ht="5.0999999999999996" customHeight="1" thickBot="1" x14ac:dyDescent="0.2">
      <c r="C1120" s="89"/>
      <c r="D1120" s="89"/>
      <c r="E1120" s="278"/>
      <c r="F1120" s="100"/>
      <c r="G1120" s="100"/>
      <c r="H1120" s="100"/>
      <c r="I1120" s="267"/>
      <c r="J1120" s="101"/>
      <c r="K1120" s="101"/>
      <c r="L1120" s="101"/>
      <c r="M1120" s="101"/>
      <c r="N1120" s="101"/>
      <c r="O1120" s="101"/>
      <c r="P1120" s="75" t="s">
        <v>212</v>
      </c>
      <c r="Q1120" s="100"/>
      <c r="R1120" s="75" t="s">
        <v>212</v>
      </c>
      <c r="S1120" s="75"/>
      <c r="T1120" s="100"/>
      <c r="U1120" s="75"/>
      <c r="V1120" s="75" t="s">
        <v>212</v>
      </c>
      <c r="W1120" s="89"/>
      <c r="X1120" s="42" t="s">
        <v>212</v>
      </c>
      <c r="AQ1120" s="21" t="s">
        <v>212</v>
      </c>
      <c r="AR1120" s="86"/>
      <c r="AS1120" s="86" t="s">
        <v>212</v>
      </c>
    </row>
    <row r="1121" spans="2:45" ht="18" customHeight="1" thickBot="1" x14ac:dyDescent="0.2">
      <c r="B1121" s="42">
        <v>46</v>
      </c>
      <c r="C1121" s="89"/>
      <c r="D1121" s="89"/>
      <c r="E1121" s="277" t="s">
        <v>222</v>
      </c>
      <c r="F1121" s="390"/>
      <c r="G1121" s="391"/>
      <c r="H1121" s="392"/>
      <c r="I1121" s="266"/>
      <c r="J1121" s="20"/>
      <c r="K1121" s="98"/>
      <c r="L1121" s="20"/>
      <c r="M1121" s="98"/>
      <c r="N1121" s="20"/>
      <c r="O1121" s="98"/>
      <c r="P1121" s="75" t="s">
        <v>212</v>
      </c>
      <c r="Q1121" s="75"/>
      <c r="R1121" s="75" t="s">
        <v>212</v>
      </c>
      <c r="S1121" s="75"/>
      <c r="T1121" s="100"/>
      <c r="U1121" s="75"/>
      <c r="V1121" s="75" t="s">
        <v>212</v>
      </c>
      <c r="W1121" s="89"/>
      <c r="X1121" s="42" t="str">
        <f>IF($B1121&lt;=入力シート!$F$85,""&amp;中間シート!X805,"")</f>
        <v/>
      </c>
      <c r="AQ1121" s="81">
        <f>中間シート!E805</f>
        <v>0</v>
      </c>
      <c r="AR1121" s="86">
        <f>IF(F1121="含まれている",1,IF(F1121="含まれていない",2,0))</f>
        <v>0</v>
      </c>
      <c r="AS1121" s="86" t="str">
        <f>中間シート!P651</f>
        <v/>
      </c>
    </row>
    <row r="1122" spans="2:45" x14ac:dyDescent="0.15">
      <c r="C1122" s="89"/>
      <c r="D1122" s="89"/>
      <c r="E1122" s="280"/>
      <c r="F1122" s="101"/>
      <c r="G1122" s="101"/>
      <c r="H1122" s="101"/>
      <c r="I1122" s="101"/>
      <c r="J1122" s="101"/>
      <c r="K1122" s="101"/>
      <c r="L1122" s="101"/>
      <c r="M1122" s="100"/>
      <c r="N1122" s="75"/>
      <c r="O1122" s="75"/>
      <c r="P1122" s="101" t="s">
        <v>212</v>
      </c>
      <c r="Q1122" s="75"/>
      <c r="R1122" s="75" t="s">
        <v>212</v>
      </c>
      <c r="S1122" s="75"/>
      <c r="T1122" s="75"/>
      <c r="U1122" s="75"/>
      <c r="V1122" s="75" t="s">
        <v>212</v>
      </c>
      <c r="W1122" s="89"/>
      <c r="X1122" s="42" t="s">
        <v>212</v>
      </c>
      <c r="AQ1122" s="86" t="s">
        <v>212</v>
      </c>
      <c r="AR1122" s="86"/>
      <c r="AS1122" s="86" t="s">
        <v>212</v>
      </c>
    </row>
    <row r="1123" spans="2:45" ht="14.25" thickBot="1" x14ac:dyDescent="0.2">
      <c r="C1123" s="49"/>
      <c r="D1123" s="49"/>
      <c r="E1123" s="279"/>
      <c r="F1123" s="22"/>
      <c r="G1123" s="22"/>
      <c r="H1123" s="22"/>
      <c r="I1123" s="262"/>
      <c r="J1123" s="22"/>
      <c r="K1123" s="22"/>
      <c r="L1123" s="22"/>
      <c r="M1123" s="22"/>
      <c r="N1123" s="22"/>
      <c r="O1123" s="22"/>
      <c r="P1123" s="22" t="s">
        <v>212</v>
      </c>
      <c r="Q1123" s="78"/>
      <c r="R1123" s="22" t="s">
        <v>212</v>
      </c>
      <c r="S1123" s="22"/>
      <c r="T1123" s="78"/>
      <c r="U1123" s="78"/>
      <c r="V1123" s="22" t="s">
        <v>212</v>
      </c>
      <c r="W1123" s="49"/>
      <c r="X1123" s="42" t="s">
        <v>212</v>
      </c>
      <c r="AQ1123" s="86" t="s">
        <v>212</v>
      </c>
      <c r="AR1123" s="86"/>
      <c r="AS1123" s="86" t="s">
        <v>212</v>
      </c>
    </row>
    <row r="1124" spans="2:45" ht="18" customHeight="1" thickBot="1" x14ac:dyDescent="0.2">
      <c r="B1124" s="42">
        <v>47</v>
      </c>
      <c r="C1124" s="49"/>
      <c r="D1124" s="52" t="s">
        <v>202</v>
      </c>
      <c r="E1124" s="275" t="s">
        <v>220</v>
      </c>
      <c r="F1124" s="390"/>
      <c r="G1124" s="391"/>
      <c r="H1124" s="392"/>
      <c r="I1124" s="263"/>
      <c r="J1124" s="20"/>
      <c r="K1124" s="30"/>
      <c r="L1124" s="20"/>
      <c r="M1124" s="30"/>
      <c r="N1124" s="20"/>
      <c r="O1124" s="30"/>
      <c r="P1124" s="283">
        <f>中間シート!D866</f>
        <v>0</v>
      </c>
      <c r="Q1124" s="78"/>
      <c r="R1124" s="283">
        <f>中間シート!G866</f>
        <v>0</v>
      </c>
      <c r="S1124" s="78"/>
      <c r="T1124" s="97" t="s">
        <v>95</v>
      </c>
      <c r="U1124" s="78"/>
      <c r="V1124" s="283">
        <f>中間シート!H866</f>
        <v>0</v>
      </c>
      <c r="W1124" s="49"/>
      <c r="X1124" s="42" t="str">
        <f>IF($B1124&lt;=入力シート!$F$85,""&amp;中間シート!X806,"")</f>
        <v/>
      </c>
      <c r="AQ1124" s="81">
        <f>中間シート!E806</f>
        <v>0</v>
      </c>
      <c r="AR1124" s="86">
        <f>IF(F1124="含まれている",1,IF(F1124="含まれていない",2,0))</f>
        <v>0</v>
      </c>
      <c r="AS1124" s="86" t="str">
        <f>中間シート!P652</f>
        <v/>
      </c>
    </row>
    <row r="1125" spans="2:45" ht="5.0999999999999996" customHeight="1" thickBot="1" x14ac:dyDescent="0.2">
      <c r="C1125" s="49"/>
      <c r="D1125" s="49"/>
      <c r="E1125" s="276"/>
      <c r="F1125" s="22"/>
      <c r="G1125" s="22"/>
      <c r="H1125" s="22"/>
      <c r="I1125" s="262"/>
      <c r="J1125" s="31"/>
      <c r="K1125" s="31"/>
      <c r="L1125" s="31"/>
      <c r="M1125" s="31"/>
      <c r="N1125" s="31"/>
      <c r="O1125" s="31"/>
      <c r="P1125" s="78" t="s">
        <v>212</v>
      </c>
      <c r="Q1125" s="22"/>
      <c r="R1125" s="78" t="s">
        <v>212</v>
      </c>
      <c r="S1125" s="78"/>
      <c r="T1125" s="22"/>
      <c r="U1125" s="78"/>
      <c r="V1125" s="78" t="s">
        <v>212</v>
      </c>
      <c r="W1125" s="49"/>
      <c r="X1125" s="42" t="s">
        <v>212</v>
      </c>
      <c r="AQ1125" s="86" t="s">
        <v>212</v>
      </c>
      <c r="AR1125" s="86"/>
      <c r="AS1125" s="86" t="s">
        <v>212</v>
      </c>
    </row>
    <row r="1126" spans="2:45" ht="18" customHeight="1" thickBot="1" x14ac:dyDescent="0.2">
      <c r="B1126" s="42">
        <v>47</v>
      </c>
      <c r="C1126" s="49"/>
      <c r="D1126" s="49"/>
      <c r="E1126" s="275" t="s">
        <v>221</v>
      </c>
      <c r="F1126" s="390"/>
      <c r="G1126" s="391"/>
      <c r="H1126" s="392"/>
      <c r="I1126" s="263"/>
      <c r="J1126" s="20"/>
      <c r="K1126" s="30"/>
      <c r="L1126" s="20"/>
      <c r="M1126" s="30"/>
      <c r="N1126" s="20"/>
      <c r="O1126" s="30"/>
      <c r="P1126" s="78" t="s">
        <v>212</v>
      </c>
      <c r="Q1126" s="78"/>
      <c r="R1126" s="78" t="s">
        <v>212</v>
      </c>
      <c r="S1126" s="78"/>
      <c r="T1126" s="22"/>
      <c r="U1126" s="78"/>
      <c r="V1126" s="78" t="s">
        <v>212</v>
      </c>
      <c r="W1126" s="49"/>
      <c r="X1126" s="42" t="str">
        <f>IF($B1126&lt;=入力シート!$F$85,""&amp;中間シート!X807,"")</f>
        <v/>
      </c>
      <c r="AQ1126" s="81">
        <f>中間シート!E807</f>
        <v>0</v>
      </c>
      <c r="AR1126" s="86">
        <f>IF(F1126="含まれている",1,IF(F1126="含まれていない",2,0))</f>
        <v>0</v>
      </c>
      <c r="AS1126" s="86" t="str">
        <f>中間シート!P653</f>
        <v/>
      </c>
    </row>
    <row r="1127" spans="2:45" ht="5.0999999999999996" customHeight="1" thickBot="1" x14ac:dyDescent="0.2">
      <c r="C1127" s="49"/>
      <c r="D1127" s="49"/>
      <c r="E1127" s="276"/>
      <c r="F1127" s="22"/>
      <c r="G1127" s="22"/>
      <c r="H1127" s="22"/>
      <c r="I1127" s="262"/>
      <c r="J1127" s="31"/>
      <c r="K1127" s="31"/>
      <c r="L1127" s="31"/>
      <c r="M1127" s="31"/>
      <c r="N1127" s="31"/>
      <c r="O1127" s="31"/>
      <c r="P1127" s="78" t="s">
        <v>212</v>
      </c>
      <c r="Q1127" s="22"/>
      <c r="R1127" s="78" t="s">
        <v>212</v>
      </c>
      <c r="S1127" s="78"/>
      <c r="T1127" s="22"/>
      <c r="U1127" s="78"/>
      <c r="V1127" s="78" t="s">
        <v>212</v>
      </c>
      <c r="W1127" s="49"/>
      <c r="X1127" s="42" t="s">
        <v>212</v>
      </c>
      <c r="AQ1127" s="21" t="s">
        <v>212</v>
      </c>
      <c r="AR1127" s="86"/>
      <c r="AS1127" s="86" t="s">
        <v>212</v>
      </c>
    </row>
    <row r="1128" spans="2:45" ht="18" customHeight="1" thickBot="1" x14ac:dyDescent="0.2">
      <c r="B1128" s="42">
        <v>47</v>
      </c>
      <c r="C1128" s="49"/>
      <c r="D1128" s="49"/>
      <c r="E1128" s="275" t="s">
        <v>222</v>
      </c>
      <c r="F1128" s="390"/>
      <c r="G1128" s="391"/>
      <c r="H1128" s="392"/>
      <c r="I1128" s="263"/>
      <c r="J1128" s="20"/>
      <c r="K1128" s="30"/>
      <c r="L1128" s="20"/>
      <c r="M1128" s="30"/>
      <c r="N1128" s="20"/>
      <c r="O1128" s="30"/>
      <c r="P1128" s="78" t="s">
        <v>212</v>
      </c>
      <c r="Q1128" s="78"/>
      <c r="R1128" s="78" t="s">
        <v>212</v>
      </c>
      <c r="S1128" s="78"/>
      <c r="T1128" s="22"/>
      <c r="U1128" s="78"/>
      <c r="V1128" s="78" t="s">
        <v>212</v>
      </c>
      <c r="W1128" s="49"/>
      <c r="X1128" s="42" t="str">
        <f>IF($B1128&lt;=入力シート!$F$85,""&amp;中間シート!X808,"")</f>
        <v/>
      </c>
      <c r="AQ1128" s="81">
        <f>中間シート!E808</f>
        <v>0</v>
      </c>
      <c r="AR1128" s="86">
        <f>IF(F1128="含まれている",1,IF(F1128="含まれていない",2,0))</f>
        <v>0</v>
      </c>
      <c r="AS1128" s="86" t="str">
        <f>中間シート!P654</f>
        <v/>
      </c>
    </row>
    <row r="1129" spans="2:45" x14ac:dyDescent="0.15">
      <c r="C1129" s="49"/>
      <c r="D1129" s="49"/>
      <c r="E1129" s="55"/>
      <c r="F1129" s="31"/>
      <c r="G1129" s="31"/>
      <c r="H1129" s="31"/>
      <c r="I1129" s="31"/>
      <c r="J1129" s="31"/>
      <c r="K1129" s="31"/>
      <c r="L1129" s="31"/>
      <c r="M1129" s="22"/>
      <c r="N1129" s="78"/>
      <c r="O1129" s="78"/>
      <c r="P1129" s="31" t="s">
        <v>212</v>
      </c>
      <c r="Q1129" s="78"/>
      <c r="R1129" s="78" t="s">
        <v>212</v>
      </c>
      <c r="S1129" s="78"/>
      <c r="T1129" s="78"/>
      <c r="U1129" s="78"/>
      <c r="V1129" s="78" t="s">
        <v>212</v>
      </c>
      <c r="W1129" s="49"/>
      <c r="X1129" s="42" t="s">
        <v>212</v>
      </c>
      <c r="AQ1129" s="86" t="s">
        <v>212</v>
      </c>
      <c r="AR1129" s="86"/>
      <c r="AS1129" s="86" t="s">
        <v>212</v>
      </c>
    </row>
    <row r="1130" spans="2:45" ht="14.25" thickBot="1" x14ac:dyDescent="0.2">
      <c r="C1130" s="89"/>
      <c r="D1130" s="89"/>
      <c r="E1130" s="280"/>
      <c r="F1130" s="89"/>
      <c r="G1130" s="89"/>
      <c r="H1130" s="89"/>
      <c r="I1130" s="265"/>
      <c r="J1130" s="89"/>
      <c r="K1130" s="89"/>
      <c r="L1130" s="89"/>
      <c r="M1130" s="89"/>
      <c r="N1130" s="89"/>
      <c r="O1130" s="89"/>
      <c r="P1130" s="89" t="s">
        <v>212</v>
      </c>
      <c r="Q1130" s="89"/>
      <c r="R1130" s="89" t="s">
        <v>212</v>
      </c>
      <c r="S1130" s="89"/>
      <c r="T1130" s="89"/>
      <c r="U1130" s="89"/>
      <c r="V1130" s="89" t="s">
        <v>212</v>
      </c>
      <c r="W1130" s="89"/>
      <c r="X1130" s="42" t="s">
        <v>212</v>
      </c>
      <c r="AQ1130" s="86" t="s">
        <v>212</v>
      </c>
      <c r="AR1130" s="86"/>
      <c r="AS1130" s="86" t="s">
        <v>212</v>
      </c>
    </row>
    <row r="1131" spans="2:45" ht="18" customHeight="1" thickBot="1" x14ac:dyDescent="0.2">
      <c r="B1131" s="42">
        <v>48</v>
      </c>
      <c r="C1131" s="89"/>
      <c r="D1131" s="91" t="s">
        <v>203</v>
      </c>
      <c r="E1131" s="277" t="s">
        <v>220</v>
      </c>
      <c r="F1131" s="390"/>
      <c r="G1131" s="391"/>
      <c r="H1131" s="392"/>
      <c r="I1131" s="266"/>
      <c r="J1131" s="20"/>
      <c r="K1131" s="98"/>
      <c r="L1131" s="20"/>
      <c r="M1131" s="98"/>
      <c r="N1131" s="20"/>
      <c r="O1131" s="98"/>
      <c r="P1131" s="283">
        <f>中間シート!D867</f>
        <v>0</v>
      </c>
      <c r="Q1131" s="75"/>
      <c r="R1131" s="283">
        <f>中間シート!G867</f>
        <v>0</v>
      </c>
      <c r="S1131" s="75"/>
      <c r="T1131" s="99" t="s">
        <v>95</v>
      </c>
      <c r="U1131" s="75"/>
      <c r="V1131" s="283">
        <f>中間シート!H867</f>
        <v>0</v>
      </c>
      <c r="W1131" s="89"/>
      <c r="X1131" s="42" t="str">
        <f>IF($B1131&lt;=入力シート!$F$85,""&amp;中間シート!X809,"")</f>
        <v/>
      </c>
      <c r="AQ1131" s="81">
        <f>中間シート!E809</f>
        <v>0</v>
      </c>
      <c r="AR1131" s="86">
        <f>IF(F1131="含まれている",1,IF(F1131="含まれていない",2,0))</f>
        <v>0</v>
      </c>
      <c r="AS1131" s="86" t="str">
        <f>中間シート!P655</f>
        <v/>
      </c>
    </row>
    <row r="1132" spans="2:45" ht="5.0999999999999996" customHeight="1" thickBot="1" x14ac:dyDescent="0.2">
      <c r="C1132" s="89"/>
      <c r="D1132" s="89"/>
      <c r="E1132" s="278"/>
      <c r="F1132" s="100"/>
      <c r="G1132" s="100"/>
      <c r="H1132" s="100"/>
      <c r="I1132" s="267"/>
      <c r="J1132" s="101"/>
      <c r="K1132" s="101"/>
      <c r="L1132" s="101"/>
      <c r="M1132" s="101"/>
      <c r="N1132" s="101"/>
      <c r="O1132" s="101"/>
      <c r="P1132" s="75" t="s">
        <v>212</v>
      </c>
      <c r="Q1132" s="100"/>
      <c r="R1132" s="75" t="s">
        <v>212</v>
      </c>
      <c r="S1132" s="75"/>
      <c r="T1132" s="100"/>
      <c r="U1132" s="75"/>
      <c r="V1132" s="75" t="s">
        <v>212</v>
      </c>
      <c r="W1132" s="89"/>
      <c r="X1132" s="42" t="s">
        <v>212</v>
      </c>
      <c r="AQ1132" s="86" t="s">
        <v>212</v>
      </c>
      <c r="AR1132" s="86"/>
      <c r="AS1132" s="86" t="s">
        <v>212</v>
      </c>
    </row>
    <row r="1133" spans="2:45" ht="18" customHeight="1" thickBot="1" x14ac:dyDescent="0.2">
      <c r="B1133" s="42">
        <v>48</v>
      </c>
      <c r="C1133" s="89"/>
      <c r="D1133" s="89"/>
      <c r="E1133" s="277" t="s">
        <v>221</v>
      </c>
      <c r="F1133" s="390"/>
      <c r="G1133" s="391"/>
      <c r="H1133" s="392"/>
      <c r="I1133" s="266"/>
      <c r="J1133" s="20"/>
      <c r="K1133" s="98"/>
      <c r="L1133" s="20"/>
      <c r="M1133" s="98"/>
      <c r="N1133" s="20"/>
      <c r="O1133" s="98"/>
      <c r="P1133" s="75" t="s">
        <v>212</v>
      </c>
      <c r="Q1133" s="75"/>
      <c r="R1133" s="75" t="s">
        <v>212</v>
      </c>
      <c r="S1133" s="75"/>
      <c r="T1133" s="100"/>
      <c r="U1133" s="75"/>
      <c r="V1133" s="75" t="s">
        <v>212</v>
      </c>
      <c r="W1133" s="89"/>
      <c r="X1133" s="42" t="str">
        <f>IF($B1133&lt;=入力シート!$F$85,""&amp;中間シート!X810,"")</f>
        <v/>
      </c>
      <c r="AQ1133" s="81">
        <f>中間シート!E810</f>
        <v>0</v>
      </c>
      <c r="AR1133" s="86">
        <f>IF(F1133="含まれている",1,IF(F1133="含まれていない",2,0))</f>
        <v>0</v>
      </c>
      <c r="AS1133" s="86" t="str">
        <f>中間シート!P656</f>
        <v/>
      </c>
    </row>
    <row r="1134" spans="2:45" ht="5.0999999999999996" customHeight="1" thickBot="1" x14ac:dyDescent="0.2">
      <c r="C1134" s="89"/>
      <c r="D1134" s="89"/>
      <c r="E1134" s="278"/>
      <c r="F1134" s="100"/>
      <c r="G1134" s="100"/>
      <c r="H1134" s="100"/>
      <c r="I1134" s="267"/>
      <c r="J1134" s="101"/>
      <c r="K1134" s="101"/>
      <c r="L1134" s="101"/>
      <c r="M1134" s="101"/>
      <c r="N1134" s="101"/>
      <c r="O1134" s="101"/>
      <c r="P1134" s="75" t="s">
        <v>212</v>
      </c>
      <c r="Q1134" s="100"/>
      <c r="R1134" s="75" t="s">
        <v>212</v>
      </c>
      <c r="S1134" s="75"/>
      <c r="T1134" s="100"/>
      <c r="U1134" s="75"/>
      <c r="V1134" s="75" t="s">
        <v>212</v>
      </c>
      <c r="W1134" s="89"/>
      <c r="X1134" s="42" t="s">
        <v>212</v>
      </c>
      <c r="AQ1134" s="21" t="s">
        <v>212</v>
      </c>
      <c r="AR1134" s="86"/>
      <c r="AS1134" s="86" t="s">
        <v>212</v>
      </c>
    </row>
    <row r="1135" spans="2:45" ht="18" customHeight="1" thickBot="1" x14ac:dyDescent="0.2">
      <c r="B1135" s="42">
        <v>48</v>
      </c>
      <c r="C1135" s="89"/>
      <c r="D1135" s="89"/>
      <c r="E1135" s="277" t="s">
        <v>222</v>
      </c>
      <c r="F1135" s="390"/>
      <c r="G1135" s="391"/>
      <c r="H1135" s="392"/>
      <c r="I1135" s="266"/>
      <c r="J1135" s="20"/>
      <c r="K1135" s="98"/>
      <c r="L1135" s="20"/>
      <c r="M1135" s="98"/>
      <c r="N1135" s="20"/>
      <c r="O1135" s="98"/>
      <c r="P1135" s="75" t="s">
        <v>212</v>
      </c>
      <c r="Q1135" s="75"/>
      <c r="R1135" s="75" t="s">
        <v>212</v>
      </c>
      <c r="S1135" s="75"/>
      <c r="T1135" s="100"/>
      <c r="U1135" s="75"/>
      <c r="V1135" s="75" t="s">
        <v>212</v>
      </c>
      <c r="W1135" s="89"/>
      <c r="X1135" s="42" t="str">
        <f>IF($B1135&lt;=入力シート!$F$85,""&amp;中間シート!X811,"")</f>
        <v/>
      </c>
      <c r="AQ1135" s="81">
        <f>中間シート!E811</f>
        <v>0</v>
      </c>
      <c r="AR1135" s="86">
        <f>IF(F1135="含まれている",1,IF(F1135="含まれていない",2,0))</f>
        <v>0</v>
      </c>
      <c r="AS1135" s="86" t="str">
        <f>中間シート!P657</f>
        <v/>
      </c>
    </row>
    <row r="1136" spans="2:45" x14ac:dyDescent="0.15">
      <c r="C1136" s="89"/>
      <c r="D1136" s="89"/>
      <c r="E1136" s="280"/>
      <c r="F1136" s="101"/>
      <c r="G1136" s="101"/>
      <c r="H1136" s="101"/>
      <c r="I1136" s="101"/>
      <c r="J1136" s="101"/>
      <c r="K1136" s="101"/>
      <c r="L1136" s="101"/>
      <c r="M1136" s="100"/>
      <c r="N1136" s="75"/>
      <c r="O1136" s="75"/>
      <c r="P1136" s="101" t="s">
        <v>212</v>
      </c>
      <c r="Q1136" s="75"/>
      <c r="R1136" s="75" t="s">
        <v>212</v>
      </c>
      <c r="S1136" s="75"/>
      <c r="T1136" s="75"/>
      <c r="U1136" s="75"/>
      <c r="V1136" s="75" t="s">
        <v>212</v>
      </c>
      <c r="W1136" s="89"/>
      <c r="X1136" s="42" t="s">
        <v>212</v>
      </c>
      <c r="AQ1136" s="86" t="s">
        <v>212</v>
      </c>
      <c r="AR1136" s="86"/>
      <c r="AS1136" s="86" t="s">
        <v>212</v>
      </c>
    </row>
    <row r="1137" spans="2:45" ht="14.25" thickBot="1" x14ac:dyDescent="0.2">
      <c r="C1137" s="49"/>
      <c r="D1137" s="49"/>
      <c r="E1137" s="279"/>
      <c r="F1137" s="22"/>
      <c r="G1137" s="22"/>
      <c r="H1137" s="22"/>
      <c r="I1137" s="262"/>
      <c r="J1137" s="22"/>
      <c r="K1137" s="22"/>
      <c r="L1137" s="22"/>
      <c r="M1137" s="22"/>
      <c r="N1137" s="22"/>
      <c r="O1137" s="22"/>
      <c r="P1137" s="22" t="s">
        <v>212</v>
      </c>
      <c r="Q1137" s="78"/>
      <c r="R1137" s="22" t="s">
        <v>212</v>
      </c>
      <c r="S1137" s="22"/>
      <c r="T1137" s="78"/>
      <c r="U1137" s="78"/>
      <c r="V1137" s="22" t="s">
        <v>212</v>
      </c>
      <c r="W1137" s="49"/>
      <c r="X1137" s="42" t="s">
        <v>212</v>
      </c>
      <c r="AQ1137" s="86" t="s">
        <v>212</v>
      </c>
      <c r="AR1137" s="86"/>
      <c r="AS1137" s="86" t="s">
        <v>212</v>
      </c>
    </row>
    <row r="1138" spans="2:45" ht="18" customHeight="1" thickBot="1" x14ac:dyDescent="0.2">
      <c r="B1138" s="42">
        <v>49</v>
      </c>
      <c r="C1138" s="49"/>
      <c r="D1138" s="52" t="s">
        <v>204</v>
      </c>
      <c r="E1138" s="275" t="s">
        <v>220</v>
      </c>
      <c r="F1138" s="390"/>
      <c r="G1138" s="391"/>
      <c r="H1138" s="392"/>
      <c r="I1138" s="263"/>
      <c r="J1138" s="20"/>
      <c r="K1138" s="30"/>
      <c r="L1138" s="20"/>
      <c r="M1138" s="30"/>
      <c r="N1138" s="20"/>
      <c r="O1138" s="30"/>
      <c r="P1138" s="283">
        <f>中間シート!D868</f>
        <v>0</v>
      </c>
      <c r="Q1138" s="78"/>
      <c r="R1138" s="283">
        <f>中間シート!G868</f>
        <v>0</v>
      </c>
      <c r="S1138" s="78"/>
      <c r="T1138" s="97" t="s">
        <v>95</v>
      </c>
      <c r="U1138" s="78"/>
      <c r="V1138" s="283">
        <f>中間シート!H868</f>
        <v>0</v>
      </c>
      <c r="W1138" s="49"/>
      <c r="X1138" s="42" t="str">
        <f>IF($B1138&lt;=入力シート!$F$85,""&amp;中間シート!X812,"")</f>
        <v/>
      </c>
      <c r="AQ1138" s="81">
        <f>中間シート!E812</f>
        <v>0</v>
      </c>
      <c r="AR1138" s="86">
        <f>IF(F1138="含まれている",1,IF(F1138="含まれていない",2,0))</f>
        <v>0</v>
      </c>
      <c r="AS1138" s="86" t="str">
        <f>中間シート!P658</f>
        <v/>
      </c>
    </row>
    <row r="1139" spans="2:45" ht="5.0999999999999996" customHeight="1" thickBot="1" x14ac:dyDescent="0.2">
      <c r="C1139" s="49"/>
      <c r="D1139" s="49"/>
      <c r="E1139" s="276"/>
      <c r="F1139" s="22"/>
      <c r="G1139" s="22"/>
      <c r="H1139" s="22"/>
      <c r="I1139" s="262"/>
      <c r="J1139" s="31"/>
      <c r="K1139" s="31"/>
      <c r="L1139" s="31"/>
      <c r="M1139" s="31"/>
      <c r="N1139" s="31"/>
      <c r="O1139" s="31"/>
      <c r="P1139" s="78" t="s">
        <v>212</v>
      </c>
      <c r="Q1139" s="22"/>
      <c r="R1139" s="78" t="s">
        <v>212</v>
      </c>
      <c r="S1139" s="78"/>
      <c r="T1139" s="22"/>
      <c r="U1139" s="78"/>
      <c r="V1139" s="78" t="s">
        <v>212</v>
      </c>
      <c r="W1139" s="49"/>
      <c r="X1139" s="42" t="s">
        <v>212</v>
      </c>
      <c r="AQ1139" s="86" t="s">
        <v>212</v>
      </c>
      <c r="AR1139" s="86"/>
      <c r="AS1139" s="86" t="s">
        <v>212</v>
      </c>
    </row>
    <row r="1140" spans="2:45" ht="18" customHeight="1" thickBot="1" x14ac:dyDescent="0.2">
      <c r="B1140" s="42">
        <v>49</v>
      </c>
      <c r="C1140" s="49"/>
      <c r="D1140" s="49"/>
      <c r="E1140" s="275" t="s">
        <v>221</v>
      </c>
      <c r="F1140" s="390"/>
      <c r="G1140" s="391"/>
      <c r="H1140" s="392"/>
      <c r="I1140" s="263"/>
      <c r="J1140" s="20"/>
      <c r="K1140" s="30"/>
      <c r="L1140" s="20"/>
      <c r="M1140" s="30"/>
      <c r="N1140" s="20"/>
      <c r="O1140" s="30"/>
      <c r="P1140" s="78" t="s">
        <v>212</v>
      </c>
      <c r="Q1140" s="78"/>
      <c r="R1140" s="78" t="s">
        <v>212</v>
      </c>
      <c r="S1140" s="78"/>
      <c r="T1140" s="22"/>
      <c r="U1140" s="78"/>
      <c r="V1140" s="78" t="s">
        <v>212</v>
      </c>
      <c r="W1140" s="49"/>
      <c r="X1140" s="42" t="str">
        <f>IF($B1140&lt;=入力シート!$F$85,""&amp;中間シート!X813,"")</f>
        <v/>
      </c>
      <c r="AQ1140" s="81">
        <f>中間シート!E813</f>
        <v>0</v>
      </c>
      <c r="AR1140" s="86">
        <f>IF(F1140="含まれている",1,IF(F1140="含まれていない",2,0))</f>
        <v>0</v>
      </c>
      <c r="AS1140" s="86" t="str">
        <f>中間シート!P659</f>
        <v/>
      </c>
    </row>
    <row r="1141" spans="2:45" ht="5.0999999999999996" customHeight="1" thickBot="1" x14ac:dyDescent="0.2">
      <c r="C1141" s="49"/>
      <c r="D1141" s="49"/>
      <c r="E1141" s="276"/>
      <c r="F1141" s="22"/>
      <c r="G1141" s="22"/>
      <c r="H1141" s="22"/>
      <c r="I1141" s="262"/>
      <c r="J1141" s="31"/>
      <c r="K1141" s="31"/>
      <c r="L1141" s="31"/>
      <c r="M1141" s="31"/>
      <c r="N1141" s="31"/>
      <c r="O1141" s="31"/>
      <c r="P1141" s="78" t="s">
        <v>212</v>
      </c>
      <c r="Q1141" s="22"/>
      <c r="R1141" s="78" t="s">
        <v>212</v>
      </c>
      <c r="S1141" s="78"/>
      <c r="T1141" s="22"/>
      <c r="U1141" s="78"/>
      <c r="V1141" s="78" t="s">
        <v>212</v>
      </c>
      <c r="W1141" s="49"/>
      <c r="X1141" s="42" t="s">
        <v>212</v>
      </c>
      <c r="AQ1141" s="21" t="s">
        <v>212</v>
      </c>
      <c r="AR1141" s="86"/>
      <c r="AS1141" s="86" t="s">
        <v>212</v>
      </c>
    </row>
    <row r="1142" spans="2:45" ht="18" customHeight="1" thickBot="1" x14ac:dyDescent="0.2">
      <c r="B1142" s="42">
        <v>49</v>
      </c>
      <c r="C1142" s="49"/>
      <c r="D1142" s="49"/>
      <c r="E1142" s="275" t="s">
        <v>222</v>
      </c>
      <c r="F1142" s="390"/>
      <c r="G1142" s="391"/>
      <c r="H1142" s="392"/>
      <c r="I1142" s="263"/>
      <c r="J1142" s="20"/>
      <c r="K1142" s="30"/>
      <c r="L1142" s="20"/>
      <c r="M1142" s="30"/>
      <c r="N1142" s="20"/>
      <c r="O1142" s="30"/>
      <c r="P1142" s="78" t="s">
        <v>212</v>
      </c>
      <c r="Q1142" s="78"/>
      <c r="R1142" s="78" t="s">
        <v>212</v>
      </c>
      <c r="S1142" s="78"/>
      <c r="T1142" s="22"/>
      <c r="U1142" s="78"/>
      <c r="V1142" s="78" t="s">
        <v>212</v>
      </c>
      <c r="W1142" s="49"/>
      <c r="X1142" s="42" t="str">
        <f>IF($B1142&lt;=入力シート!$F$85,""&amp;中間シート!X814,"")</f>
        <v/>
      </c>
      <c r="AQ1142" s="81">
        <f>中間シート!E814</f>
        <v>0</v>
      </c>
      <c r="AR1142" s="86">
        <f>IF(F1142="含まれている",1,IF(F1142="含まれていない",2,0))</f>
        <v>0</v>
      </c>
      <c r="AS1142" s="86" t="str">
        <f>中間シート!P660</f>
        <v/>
      </c>
    </row>
    <row r="1143" spans="2:45" x14ac:dyDescent="0.15">
      <c r="C1143" s="49"/>
      <c r="D1143" s="49"/>
      <c r="E1143" s="55"/>
      <c r="F1143" s="31"/>
      <c r="G1143" s="31"/>
      <c r="H1143" s="31"/>
      <c r="I1143" s="31"/>
      <c r="J1143" s="31"/>
      <c r="K1143" s="31"/>
      <c r="L1143" s="31"/>
      <c r="M1143" s="22"/>
      <c r="N1143" s="78"/>
      <c r="O1143" s="78"/>
      <c r="P1143" s="31" t="s">
        <v>212</v>
      </c>
      <c r="Q1143" s="78"/>
      <c r="R1143" s="78" t="s">
        <v>212</v>
      </c>
      <c r="S1143" s="78"/>
      <c r="T1143" s="78"/>
      <c r="U1143" s="78"/>
      <c r="V1143" s="78" t="s">
        <v>212</v>
      </c>
      <c r="W1143" s="49"/>
      <c r="X1143" s="42" t="s">
        <v>212</v>
      </c>
      <c r="AQ1143" s="86" t="s">
        <v>212</v>
      </c>
      <c r="AR1143" s="86"/>
      <c r="AS1143" s="86" t="s">
        <v>212</v>
      </c>
    </row>
    <row r="1144" spans="2:45" ht="14.25" thickBot="1" x14ac:dyDescent="0.2">
      <c r="C1144" s="89"/>
      <c r="D1144" s="89"/>
      <c r="E1144" s="280"/>
      <c r="F1144" s="89"/>
      <c r="G1144" s="89"/>
      <c r="H1144" s="89"/>
      <c r="I1144" s="265"/>
      <c r="J1144" s="89"/>
      <c r="K1144" s="89"/>
      <c r="L1144" s="89"/>
      <c r="M1144" s="89"/>
      <c r="N1144" s="89"/>
      <c r="O1144" s="89"/>
      <c r="P1144" s="89" t="s">
        <v>212</v>
      </c>
      <c r="Q1144" s="89"/>
      <c r="R1144" s="89" t="s">
        <v>212</v>
      </c>
      <c r="S1144" s="89"/>
      <c r="T1144" s="89"/>
      <c r="U1144" s="89"/>
      <c r="V1144" s="89" t="s">
        <v>212</v>
      </c>
      <c r="W1144" s="89"/>
      <c r="X1144" s="42" t="s">
        <v>212</v>
      </c>
      <c r="AQ1144" s="86" t="s">
        <v>212</v>
      </c>
      <c r="AR1144" s="86"/>
      <c r="AS1144" s="86" t="s">
        <v>212</v>
      </c>
    </row>
    <row r="1145" spans="2:45" ht="18" customHeight="1" thickBot="1" x14ac:dyDescent="0.2">
      <c r="B1145" s="42">
        <v>50</v>
      </c>
      <c r="C1145" s="89"/>
      <c r="D1145" s="91" t="s">
        <v>205</v>
      </c>
      <c r="E1145" s="277" t="s">
        <v>220</v>
      </c>
      <c r="F1145" s="390"/>
      <c r="G1145" s="391"/>
      <c r="H1145" s="392"/>
      <c r="I1145" s="266"/>
      <c r="J1145" s="20"/>
      <c r="K1145" s="98"/>
      <c r="L1145" s="20"/>
      <c r="M1145" s="98"/>
      <c r="N1145" s="20"/>
      <c r="O1145" s="98"/>
      <c r="P1145" s="283">
        <f>中間シート!D869</f>
        <v>0</v>
      </c>
      <c r="Q1145" s="75"/>
      <c r="R1145" s="283">
        <f>中間シート!G869</f>
        <v>0</v>
      </c>
      <c r="S1145" s="75"/>
      <c r="T1145" s="99" t="s">
        <v>95</v>
      </c>
      <c r="U1145" s="75"/>
      <c r="V1145" s="283">
        <f>中間シート!H869</f>
        <v>0</v>
      </c>
      <c r="W1145" s="89"/>
      <c r="X1145" s="42" t="str">
        <f>IF($B1145&lt;=入力シート!$F$85,""&amp;中間シート!X815,"")</f>
        <v/>
      </c>
      <c r="AQ1145" s="81">
        <f>中間シート!E815</f>
        <v>0</v>
      </c>
      <c r="AR1145" s="86">
        <f>IF(F1145="含まれている",1,IF(F1145="含まれていない",2,0))</f>
        <v>0</v>
      </c>
      <c r="AS1145" s="86" t="str">
        <f>中間シート!P661</f>
        <v/>
      </c>
    </row>
    <row r="1146" spans="2:45" ht="5.0999999999999996" customHeight="1" thickBot="1" x14ac:dyDescent="0.2">
      <c r="C1146" s="89"/>
      <c r="D1146" s="89"/>
      <c r="E1146" s="278"/>
      <c r="F1146" s="100"/>
      <c r="G1146" s="100"/>
      <c r="H1146" s="100"/>
      <c r="I1146" s="267"/>
      <c r="J1146" s="101"/>
      <c r="K1146" s="101"/>
      <c r="L1146" s="101"/>
      <c r="M1146" s="101"/>
      <c r="N1146" s="101"/>
      <c r="O1146" s="101"/>
      <c r="P1146" s="75"/>
      <c r="Q1146" s="100"/>
      <c r="R1146" s="75"/>
      <c r="S1146" s="75"/>
      <c r="T1146" s="100"/>
      <c r="U1146" s="75"/>
      <c r="V1146" s="75"/>
      <c r="W1146" s="89"/>
      <c r="X1146" s="42" t="s">
        <v>212</v>
      </c>
      <c r="AQ1146" s="86" t="s">
        <v>212</v>
      </c>
      <c r="AR1146" s="86"/>
      <c r="AS1146" s="86" t="s">
        <v>212</v>
      </c>
    </row>
    <row r="1147" spans="2:45" ht="18" customHeight="1" thickBot="1" x14ac:dyDescent="0.2">
      <c r="B1147" s="42">
        <v>50</v>
      </c>
      <c r="C1147" s="89"/>
      <c r="D1147" s="89"/>
      <c r="E1147" s="277" t="s">
        <v>221</v>
      </c>
      <c r="F1147" s="390"/>
      <c r="G1147" s="391"/>
      <c r="H1147" s="392"/>
      <c r="I1147" s="266"/>
      <c r="J1147" s="20"/>
      <c r="K1147" s="98"/>
      <c r="L1147" s="20"/>
      <c r="M1147" s="98"/>
      <c r="N1147" s="20"/>
      <c r="O1147" s="98"/>
      <c r="P1147" s="75"/>
      <c r="Q1147" s="75"/>
      <c r="R1147" s="75"/>
      <c r="S1147" s="75"/>
      <c r="T1147" s="100"/>
      <c r="U1147" s="75"/>
      <c r="V1147" s="75"/>
      <c r="W1147" s="89"/>
      <c r="X1147" s="42" t="str">
        <f>IF($B1147&lt;=入力シート!$F$85,""&amp;中間シート!X816,"")</f>
        <v/>
      </c>
      <c r="AQ1147" s="81">
        <f>中間シート!E816</f>
        <v>0</v>
      </c>
      <c r="AR1147" s="86">
        <f>IF(F1147="含まれている",1,IF(F1147="含まれていない",2,0))</f>
        <v>0</v>
      </c>
      <c r="AS1147" s="86" t="str">
        <f>中間シート!P662</f>
        <v/>
      </c>
    </row>
    <row r="1148" spans="2:45" ht="5.0999999999999996" customHeight="1" thickBot="1" x14ac:dyDescent="0.2">
      <c r="C1148" s="89"/>
      <c r="D1148" s="89"/>
      <c r="E1148" s="278"/>
      <c r="F1148" s="100"/>
      <c r="G1148" s="100"/>
      <c r="H1148" s="100"/>
      <c r="I1148" s="267"/>
      <c r="J1148" s="101"/>
      <c r="K1148" s="101"/>
      <c r="L1148" s="101"/>
      <c r="M1148" s="101"/>
      <c r="N1148" s="101"/>
      <c r="O1148" s="101"/>
      <c r="P1148" s="75"/>
      <c r="Q1148" s="100"/>
      <c r="R1148" s="75"/>
      <c r="S1148" s="75"/>
      <c r="T1148" s="100"/>
      <c r="U1148" s="75"/>
      <c r="V1148" s="75"/>
      <c r="W1148" s="89"/>
      <c r="X1148" s="42" t="s">
        <v>212</v>
      </c>
      <c r="AQ1148" s="21" t="s">
        <v>212</v>
      </c>
      <c r="AR1148" s="86"/>
      <c r="AS1148" s="86" t="s">
        <v>212</v>
      </c>
    </row>
    <row r="1149" spans="2:45" ht="18" customHeight="1" thickBot="1" x14ac:dyDescent="0.2">
      <c r="B1149" s="42">
        <v>50</v>
      </c>
      <c r="C1149" s="89"/>
      <c r="D1149" s="89"/>
      <c r="E1149" s="277" t="s">
        <v>222</v>
      </c>
      <c r="F1149" s="390"/>
      <c r="G1149" s="391"/>
      <c r="H1149" s="392"/>
      <c r="I1149" s="266"/>
      <c r="J1149" s="20"/>
      <c r="K1149" s="98"/>
      <c r="L1149" s="20"/>
      <c r="M1149" s="98"/>
      <c r="N1149" s="20"/>
      <c r="O1149" s="98"/>
      <c r="P1149" s="75"/>
      <c r="Q1149" s="75"/>
      <c r="R1149" s="75"/>
      <c r="S1149" s="75"/>
      <c r="T1149" s="100"/>
      <c r="U1149" s="75"/>
      <c r="V1149" s="75"/>
      <c r="W1149" s="89"/>
      <c r="X1149" s="42" t="str">
        <f>IF($B1149&lt;=入力シート!$F$85,""&amp;中間シート!X817,"")</f>
        <v/>
      </c>
      <c r="AQ1149" s="81">
        <f>中間シート!E817</f>
        <v>0</v>
      </c>
      <c r="AR1149" s="86">
        <f>IF(F1149="含まれている",1,IF(F1149="含まれていない",2,0))</f>
        <v>0</v>
      </c>
      <c r="AS1149" s="86" t="str">
        <f>中間シート!P663</f>
        <v/>
      </c>
    </row>
    <row r="1150" spans="2:45" x14ac:dyDescent="0.15">
      <c r="C1150" s="89"/>
      <c r="D1150" s="89"/>
      <c r="E1150" s="92"/>
      <c r="F1150" s="101"/>
      <c r="G1150" s="101"/>
      <c r="H1150" s="101"/>
      <c r="I1150" s="101"/>
      <c r="J1150" s="101"/>
      <c r="K1150" s="101"/>
      <c r="L1150" s="101"/>
      <c r="M1150" s="100"/>
      <c r="N1150" s="75"/>
      <c r="O1150" s="75"/>
      <c r="P1150" s="101"/>
      <c r="Q1150" s="75"/>
      <c r="R1150" s="75"/>
      <c r="S1150" s="75"/>
      <c r="T1150" s="75"/>
      <c r="U1150" s="75"/>
      <c r="V1150" s="75"/>
      <c r="W1150" s="89"/>
      <c r="AQ1150" s="86"/>
      <c r="AR1150" s="86"/>
      <c r="AS1150" s="86"/>
    </row>
    <row r="1151" spans="2:45" x14ac:dyDescent="0.15">
      <c r="C1151" s="89"/>
      <c r="D1151" s="89"/>
      <c r="E1151" s="90"/>
      <c r="F1151" s="89"/>
      <c r="G1151" s="89"/>
      <c r="H1151" s="89"/>
      <c r="I1151" s="265"/>
      <c r="J1151" s="89"/>
      <c r="K1151" s="89"/>
      <c r="L1151" s="89"/>
      <c r="M1151" s="89"/>
      <c r="N1151" s="89"/>
      <c r="O1151" s="89"/>
      <c r="P1151" s="89"/>
      <c r="Q1151" s="89"/>
      <c r="R1151" s="89"/>
      <c r="S1151" s="89"/>
      <c r="T1151" s="401" t="s">
        <v>206</v>
      </c>
      <c r="U1151" s="401"/>
      <c r="V1151" s="401"/>
      <c r="W1151" s="89"/>
      <c r="AQ1151" s="86"/>
      <c r="AR1151" s="86"/>
      <c r="AS1151" s="86"/>
    </row>
    <row r="1152" spans="2:45" x14ac:dyDescent="0.15">
      <c r="C1152" s="89"/>
      <c r="D1152" s="89"/>
      <c r="E1152" s="90"/>
      <c r="F1152" s="89"/>
      <c r="G1152" s="89"/>
      <c r="H1152" s="89"/>
      <c r="I1152" s="265"/>
      <c r="J1152" s="89"/>
      <c r="K1152" s="89"/>
      <c r="L1152" s="89"/>
      <c r="M1152" s="89"/>
      <c r="N1152" s="89"/>
      <c r="O1152" s="89"/>
      <c r="P1152" s="89"/>
      <c r="Q1152" s="89"/>
      <c r="R1152" s="89"/>
      <c r="S1152" s="89"/>
      <c r="T1152" s="107"/>
      <c r="U1152" s="107"/>
      <c r="V1152" s="107"/>
      <c r="W1152" s="89"/>
      <c r="AQ1152" s="86"/>
      <c r="AR1152" s="86"/>
      <c r="AS1152" s="86"/>
    </row>
  </sheetData>
  <sheetProtection algorithmName="SHA-512" hashValue="24Q8jjdBXxxSi9GjElNI+lflhZXtQSPZhQE9wM6e0IhzXlESVFDwS8cfRDDevWyM9UjQffl0qvo+JymZQdQcgw==" saltValue="2WRagYe08rZTUKijcq0SIQ==" spinCount="100000" sheet="1" selectLockedCells="1"/>
  <mergeCells count="1616">
    <mergeCell ref="X724:AO726"/>
    <mergeCell ref="X728:AO730"/>
    <mergeCell ref="X733:AO735"/>
    <mergeCell ref="X737:AO739"/>
    <mergeCell ref="X741:AO743"/>
    <mergeCell ref="X746:AO748"/>
    <mergeCell ref="X750:AO752"/>
    <mergeCell ref="X754:AO756"/>
    <mergeCell ref="X759:AO761"/>
    <mergeCell ref="X763:AO765"/>
    <mergeCell ref="X767:AO769"/>
    <mergeCell ref="X772:AO774"/>
    <mergeCell ref="X776:AO778"/>
    <mergeCell ref="X780:AO782"/>
    <mergeCell ref="X650:AO652"/>
    <mergeCell ref="X655:AO657"/>
    <mergeCell ref="X659:AO661"/>
    <mergeCell ref="X663:AO665"/>
    <mergeCell ref="X668:AO670"/>
    <mergeCell ref="X672:AO674"/>
    <mergeCell ref="X676:AO678"/>
    <mergeCell ref="X681:AO683"/>
    <mergeCell ref="X685:AO687"/>
    <mergeCell ref="X689:AO691"/>
    <mergeCell ref="X694:AO696"/>
    <mergeCell ref="X698:AO700"/>
    <mergeCell ref="X702:AO704"/>
    <mergeCell ref="X707:AO709"/>
    <mergeCell ref="X711:AO713"/>
    <mergeCell ref="X715:AO717"/>
    <mergeCell ref="X720:AO722"/>
    <mergeCell ref="X577:AO579"/>
    <mergeCell ref="X581:AO583"/>
    <mergeCell ref="X585:AO587"/>
    <mergeCell ref="X590:AO592"/>
    <mergeCell ref="X594:AO596"/>
    <mergeCell ref="X598:AO600"/>
    <mergeCell ref="X603:AO605"/>
    <mergeCell ref="X607:AO609"/>
    <mergeCell ref="X611:AO613"/>
    <mergeCell ref="X616:AO618"/>
    <mergeCell ref="X620:AO622"/>
    <mergeCell ref="X624:AO626"/>
    <mergeCell ref="X629:AO631"/>
    <mergeCell ref="X633:AO635"/>
    <mergeCell ref="X637:AO639"/>
    <mergeCell ref="X642:AO644"/>
    <mergeCell ref="X646:AO648"/>
    <mergeCell ref="X503:AO505"/>
    <mergeCell ref="X507:AO509"/>
    <mergeCell ref="X512:AO514"/>
    <mergeCell ref="X516:AO518"/>
    <mergeCell ref="X520:AO522"/>
    <mergeCell ref="X525:AO527"/>
    <mergeCell ref="X529:AO531"/>
    <mergeCell ref="X533:AO535"/>
    <mergeCell ref="X538:AO540"/>
    <mergeCell ref="X542:AO544"/>
    <mergeCell ref="X546:AO548"/>
    <mergeCell ref="X551:AO553"/>
    <mergeCell ref="X555:AO557"/>
    <mergeCell ref="X559:AO561"/>
    <mergeCell ref="X564:AO566"/>
    <mergeCell ref="X568:AO570"/>
    <mergeCell ref="X572:AO574"/>
    <mergeCell ref="X429:AO431"/>
    <mergeCell ref="X434:AO436"/>
    <mergeCell ref="X438:AO440"/>
    <mergeCell ref="X442:AO444"/>
    <mergeCell ref="X447:AO449"/>
    <mergeCell ref="X451:AO453"/>
    <mergeCell ref="X455:AO457"/>
    <mergeCell ref="X460:AO462"/>
    <mergeCell ref="X464:AO466"/>
    <mergeCell ref="X468:AO470"/>
    <mergeCell ref="X473:AO475"/>
    <mergeCell ref="X477:AO479"/>
    <mergeCell ref="X481:AO483"/>
    <mergeCell ref="X486:AO488"/>
    <mergeCell ref="X490:AO492"/>
    <mergeCell ref="X494:AO496"/>
    <mergeCell ref="X499:AO501"/>
    <mergeCell ref="X356:AO358"/>
    <mergeCell ref="X360:AO362"/>
    <mergeCell ref="X364:AO366"/>
    <mergeCell ref="X369:AO371"/>
    <mergeCell ref="X373:AO375"/>
    <mergeCell ref="X377:AO379"/>
    <mergeCell ref="X382:AO384"/>
    <mergeCell ref="X386:AO388"/>
    <mergeCell ref="X390:AO392"/>
    <mergeCell ref="X395:AO397"/>
    <mergeCell ref="X399:AO401"/>
    <mergeCell ref="X403:AO405"/>
    <mergeCell ref="X408:AO410"/>
    <mergeCell ref="X412:AO414"/>
    <mergeCell ref="X416:AO418"/>
    <mergeCell ref="X421:AO423"/>
    <mergeCell ref="X425:AO427"/>
    <mergeCell ref="X282:AO284"/>
    <mergeCell ref="X286:AO288"/>
    <mergeCell ref="X291:AO293"/>
    <mergeCell ref="X295:AO297"/>
    <mergeCell ref="X299:AO301"/>
    <mergeCell ref="X304:AO306"/>
    <mergeCell ref="X308:AO310"/>
    <mergeCell ref="X312:AO314"/>
    <mergeCell ref="X317:AO319"/>
    <mergeCell ref="X321:AO323"/>
    <mergeCell ref="X325:AO327"/>
    <mergeCell ref="X330:AO332"/>
    <mergeCell ref="X334:AO336"/>
    <mergeCell ref="X338:AO340"/>
    <mergeCell ref="X343:AO345"/>
    <mergeCell ref="X347:AO349"/>
    <mergeCell ref="X351:AO353"/>
    <mergeCell ref="X208:AO210"/>
    <mergeCell ref="X213:AO215"/>
    <mergeCell ref="X217:AO219"/>
    <mergeCell ref="X221:AO223"/>
    <mergeCell ref="X226:AO228"/>
    <mergeCell ref="X230:AO232"/>
    <mergeCell ref="X234:AO236"/>
    <mergeCell ref="X239:AO241"/>
    <mergeCell ref="X243:AO245"/>
    <mergeCell ref="X247:AO249"/>
    <mergeCell ref="X252:AO254"/>
    <mergeCell ref="X256:AO258"/>
    <mergeCell ref="X260:AO262"/>
    <mergeCell ref="X265:AO267"/>
    <mergeCell ref="X269:AO271"/>
    <mergeCell ref="X273:AO275"/>
    <mergeCell ref="X278:AO280"/>
    <mergeCell ref="X135:AO137"/>
    <mergeCell ref="X139:AO141"/>
    <mergeCell ref="X143:AO145"/>
    <mergeCell ref="X148:AO150"/>
    <mergeCell ref="X152:AO154"/>
    <mergeCell ref="X156:AO158"/>
    <mergeCell ref="X161:AO163"/>
    <mergeCell ref="X165:AO167"/>
    <mergeCell ref="X169:AO171"/>
    <mergeCell ref="X174:AO176"/>
    <mergeCell ref="X178:AO180"/>
    <mergeCell ref="X182:AO184"/>
    <mergeCell ref="X187:AO189"/>
    <mergeCell ref="X191:AO193"/>
    <mergeCell ref="X195:AO197"/>
    <mergeCell ref="X200:AO202"/>
    <mergeCell ref="X204:AO206"/>
    <mergeCell ref="F78:H78"/>
    <mergeCell ref="F80:H80"/>
    <mergeCell ref="F82:H82"/>
    <mergeCell ref="F84:H84"/>
    <mergeCell ref="F86:H86"/>
    <mergeCell ref="F88:H88"/>
    <mergeCell ref="F90:H90"/>
    <mergeCell ref="F92:H92"/>
    <mergeCell ref="F94:H94"/>
    <mergeCell ref="F115:H115"/>
    <mergeCell ref="F117:H117"/>
    <mergeCell ref="J717:L717"/>
    <mergeCell ref="N717:P717"/>
    <mergeCell ref="R717:T717"/>
    <mergeCell ref="J733:L733"/>
    <mergeCell ref="N733:P733"/>
    <mergeCell ref="R733:T733"/>
    <mergeCell ref="R728:T728"/>
    <mergeCell ref="J730:L730"/>
    <mergeCell ref="N730:P730"/>
    <mergeCell ref="R730:T730"/>
    <mergeCell ref="J726:L726"/>
    <mergeCell ref="N726:P726"/>
    <mergeCell ref="R726:T726"/>
    <mergeCell ref="J720:L720"/>
    <mergeCell ref="N720:P720"/>
    <mergeCell ref="R720:T720"/>
    <mergeCell ref="J722:L722"/>
    <mergeCell ref="N722:P722"/>
    <mergeCell ref="R722:T722"/>
    <mergeCell ref="J724:L724"/>
    <mergeCell ref="N724:P724"/>
    <mergeCell ref="J735:L735"/>
    <mergeCell ref="N735:P735"/>
    <mergeCell ref="F118:H118"/>
    <mergeCell ref="F116:H116"/>
    <mergeCell ref="F96:H96"/>
    <mergeCell ref="F98:H98"/>
    <mergeCell ref="F100:H100"/>
    <mergeCell ref="F102:H102"/>
    <mergeCell ref="F104:H104"/>
    <mergeCell ref="F106:H106"/>
    <mergeCell ref="F108:H108"/>
    <mergeCell ref="F110:H110"/>
    <mergeCell ref="F112:H112"/>
    <mergeCell ref="F30:H30"/>
    <mergeCell ref="F32:H32"/>
    <mergeCell ref="F34:H34"/>
    <mergeCell ref="F36:H36"/>
    <mergeCell ref="F38:H38"/>
    <mergeCell ref="F40:H40"/>
    <mergeCell ref="F42:H42"/>
    <mergeCell ref="F44:H44"/>
    <mergeCell ref="F46:H46"/>
    <mergeCell ref="F48:H48"/>
    <mergeCell ref="F50:H50"/>
    <mergeCell ref="F52:H52"/>
    <mergeCell ref="F54:H54"/>
    <mergeCell ref="F56:H56"/>
    <mergeCell ref="F58:H58"/>
    <mergeCell ref="F60:H60"/>
    <mergeCell ref="F62:H62"/>
    <mergeCell ref="J728:L728"/>
    <mergeCell ref="N728:P728"/>
    <mergeCell ref="R735:T735"/>
    <mergeCell ref="J691:L691"/>
    <mergeCell ref="N691:P691"/>
    <mergeCell ref="R691:T691"/>
    <mergeCell ref="J707:L707"/>
    <mergeCell ref="N707:P707"/>
    <mergeCell ref="R707:T707"/>
    <mergeCell ref="J709:L709"/>
    <mergeCell ref="N709:P709"/>
    <mergeCell ref="R709:T709"/>
    <mergeCell ref="D7:L7"/>
    <mergeCell ref="D9:L9"/>
    <mergeCell ref="D11:L11"/>
    <mergeCell ref="AL121:AN121"/>
    <mergeCell ref="T784:V784"/>
    <mergeCell ref="T1151:V1151"/>
    <mergeCell ref="F1135:H1135"/>
    <mergeCell ref="F1138:H1138"/>
    <mergeCell ref="F1140:H1140"/>
    <mergeCell ref="F1142:H1142"/>
    <mergeCell ref="F1145:H1145"/>
    <mergeCell ref="F1147:H1147"/>
    <mergeCell ref="F1149:H1149"/>
    <mergeCell ref="F1114:H1114"/>
    <mergeCell ref="F1117:H1117"/>
    <mergeCell ref="F1119:H1119"/>
    <mergeCell ref="F1121:H1121"/>
    <mergeCell ref="F1124:H1124"/>
    <mergeCell ref="F1126:H1126"/>
    <mergeCell ref="F1128:H1128"/>
    <mergeCell ref="F1131:H1131"/>
    <mergeCell ref="F1133:H1133"/>
    <mergeCell ref="F1093:H1093"/>
    <mergeCell ref="F1096:H1096"/>
    <mergeCell ref="F1098:H1098"/>
    <mergeCell ref="F1100:H1100"/>
    <mergeCell ref="F1103:H1103"/>
    <mergeCell ref="F1105:H1105"/>
    <mergeCell ref="F1107:H1107"/>
    <mergeCell ref="F1110:H1110"/>
    <mergeCell ref="F1112:H1112"/>
    <mergeCell ref="F1072:H1072"/>
    <mergeCell ref="F1075:H1075"/>
    <mergeCell ref="F1077:H1077"/>
    <mergeCell ref="F1079:H1079"/>
    <mergeCell ref="F1082:H1082"/>
    <mergeCell ref="F1084:H1084"/>
    <mergeCell ref="F1086:H1086"/>
    <mergeCell ref="F1089:H1089"/>
    <mergeCell ref="F1091:H1091"/>
    <mergeCell ref="F1051:H1051"/>
    <mergeCell ref="F1054:H1054"/>
    <mergeCell ref="F1056:H1056"/>
    <mergeCell ref="F1058:H1058"/>
    <mergeCell ref="F1061:H1061"/>
    <mergeCell ref="F1063:H1063"/>
    <mergeCell ref="F1065:H1065"/>
    <mergeCell ref="F1068:H1068"/>
    <mergeCell ref="F1070:H1070"/>
    <mergeCell ref="F1030:H1030"/>
    <mergeCell ref="F1033:H1033"/>
    <mergeCell ref="F1035:H1035"/>
    <mergeCell ref="F1037:H1037"/>
    <mergeCell ref="F1040:H1040"/>
    <mergeCell ref="F1042:H1042"/>
    <mergeCell ref="F1044:H1044"/>
    <mergeCell ref="F1047:H1047"/>
    <mergeCell ref="F1049:H1049"/>
    <mergeCell ref="F1009:H1009"/>
    <mergeCell ref="F1012:H1012"/>
    <mergeCell ref="F1014:H1014"/>
    <mergeCell ref="F1016:H1016"/>
    <mergeCell ref="F1019:H1019"/>
    <mergeCell ref="F1021:H1021"/>
    <mergeCell ref="F1023:H1023"/>
    <mergeCell ref="F1026:H1026"/>
    <mergeCell ref="F1028:H1028"/>
    <mergeCell ref="F988:H988"/>
    <mergeCell ref="F991:H991"/>
    <mergeCell ref="F993:H993"/>
    <mergeCell ref="F995:H995"/>
    <mergeCell ref="F998:H998"/>
    <mergeCell ref="F1000:H1000"/>
    <mergeCell ref="F1002:H1002"/>
    <mergeCell ref="F1005:H1005"/>
    <mergeCell ref="F1007:H1007"/>
    <mergeCell ref="F967:H967"/>
    <mergeCell ref="F970:H970"/>
    <mergeCell ref="F972:H972"/>
    <mergeCell ref="F974:H974"/>
    <mergeCell ref="F977:H977"/>
    <mergeCell ref="F979:H979"/>
    <mergeCell ref="F981:H981"/>
    <mergeCell ref="F984:H984"/>
    <mergeCell ref="F986:H986"/>
    <mergeCell ref="F946:H946"/>
    <mergeCell ref="F949:H949"/>
    <mergeCell ref="F951:H951"/>
    <mergeCell ref="F953:H953"/>
    <mergeCell ref="F956:H956"/>
    <mergeCell ref="F958:H958"/>
    <mergeCell ref="F960:H960"/>
    <mergeCell ref="F963:H963"/>
    <mergeCell ref="F965:H965"/>
    <mergeCell ref="F925:H925"/>
    <mergeCell ref="F928:H928"/>
    <mergeCell ref="F930:H930"/>
    <mergeCell ref="F932:H932"/>
    <mergeCell ref="F935:H935"/>
    <mergeCell ref="F937:H937"/>
    <mergeCell ref="F939:H939"/>
    <mergeCell ref="F942:H942"/>
    <mergeCell ref="F944:H944"/>
    <mergeCell ref="F904:H904"/>
    <mergeCell ref="F907:H907"/>
    <mergeCell ref="F909:H909"/>
    <mergeCell ref="F911:H911"/>
    <mergeCell ref="F914:H914"/>
    <mergeCell ref="F916:H916"/>
    <mergeCell ref="F918:H918"/>
    <mergeCell ref="F921:H921"/>
    <mergeCell ref="F923:H923"/>
    <mergeCell ref="F883:H883"/>
    <mergeCell ref="F886:H886"/>
    <mergeCell ref="F888:H888"/>
    <mergeCell ref="F890:H890"/>
    <mergeCell ref="F893:H893"/>
    <mergeCell ref="F895:H895"/>
    <mergeCell ref="F897:H897"/>
    <mergeCell ref="F900:H900"/>
    <mergeCell ref="F902:H902"/>
    <mergeCell ref="F862:H862"/>
    <mergeCell ref="F865:H865"/>
    <mergeCell ref="F867:H867"/>
    <mergeCell ref="F869:H869"/>
    <mergeCell ref="F872:H872"/>
    <mergeCell ref="F874:H874"/>
    <mergeCell ref="F876:H876"/>
    <mergeCell ref="F879:H879"/>
    <mergeCell ref="F881:H881"/>
    <mergeCell ref="F853:H853"/>
    <mergeCell ref="F855:H855"/>
    <mergeCell ref="F858:H858"/>
    <mergeCell ref="F860:H860"/>
    <mergeCell ref="F800:H800"/>
    <mergeCell ref="F802:H802"/>
    <mergeCell ref="F804:H804"/>
    <mergeCell ref="F806:H806"/>
    <mergeCell ref="F809:H809"/>
    <mergeCell ref="F811:H811"/>
    <mergeCell ref="F813:H813"/>
    <mergeCell ref="F816:H816"/>
    <mergeCell ref="F818:H818"/>
    <mergeCell ref="F820:H820"/>
    <mergeCell ref="F823:H823"/>
    <mergeCell ref="F825:H825"/>
    <mergeCell ref="F827:H827"/>
    <mergeCell ref="F830:H830"/>
    <mergeCell ref="F832:H832"/>
    <mergeCell ref="F834:H834"/>
    <mergeCell ref="F837:H837"/>
    <mergeCell ref="F839:H839"/>
    <mergeCell ref="J782:L782"/>
    <mergeCell ref="N782:P782"/>
    <mergeCell ref="R782:T782"/>
    <mergeCell ref="J772:L772"/>
    <mergeCell ref="N772:P772"/>
    <mergeCell ref="R772:T772"/>
    <mergeCell ref="J774:L774"/>
    <mergeCell ref="N774:P774"/>
    <mergeCell ref="R774:T774"/>
    <mergeCell ref="J776:L776"/>
    <mergeCell ref="N776:P776"/>
    <mergeCell ref="R776:T776"/>
    <mergeCell ref="F841:H841"/>
    <mergeCell ref="F844:H844"/>
    <mergeCell ref="F846:H846"/>
    <mergeCell ref="F848:H848"/>
    <mergeCell ref="F851:H851"/>
    <mergeCell ref="D795:W795"/>
    <mergeCell ref="R756:T756"/>
    <mergeCell ref="J748:L748"/>
    <mergeCell ref="N748:P748"/>
    <mergeCell ref="R748:T748"/>
    <mergeCell ref="J750:L750"/>
    <mergeCell ref="N750:P750"/>
    <mergeCell ref="R750:T750"/>
    <mergeCell ref="J752:L752"/>
    <mergeCell ref="N752:P752"/>
    <mergeCell ref="R752:T752"/>
    <mergeCell ref="J746:L746"/>
    <mergeCell ref="N746:P746"/>
    <mergeCell ref="R746:T746"/>
    <mergeCell ref="J778:L778"/>
    <mergeCell ref="N778:P778"/>
    <mergeCell ref="R778:T778"/>
    <mergeCell ref="J780:L780"/>
    <mergeCell ref="N780:P780"/>
    <mergeCell ref="R780:T780"/>
    <mergeCell ref="J769:L769"/>
    <mergeCell ref="N769:P769"/>
    <mergeCell ref="R769:T769"/>
    <mergeCell ref="J739:L739"/>
    <mergeCell ref="N739:P739"/>
    <mergeCell ref="R739:T739"/>
    <mergeCell ref="J741:L741"/>
    <mergeCell ref="N741:P741"/>
    <mergeCell ref="R741:T741"/>
    <mergeCell ref="J743:L743"/>
    <mergeCell ref="N743:P743"/>
    <mergeCell ref="R743:T743"/>
    <mergeCell ref="J737:L737"/>
    <mergeCell ref="N737:P737"/>
    <mergeCell ref="R737:T737"/>
    <mergeCell ref="J765:L765"/>
    <mergeCell ref="N765:P765"/>
    <mergeCell ref="R765:T765"/>
    <mergeCell ref="J767:L767"/>
    <mergeCell ref="N767:P767"/>
    <mergeCell ref="R767:T767"/>
    <mergeCell ref="J759:L759"/>
    <mergeCell ref="N759:P759"/>
    <mergeCell ref="R759:T759"/>
    <mergeCell ref="J761:L761"/>
    <mergeCell ref="N761:P761"/>
    <mergeCell ref="R761:T761"/>
    <mergeCell ref="J763:L763"/>
    <mergeCell ref="N763:P763"/>
    <mergeCell ref="R763:T763"/>
    <mergeCell ref="J754:L754"/>
    <mergeCell ref="N754:P754"/>
    <mergeCell ref="R754:T754"/>
    <mergeCell ref="J756:L756"/>
    <mergeCell ref="N756:P756"/>
    <mergeCell ref="R724:T724"/>
    <mergeCell ref="J711:L711"/>
    <mergeCell ref="N711:P711"/>
    <mergeCell ref="R711:T711"/>
    <mergeCell ref="J713:L713"/>
    <mergeCell ref="N713:P713"/>
    <mergeCell ref="R713:T713"/>
    <mergeCell ref="J715:L715"/>
    <mergeCell ref="N715:P715"/>
    <mergeCell ref="R715:T715"/>
    <mergeCell ref="J700:L700"/>
    <mergeCell ref="N700:P700"/>
    <mergeCell ref="R700:T700"/>
    <mergeCell ref="J702:L702"/>
    <mergeCell ref="N702:P702"/>
    <mergeCell ref="R702:T702"/>
    <mergeCell ref="J704:L704"/>
    <mergeCell ref="N704:P704"/>
    <mergeCell ref="R704:T704"/>
    <mergeCell ref="J694:L694"/>
    <mergeCell ref="N694:P694"/>
    <mergeCell ref="R694:T694"/>
    <mergeCell ref="J696:L696"/>
    <mergeCell ref="N696:P696"/>
    <mergeCell ref="R696:T696"/>
    <mergeCell ref="J698:L698"/>
    <mergeCell ref="N698:P698"/>
    <mergeCell ref="R698:T698"/>
    <mergeCell ref="J685:L685"/>
    <mergeCell ref="N685:P685"/>
    <mergeCell ref="R685:T685"/>
    <mergeCell ref="J687:L687"/>
    <mergeCell ref="N687:P687"/>
    <mergeCell ref="R687:T687"/>
    <mergeCell ref="J689:L689"/>
    <mergeCell ref="N689:P689"/>
    <mergeCell ref="R689:T689"/>
    <mergeCell ref="J681:L681"/>
    <mergeCell ref="N681:P681"/>
    <mergeCell ref="R681:T681"/>
    <mergeCell ref="J683:L683"/>
    <mergeCell ref="N683:P683"/>
    <mergeCell ref="R683:T683"/>
    <mergeCell ref="J674:L674"/>
    <mergeCell ref="N674:P674"/>
    <mergeCell ref="R674:T674"/>
    <mergeCell ref="J676:L676"/>
    <mergeCell ref="N676:P676"/>
    <mergeCell ref="R676:T676"/>
    <mergeCell ref="J678:L678"/>
    <mergeCell ref="N678:P678"/>
    <mergeCell ref="R678:T678"/>
    <mergeCell ref="J668:L668"/>
    <mergeCell ref="N668:P668"/>
    <mergeCell ref="R668:T668"/>
    <mergeCell ref="J670:L670"/>
    <mergeCell ref="N670:P670"/>
    <mergeCell ref="R670:T670"/>
    <mergeCell ref="J672:L672"/>
    <mergeCell ref="N672:P672"/>
    <mergeCell ref="R672:T672"/>
    <mergeCell ref="J661:L661"/>
    <mergeCell ref="N661:P661"/>
    <mergeCell ref="R661:T661"/>
    <mergeCell ref="J663:L663"/>
    <mergeCell ref="N663:P663"/>
    <mergeCell ref="R663:T663"/>
    <mergeCell ref="J665:L665"/>
    <mergeCell ref="N665:P665"/>
    <mergeCell ref="R665:T665"/>
    <mergeCell ref="J655:L655"/>
    <mergeCell ref="N655:P655"/>
    <mergeCell ref="R655:T655"/>
    <mergeCell ref="J657:L657"/>
    <mergeCell ref="N657:P657"/>
    <mergeCell ref="R657:T657"/>
    <mergeCell ref="J659:L659"/>
    <mergeCell ref="N659:P659"/>
    <mergeCell ref="R659:T659"/>
    <mergeCell ref="J648:L648"/>
    <mergeCell ref="N648:P648"/>
    <mergeCell ref="R648:T648"/>
    <mergeCell ref="J650:L650"/>
    <mergeCell ref="N650:P650"/>
    <mergeCell ref="R650:T650"/>
    <mergeCell ref="J652:L652"/>
    <mergeCell ref="N652:P652"/>
    <mergeCell ref="R652:T652"/>
    <mergeCell ref="J642:L642"/>
    <mergeCell ref="N642:P642"/>
    <mergeCell ref="R642:T642"/>
    <mergeCell ref="J644:L644"/>
    <mergeCell ref="N644:P644"/>
    <mergeCell ref="R644:T644"/>
    <mergeCell ref="J646:L646"/>
    <mergeCell ref="N646:P646"/>
    <mergeCell ref="R646:T646"/>
    <mergeCell ref="J635:L635"/>
    <mergeCell ref="N635:P635"/>
    <mergeCell ref="R635:T635"/>
    <mergeCell ref="J637:L637"/>
    <mergeCell ref="N637:P637"/>
    <mergeCell ref="R637:T637"/>
    <mergeCell ref="J639:L639"/>
    <mergeCell ref="N639:P639"/>
    <mergeCell ref="R639:T639"/>
    <mergeCell ref="J629:L629"/>
    <mergeCell ref="N629:P629"/>
    <mergeCell ref="R629:T629"/>
    <mergeCell ref="J631:L631"/>
    <mergeCell ref="N631:P631"/>
    <mergeCell ref="R631:T631"/>
    <mergeCell ref="J633:L633"/>
    <mergeCell ref="N633:P633"/>
    <mergeCell ref="R633:T633"/>
    <mergeCell ref="J622:L622"/>
    <mergeCell ref="N622:P622"/>
    <mergeCell ref="R622:T622"/>
    <mergeCell ref="J624:L624"/>
    <mergeCell ref="N624:P624"/>
    <mergeCell ref="R624:T624"/>
    <mergeCell ref="J626:L626"/>
    <mergeCell ref="N626:P626"/>
    <mergeCell ref="R626:T626"/>
    <mergeCell ref="J616:L616"/>
    <mergeCell ref="N616:P616"/>
    <mergeCell ref="R616:T616"/>
    <mergeCell ref="J618:L618"/>
    <mergeCell ref="N618:P618"/>
    <mergeCell ref="R618:T618"/>
    <mergeCell ref="J620:L620"/>
    <mergeCell ref="N620:P620"/>
    <mergeCell ref="R620:T620"/>
    <mergeCell ref="J609:L609"/>
    <mergeCell ref="N609:P609"/>
    <mergeCell ref="R609:T609"/>
    <mergeCell ref="J611:L611"/>
    <mergeCell ref="N611:P611"/>
    <mergeCell ref="R611:T611"/>
    <mergeCell ref="J613:L613"/>
    <mergeCell ref="N613:P613"/>
    <mergeCell ref="R613:T613"/>
    <mergeCell ref="J603:L603"/>
    <mergeCell ref="N603:P603"/>
    <mergeCell ref="R603:T603"/>
    <mergeCell ref="J605:L605"/>
    <mergeCell ref="N605:P605"/>
    <mergeCell ref="R605:T605"/>
    <mergeCell ref="J607:L607"/>
    <mergeCell ref="N607:P607"/>
    <mergeCell ref="R607:T607"/>
    <mergeCell ref="J596:L596"/>
    <mergeCell ref="N596:P596"/>
    <mergeCell ref="R596:T596"/>
    <mergeCell ref="J598:L598"/>
    <mergeCell ref="N598:P598"/>
    <mergeCell ref="R598:T598"/>
    <mergeCell ref="J600:L600"/>
    <mergeCell ref="N600:P600"/>
    <mergeCell ref="R600:T600"/>
    <mergeCell ref="J590:L590"/>
    <mergeCell ref="N590:P590"/>
    <mergeCell ref="R590:T590"/>
    <mergeCell ref="J592:L592"/>
    <mergeCell ref="N592:P592"/>
    <mergeCell ref="R592:T592"/>
    <mergeCell ref="J594:L594"/>
    <mergeCell ref="N594:P594"/>
    <mergeCell ref="R594:T594"/>
    <mergeCell ref="J583:L583"/>
    <mergeCell ref="N583:P583"/>
    <mergeCell ref="R583:T583"/>
    <mergeCell ref="J585:L585"/>
    <mergeCell ref="N585:P585"/>
    <mergeCell ref="R585:T585"/>
    <mergeCell ref="J587:L587"/>
    <mergeCell ref="N587:P587"/>
    <mergeCell ref="R587:T587"/>
    <mergeCell ref="J577:L577"/>
    <mergeCell ref="N577:P577"/>
    <mergeCell ref="R577:T577"/>
    <mergeCell ref="J579:L579"/>
    <mergeCell ref="N579:P579"/>
    <mergeCell ref="R579:T579"/>
    <mergeCell ref="J581:L581"/>
    <mergeCell ref="N581:P581"/>
    <mergeCell ref="R581:T581"/>
    <mergeCell ref="J570:L570"/>
    <mergeCell ref="N570:P570"/>
    <mergeCell ref="R570:T570"/>
    <mergeCell ref="J572:L572"/>
    <mergeCell ref="N572:P572"/>
    <mergeCell ref="R572:T572"/>
    <mergeCell ref="J574:L574"/>
    <mergeCell ref="N574:P574"/>
    <mergeCell ref="R574:T574"/>
    <mergeCell ref="J564:L564"/>
    <mergeCell ref="N564:P564"/>
    <mergeCell ref="R564:T564"/>
    <mergeCell ref="J566:L566"/>
    <mergeCell ref="N566:P566"/>
    <mergeCell ref="R566:T566"/>
    <mergeCell ref="J568:L568"/>
    <mergeCell ref="N568:P568"/>
    <mergeCell ref="R568:T568"/>
    <mergeCell ref="J557:L557"/>
    <mergeCell ref="N557:P557"/>
    <mergeCell ref="R557:T557"/>
    <mergeCell ref="J559:L559"/>
    <mergeCell ref="N559:P559"/>
    <mergeCell ref="R559:T559"/>
    <mergeCell ref="J561:L561"/>
    <mergeCell ref="N561:P561"/>
    <mergeCell ref="R561:T561"/>
    <mergeCell ref="J551:L551"/>
    <mergeCell ref="N551:P551"/>
    <mergeCell ref="R551:T551"/>
    <mergeCell ref="J553:L553"/>
    <mergeCell ref="N553:P553"/>
    <mergeCell ref="R553:T553"/>
    <mergeCell ref="J555:L555"/>
    <mergeCell ref="N555:P555"/>
    <mergeCell ref="R555:T555"/>
    <mergeCell ref="J544:L544"/>
    <mergeCell ref="N544:P544"/>
    <mergeCell ref="R544:T544"/>
    <mergeCell ref="J546:L546"/>
    <mergeCell ref="N546:P546"/>
    <mergeCell ref="R546:T546"/>
    <mergeCell ref="J548:L548"/>
    <mergeCell ref="N548:P548"/>
    <mergeCell ref="R548:T548"/>
    <mergeCell ref="J538:L538"/>
    <mergeCell ref="N538:P538"/>
    <mergeCell ref="R538:T538"/>
    <mergeCell ref="J540:L540"/>
    <mergeCell ref="N540:P540"/>
    <mergeCell ref="R540:T540"/>
    <mergeCell ref="J542:L542"/>
    <mergeCell ref="N542:P542"/>
    <mergeCell ref="R542:T542"/>
    <mergeCell ref="J531:L531"/>
    <mergeCell ref="N531:P531"/>
    <mergeCell ref="R531:T531"/>
    <mergeCell ref="J533:L533"/>
    <mergeCell ref="N533:P533"/>
    <mergeCell ref="R533:T533"/>
    <mergeCell ref="J535:L535"/>
    <mergeCell ref="N535:P535"/>
    <mergeCell ref="R535:T535"/>
    <mergeCell ref="J525:L525"/>
    <mergeCell ref="N525:P525"/>
    <mergeCell ref="R525:T525"/>
    <mergeCell ref="J527:L527"/>
    <mergeCell ref="N527:P527"/>
    <mergeCell ref="R527:T527"/>
    <mergeCell ref="J529:L529"/>
    <mergeCell ref="N529:P529"/>
    <mergeCell ref="R529:T529"/>
    <mergeCell ref="J518:L518"/>
    <mergeCell ref="N518:P518"/>
    <mergeCell ref="R518:T518"/>
    <mergeCell ref="J520:L520"/>
    <mergeCell ref="N520:P520"/>
    <mergeCell ref="R520:T520"/>
    <mergeCell ref="J522:L522"/>
    <mergeCell ref="N522:P522"/>
    <mergeCell ref="R522:T522"/>
    <mergeCell ref="J512:L512"/>
    <mergeCell ref="N512:P512"/>
    <mergeCell ref="R512:T512"/>
    <mergeCell ref="J514:L514"/>
    <mergeCell ref="N514:P514"/>
    <mergeCell ref="R514:T514"/>
    <mergeCell ref="J516:L516"/>
    <mergeCell ref="N516:P516"/>
    <mergeCell ref="R516:T516"/>
    <mergeCell ref="J505:L505"/>
    <mergeCell ref="N505:P505"/>
    <mergeCell ref="R505:T505"/>
    <mergeCell ref="J507:L507"/>
    <mergeCell ref="N507:P507"/>
    <mergeCell ref="R507:T507"/>
    <mergeCell ref="J509:L509"/>
    <mergeCell ref="N509:P509"/>
    <mergeCell ref="R509:T509"/>
    <mergeCell ref="J499:L499"/>
    <mergeCell ref="N499:P499"/>
    <mergeCell ref="R499:T499"/>
    <mergeCell ref="J501:L501"/>
    <mergeCell ref="N501:P501"/>
    <mergeCell ref="R501:T501"/>
    <mergeCell ref="J503:L503"/>
    <mergeCell ref="N503:P503"/>
    <mergeCell ref="R503:T503"/>
    <mergeCell ref="J492:L492"/>
    <mergeCell ref="N492:P492"/>
    <mergeCell ref="R492:T492"/>
    <mergeCell ref="J494:L494"/>
    <mergeCell ref="N494:P494"/>
    <mergeCell ref="R494:T494"/>
    <mergeCell ref="J496:L496"/>
    <mergeCell ref="N496:P496"/>
    <mergeCell ref="R496:T496"/>
    <mergeCell ref="J486:L486"/>
    <mergeCell ref="N486:P486"/>
    <mergeCell ref="R486:T486"/>
    <mergeCell ref="J488:L488"/>
    <mergeCell ref="N488:P488"/>
    <mergeCell ref="R488:T488"/>
    <mergeCell ref="J490:L490"/>
    <mergeCell ref="N490:P490"/>
    <mergeCell ref="R490:T490"/>
    <mergeCell ref="J479:L479"/>
    <mergeCell ref="N479:P479"/>
    <mergeCell ref="R479:T479"/>
    <mergeCell ref="J481:L481"/>
    <mergeCell ref="N481:P481"/>
    <mergeCell ref="R481:T481"/>
    <mergeCell ref="J483:L483"/>
    <mergeCell ref="N483:P483"/>
    <mergeCell ref="R483:T483"/>
    <mergeCell ref="J473:L473"/>
    <mergeCell ref="N473:P473"/>
    <mergeCell ref="R473:T473"/>
    <mergeCell ref="J475:L475"/>
    <mergeCell ref="N475:P475"/>
    <mergeCell ref="R475:T475"/>
    <mergeCell ref="J477:L477"/>
    <mergeCell ref="N477:P477"/>
    <mergeCell ref="R477:T477"/>
    <mergeCell ref="J466:L466"/>
    <mergeCell ref="N466:P466"/>
    <mergeCell ref="R466:T466"/>
    <mergeCell ref="J468:L468"/>
    <mergeCell ref="N468:P468"/>
    <mergeCell ref="R468:T468"/>
    <mergeCell ref="J470:L470"/>
    <mergeCell ref="N470:P470"/>
    <mergeCell ref="R470:T470"/>
    <mergeCell ref="J460:L460"/>
    <mergeCell ref="N460:P460"/>
    <mergeCell ref="R460:T460"/>
    <mergeCell ref="J462:L462"/>
    <mergeCell ref="N462:P462"/>
    <mergeCell ref="R462:T462"/>
    <mergeCell ref="J464:L464"/>
    <mergeCell ref="N464:P464"/>
    <mergeCell ref="R464:T464"/>
    <mergeCell ref="J453:L453"/>
    <mergeCell ref="N453:P453"/>
    <mergeCell ref="R453:T453"/>
    <mergeCell ref="J455:L455"/>
    <mergeCell ref="N455:P455"/>
    <mergeCell ref="R455:T455"/>
    <mergeCell ref="J457:L457"/>
    <mergeCell ref="N457:P457"/>
    <mergeCell ref="R457:T457"/>
    <mergeCell ref="J447:L447"/>
    <mergeCell ref="N447:P447"/>
    <mergeCell ref="R447:T447"/>
    <mergeCell ref="J449:L449"/>
    <mergeCell ref="N449:P449"/>
    <mergeCell ref="R449:T449"/>
    <mergeCell ref="J451:L451"/>
    <mergeCell ref="N451:P451"/>
    <mergeCell ref="R451:T451"/>
    <mergeCell ref="J440:L440"/>
    <mergeCell ref="N440:P440"/>
    <mergeCell ref="R440:T440"/>
    <mergeCell ref="J442:L442"/>
    <mergeCell ref="N442:P442"/>
    <mergeCell ref="R442:T442"/>
    <mergeCell ref="J444:L444"/>
    <mergeCell ref="N444:P444"/>
    <mergeCell ref="R444:T444"/>
    <mergeCell ref="J434:L434"/>
    <mergeCell ref="N434:P434"/>
    <mergeCell ref="R434:T434"/>
    <mergeCell ref="J436:L436"/>
    <mergeCell ref="N436:P436"/>
    <mergeCell ref="R436:T436"/>
    <mergeCell ref="J438:L438"/>
    <mergeCell ref="N438:P438"/>
    <mergeCell ref="R438:T438"/>
    <mergeCell ref="J427:L427"/>
    <mergeCell ref="N427:P427"/>
    <mergeCell ref="R427:T427"/>
    <mergeCell ref="J429:L429"/>
    <mergeCell ref="N429:P429"/>
    <mergeCell ref="R429:T429"/>
    <mergeCell ref="J431:L431"/>
    <mergeCell ref="N431:P431"/>
    <mergeCell ref="R431:T431"/>
    <mergeCell ref="J421:L421"/>
    <mergeCell ref="N421:P421"/>
    <mergeCell ref="R421:T421"/>
    <mergeCell ref="J423:L423"/>
    <mergeCell ref="N423:P423"/>
    <mergeCell ref="R423:T423"/>
    <mergeCell ref="J425:L425"/>
    <mergeCell ref="N425:P425"/>
    <mergeCell ref="R425:T425"/>
    <mergeCell ref="J414:L414"/>
    <mergeCell ref="N414:P414"/>
    <mergeCell ref="R414:T414"/>
    <mergeCell ref="J416:L416"/>
    <mergeCell ref="N416:P416"/>
    <mergeCell ref="R416:T416"/>
    <mergeCell ref="J418:L418"/>
    <mergeCell ref="N418:P418"/>
    <mergeCell ref="R418:T418"/>
    <mergeCell ref="J408:L408"/>
    <mergeCell ref="N408:P408"/>
    <mergeCell ref="R408:T408"/>
    <mergeCell ref="J410:L410"/>
    <mergeCell ref="N410:P410"/>
    <mergeCell ref="R410:T410"/>
    <mergeCell ref="J412:L412"/>
    <mergeCell ref="N412:P412"/>
    <mergeCell ref="R412:T412"/>
    <mergeCell ref="J401:L401"/>
    <mergeCell ref="N401:P401"/>
    <mergeCell ref="R401:T401"/>
    <mergeCell ref="J403:L403"/>
    <mergeCell ref="N403:P403"/>
    <mergeCell ref="R403:T403"/>
    <mergeCell ref="J405:L405"/>
    <mergeCell ref="N405:P405"/>
    <mergeCell ref="R405:T405"/>
    <mergeCell ref="J395:L395"/>
    <mergeCell ref="N395:P395"/>
    <mergeCell ref="R395:T395"/>
    <mergeCell ref="J397:L397"/>
    <mergeCell ref="N397:P397"/>
    <mergeCell ref="R397:T397"/>
    <mergeCell ref="J399:L399"/>
    <mergeCell ref="N399:P399"/>
    <mergeCell ref="R399:T399"/>
    <mergeCell ref="J388:L388"/>
    <mergeCell ref="N388:P388"/>
    <mergeCell ref="R388:T388"/>
    <mergeCell ref="J390:L390"/>
    <mergeCell ref="N390:P390"/>
    <mergeCell ref="R390:T390"/>
    <mergeCell ref="J392:L392"/>
    <mergeCell ref="N392:P392"/>
    <mergeCell ref="R392:T392"/>
    <mergeCell ref="J382:L382"/>
    <mergeCell ref="N382:P382"/>
    <mergeCell ref="R382:T382"/>
    <mergeCell ref="J384:L384"/>
    <mergeCell ref="N384:P384"/>
    <mergeCell ref="R384:T384"/>
    <mergeCell ref="J386:L386"/>
    <mergeCell ref="N386:P386"/>
    <mergeCell ref="R386:T386"/>
    <mergeCell ref="J375:L375"/>
    <mergeCell ref="N375:P375"/>
    <mergeCell ref="R375:T375"/>
    <mergeCell ref="J377:L377"/>
    <mergeCell ref="N377:P377"/>
    <mergeCell ref="R377:T377"/>
    <mergeCell ref="J379:L379"/>
    <mergeCell ref="N379:P379"/>
    <mergeCell ref="R379:T379"/>
    <mergeCell ref="J369:L369"/>
    <mergeCell ref="N369:P369"/>
    <mergeCell ref="R369:T369"/>
    <mergeCell ref="J371:L371"/>
    <mergeCell ref="N371:P371"/>
    <mergeCell ref="R371:T371"/>
    <mergeCell ref="J373:L373"/>
    <mergeCell ref="N373:P373"/>
    <mergeCell ref="R373:T373"/>
    <mergeCell ref="J362:L362"/>
    <mergeCell ref="N362:P362"/>
    <mergeCell ref="R362:T362"/>
    <mergeCell ref="J364:L364"/>
    <mergeCell ref="N364:P364"/>
    <mergeCell ref="R364:T364"/>
    <mergeCell ref="J366:L366"/>
    <mergeCell ref="N366:P366"/>
    <mergeCell ref="R366:T366"/>
    <mergeCell ref="J356:L356"/>
    <mergeCell ref="N356:P356"/>
    <mergeCell ref="R356:T356"/>
    <mergeCell ref="J358:L358"/>
    <mergeCell ref="N358:P358"/>
    <mergeCell ref="R358:T358"/>
    <mergeCell ref="J360:L360"/>
    <mergeCell ref="N360:P360"/>
    <mergeCell ref="R360:T360"/>
    <mergeCell ref="J349:L349"/>
    <mergeCell ref="N349:P349"/>
    <mergeCell ref="R349:T349"/>
    <mergeCell ref="J351:L351"/>
    <mergeCell ref="N351:P351"/>
    <mergeCell ref="R351:T351"/>
    <mergeCell ref="J353:L353"/>
    <mergeCell ref="N353:P353"/>
    <mergeCell ref="R353:T353"/>
    <mergeCell ref="J343:L343"/>
    <mergeCell ref="N343:P343"/>
    <mergeCell ref="R343:T343"/>
    <mergeCell ref="J345:L345"/>
    <mergeCell ref="N345:P345"/>
    <mergeCell ref="R345:T345"/>
    <mergeCell ref="J347:L347"/>
    <mergeCell ref="N347:P347"/>
    <mergeCell ref="R347:T347"/>
    <mergeCell ref="J336:L336"/>
    <mergeCell ref="N336:P336"/>
    <mergeCell ref="R336:T336"/>
    <mergeCell ref="J338:L338"/>
    <mergeCell ref="N338:P338"/>
    <mergeCell ref="R338:T338"/>
    <mergeCell ref="J340:L340"/>
    <mergeCell ref="N340:P340"/>
    <mergeCell ref="R340:T340"/>
    <mergeCell ref="J330:L330"/>
    <mergeCell ref="N330:P330"/>
    <mergeCell ref="R330:T330"/>
    <mergeCell ref="J332:L332"/>
    <mergeCell ref="N332:P332"/>
    <mergeCell ref="R332:T332"/>
    <mergeCell ref="J334:L334"/>
    <mergeCell ref="N334:P334"/>
    <mergeCell ref="R334:T334"/>
    <mergeCell ref="J323:L323"/>
    <mergeCell ref="N323:P323"/>
    <mergeCell ref="R323:T323"/>
    <mergeCell ref="J325:L325"/>
    <mergeCell ref="N325:P325"/>
    <mergeCell ref="R325:T325"/>
    <mergeCell ref="J327:L327"/>
    <mergeCell ref="N327:P327"/>
    <mergeCell ref="R327:T327"/>
    <mergeCell ref="J317:L317"/>
    <mergeCell ref="N317:P317"/>
    <mergeCell ref="R317:T317"/>
    <mergeCell ref="J319:L319"/>
    <mergeCell ref="N319:P319"/>
    <mergeCell ref="R319:T319"/>
    <mergeCell ref="J321:L321"/>
    <mergeCell ref="N321:P321"/>
    <mergeCell ref="R321:T321"/>
    <mergeCell ref="J310:L310"/>
    <mergeCell ref="N310:P310"/>
    <mergeCell ref="R310:T310"/>
    <mergeCell ref="J312:L312"/>
    <mergeCell ref="N312:P312"/>
    <mergeCell ref="R312:T312"/>
    <mergeCell ref="J314:L314"/>
    <mergeCell ref="N314:P314"/>
    <mergeCell ref="R314:T314"/>
    <mergeCell ref="J304:L304"/>
    <mergeCell ref="N304:P304"/>
    <mergeCell ref="R304:T304"/>
    <mergeCell ref="J306:L306"/>
    <mergeCell ref="N306:P306"/>
    <mergeCell ref="R306:T306"/>
    <mergeCell ref="J308:L308"/>
    <mergeCell ref="N308:P308"/>
    <mergeCell ref="R308:T308"/>
    <mergeCell ref="J297:L297"/>
    <mergeCell ref="N297:P297"/>
    <mergeCell ref="R297:T297"/>
    <mergeCell ref="J299:L299"/>
    <mergeCell ref="N299:P299"/>
    <mergeCell ref="R299:T299"/>
    <mergeCell ref="J301:L301"/>
    <mergeCell ref="N301:P301"/>
    <mergeCell ref="R301:T301"/>
    <mergeCell ref="J291:L291"/>
    <mergeCell ref="N291:P291"/>
    <mergeCell ref="R291:T291"/>
    <mergeCell ref="J293:L293"/>
    <mergeCell ref="N293:P293"/>
    <mergeCell ref="R293:T293"/>
    <mergeCell ref="J295:L295"/>
    <mergeCell ref="N295:P295"/>
    <mergeCell ref="R295:T295"/>
    <mergeCell ref="J284:L284"/>
    <mergeCell ref="N284:P284"/>
    <mergeCell ref="R284:T284"/>
    <mergeCell ref="J286:L286"/>
    <mergeCell ref="N286:P286"/>
    <mergeCell ref="R286:T286"/>
    <mergeCell ref="J288:L288"/>
    <mergeCell ref="N288:P288"/>
    <mergeCell ref="R288:T288"/>
    <mergeCell ref="J278:L278"/>
    <mergeCell ref="N278:P278"/>
    <mergeCell ref="R278:T278"/>
    <mergeCell ref="J280:L280"/>
    <mergeCell ref="N280:P280"/>
    <mergeCell ref="R280:T280"/>
    <mergeCell ref="J282:L282"/>
    <mergeCell ref="N282:P282"/>
    <mergeCell ref="R282:T282"/>
    <mergeCell ref="J271:L271"/>
    <mergeCell ref="N271:P271"/>
    <mergeCell ref="R271:T271"/>
    <mergeCell ref="J273:L273"/>
    <mergeCell ref="N273:P273"/>
    <mergeCell ref="R273:T273"/>
    <mergeCell ref="J275:L275"/>
    <mergeCell ref="N275:P275"/>
    <mergeCell ref="R275:T275"/>
    <mergeCell ref="J265:L265"/>
    <mergeCell ref="N265:P265"/>
    <mergeCell ref="R265:T265"/>
    <mergeCell ref="J267:L267"/>
    <mergeCell ref="N267:P267"/>
    <mergeCell ref="R267:T267"/>
    <mergeCell ref="J269:L269"/>
    <mergeCell ref="N269:P269"/>
    <mergeCell ref="R269:T269"/>
    <mergeCell ref="J258:L258"/>
    <mergeCell ref="N258:P258"/>
    <mergeCell ref="R258:T258"/>
    <mergeCell ref="J260:L260"/>
    <mergeCell ref="N260:P260"/>
    <mergeCell ref="R260:T260"/>
    <mergeCell ref="J262:L262"/>
    <mergeCell ref="N262:P262"/>
    <mergeCell ref="R262:T262"/>
    <mergeCell ref="J252:L252"/>
    <mergeCell ref="N252:P252"/>
    <mergeCell ref="R252:T252"/>
    <mergeCell ref="J254:L254"/>
    <mergeCell ref="N254:P254"/>
    <mergeCell ref="R254:T254"/>
    <mergeCell ref="J256:L256"/>
    <mergeCell ref="N256:P256"/>
    <mergeCell ref="R256:T256"/>
    <mergeCell ref="J245:L245"/>
    <mergeCell ref="N245:P245"/>
    <mergeCell ref="R245:T245"/>
    <mergeCell ref="J247:L247"/>
    <mergeCell ref="N247:P247"/>
    <mergeCell ref="R247:T247"/>
    <mergeCell ref="J249:L249"/>
    <mergeCell ref="N249:P249"/>
    <mergeCell ref="R249:T249"/>
    <mergeCell ref="J239:L239"/>
    <mergeCell ref="N239:P239"/>
    <mergeCell ref="R239:T239"/>
    <mergeCell ref="J241:L241"/>
    <mergeCell ref="N241:P241"/>
    <mergeCell ref="R241:T241"/>
    <mergeCell ref="J243:L243"/>
    <mergeCell ref="N243:P243"/>
    <mergeCell ref="R243:T243"/>
    <mergeCell ref="J232:L232"/>
    <mergeCell ref="N232:P232"/>
    <mergeCell ref="R232:T232"/>
    <mergeCell ref="J234:L234"/>
    <mergeCell ref="N234:P234"/>
    <mergeCell ref="R234:T234"/>
    <mergeCell ref="J236:L236"/>
    <mergeCell ref="N236:P236"/>
    <mergeCell ref="R236:T236"/>
    <mergeCell ref="J226:L226"/>
    <mergeCell ref="N226:P226"/>
    <mergeCell ref="R226:T226"/>
    <mergeCell ref="J228:L228"/>
    <mergeCell ref="N228:P228"/>
    <mergeCell ref="R228:T228"/>
    <mergeCell ref="J230:L230"/>
    <mergeCell ref="N230:P230"/>
    <mergeCell ref="R230:T230"/>
    <mergeCell ref="J219:L219"/>
    <mergeCell ref="N219:P219"/>
    <mergeCell ref="R219:T219"/>
    <mergeCell ref="J221:L221"/>
    <mergeCell ref="N221:P221"/>
    <mergeCell ref="R221:T221"/>
    <mergeCell ref="J223:L223"/>
    <mergeCell ref="N223:P223"/>
    <mergeCell ref="R223:T223"/>
    <mergeCell ref="J213:L213"/>
    <mergeCell ref="N213:P213"/>
    <mergeCell ref="R213:T213"/>
    <mergeCell ref="J215:L215"/>
    <mergeCell ref="N215:P215"/>
    <mergeCell ref="R215:T215"/>
    <mergeCell ref="J217:L217"/>
    <mergeCell ref="N217:P217"/>
    <mergeCell ref="R217:T217"/>
    <mergeCell ref="J206:L206"/>
    <mergeCell ref="N206:P206"/>
    <mergeCell ref="R206:T206"/>
    <mergeCell ref="J208:L208"/>
    <mergeCell ref="N208:P208"/>
    <mergeCell ref="R208:T208"/>
    <mergeCell ref="J210:L210"/>
    <mergeCell ref="N210:P210"/>
    <mergeCell ref="R210:T210"/>
    <mergeCell ref="J200:L200"/>
    <mergeCell ref="N200:P200"/>
    <mergeCell ref="R200:T200"/>
    <mergeCell ref="J202:L202"/>
    <mergeCell ref="N202:P202"/>
    <mergeCell ref="R202:T202"/>
    <mergeCell ref="J204:L204"/>
    <mergeCell ref="N204:P204"/>
    <mergeCell ref="R204:T204"/>
    <mergeCell ref="J193:L193"/>
    <mergeCell ref="N193:P193"/>
    <mergeCell ref="R193:T193"/>
    <mergeCell ref="J195:L195"/>
    <mergeCell ref="N195:P195"/>
    <mergeCell ref="R195:T195"/>
    <mergeCell ref="J197:L197"/>
    <mergeCell ref="N197:P197"/>
    <mergeCell ref="R197:T197"/>
    <mergeCell ref="J187:L187"/>
    <mergeCell ref="N187:P187"/>
    <mergeCell ref="R187:T187"/>
    <mergeCell ref="J189:L189"/>
    <mergeCell ref="N189:P189"/>
    <mergeCell ref="R189:T189"/>
    <mergeCell ref="J191:L191"/>
    <mergeCell ref="N191:P191"/>
    <mergeCell ref="R191:T191"/>
    <mergeCell ref="J180:L180"/>
    <mergeCell ref="N180:P180"/>
    <mergeCell ref="R180:T180"/>
    <mergeCell ref="J182:L182"/>
    <mergeCell ref="N182:P182"/>
    <mergeCell ref="R182:T182"/>
    <mergeCell ref="J184:L184"/>
    <mergeCell ref="N184:P184"/>
    <mergeCell ref="R184:T184"/>
    <mergeCell ref="J174:L174"/>
    <mergeCell ref="N174:P174"/>
    <mergeCell ref="R174:T174"/>
    <mergeCell ref="J176:L176"/>
    <mergeCell ref="N176:P176"/>
    <mergeCell ref="R176:T176"/>
    <mergeCell ref="J178:L178"/>
    <mergeCell ref="N178:P178"/>
    <mergeCell ref="R178:T178"/>
    <mergeCell ref="J167:L167"/>
    <mergeCell ref="N167:P167"/>
    <mergeCell ref="R167:T167"/>
    <mergeCell ref="J169:L169"/>
    <mergeCell ref="N169:P169"/>
    <mergeCell ref="R169:T169"/>
    <mergeCell ref="J171:L171"/>
    <mergeCell ref="N171:P171"/>
    <mergeCell ref="R171:T171"/>
    <mergeCell ref="J161:L161"/>
    <mergeCell ref="N161:P161"/>
    <mergeCell ref="R161:T161"/>
    <mergeCell ref="J163:L163"/>
    <mergeCell ref="N163:P163"/>
    <mergeCell ref="R163:T163"/>
    <mergeCell ref="J165:L165"/>
    <mergeCell ref="N165:P165"/>
    <mergeCell ref="R165:T165"/>
    <mergeCell ref="J154:L154"/>
    <mergeCell ref="N154:P154"/>
    <mergeCell ref="R154:T154"/>
    <mergeCell ref="J156:L156"/>
    <mergeCell ref="N156:P156"/>
    <mergeCell ref="R156:T156"/>
    <mergeCell ref="J158:L158"/>
    <mergeCell ref="N158:P158"/>
    <mergeCell ref="R158:T158"/>
    <mergeCell ref="J148:L148"/>
    <mergeCell ref="N148:P148"/>
    <mergeCell ref="R148:T148"/>
    <mergeCell ref="J150:L150"/>
    <mergeCell ref="N150:P150"/>
    <mergeCell ref="R150:T150"/>
    <mergeCell ref="J152:L152"/>
    <mergeCell ref="N152:P152"/>
    <mergeCell ref="R152:T152"/>
    <mergeCell ref="J145:L145"/>
    <mergeCell ref="N145:P145"/>
    <mergeCell ref="R145:T145"/>
    <mergeCell ref="J113:L113"/>
    <mergeCell ref="J115:L115"/>
    <mergeCell ref="J117:L117"/>
    <mergeCell ref="J119:L119"/>
    <mergeCell ref="J20:L20"/>
    <mergeCell ref="C2:AO2"/>
    <mergeCell ref="J135:L135"/>
    <mergeCell ref="N135:P135"/>
    <mergeCell ref="R135:T135"/>
    <mergeCell ref="J137:L137"/>
    <mergeCell ref="N137:P137"/>
    <mergeCell ref="R137:T137"/>
    <mergeCell ref="J139:L139"/>
    <mergeCell ref="J141:L141"/>
    <mergeCell ref="N139:P139"/>
    <mergeCell ref="N141:P141"/>
    <mergeCell ref="R141:T141"/>
    <mergeCell ref="J79:L79"/>
    <mergeCell ref="J81:L81"/>
    <mergeCell ref="J83:L83"/>
    <mergeCell ref="J85:L85"/>
    <mergeCell ref="J87:L87"/>
    <mergeCell ref="J89:L89"/>
    <mergeCell ref="J91:L91"/>
    <mergeCell ref="J93:L93"/>
    <mergeCell ref="J95:L95"/>
    <mergeCell ref="J97:L97"/>
    <mergeCell ref="J99:L99"/>
    <mergeCell ref="J101:L101"/>
    <mergeCell ref="J103:L103"/>
    <mergeCell ref="J105:L105"/>
    <mergeCell ref="J107:L107"/>
    <mergeCell ref="J109:L109"/>
    <mergeCell ref="J111:L111"/>
    <mergeCell ref="J21:L21"/>
    <mergeCell ref="J23:L23"/>
    <mergeCell ref="J25:L25"/>
    <mergeCell ref="J27:L27"/>
    <mergeCell ref="J29:L29"/>
    <mergeCell ref="J31:L31"/>
    <mergeCell ref="J33:L33"/>
    <mergeCell ref="J35:L35"/>
    <mergeCell ref="J37:L37"/>
    <mergeCell ref="J39:L39"/>
    <mergeCell ref="J41:L41"/>
    <mergeCell ref="J43:L43"/>
    <mergeCell ref="J45:L45"/>
    <mergeCell ref="J47:L47"/>
    <mergeCell ref="J49:L49"/>
    <mergeCell ref="J51:L51"/>
    <mergeCell ref="J53:L53"/>
    <mergeCell ref="J55:L55"/>
    <mergeCell ref="J57:L57"/>
    <mergeCell ref="J59:L59"/>
    <mergeCell ref="J77:L77"/>
    <mergeCell ref="F23:H23"/>
    <mergeCell ref="F25:H25"/>
    <mergeCell ref="F27:H27"/>
    <mergeCell ref="F29:H29"/>
    <mergeCell ref="R23:V23"/>
    <mergeCell ref="R25:V25"/>
    <mergeCell ref="R27:V27"/>
    <mergeCell ref="R29:V29"/>
    <mergeCell ref="F20:H20"/>
    <mergeCell ref="N20:P20"/>
    <mergeCell ref="R20:V20"/>
    <mergeCell ref="N23:P23"/>
    <mergeCell ref="N25:P25"/>
    <mergeCell ref="N27:P27"/>
    <mergeCell ref="N29:P29"/>
    <mergeCell ref="X20:Z20"/>
    <mergeCell ref="AD20:AF20"/>
    <mergeCell ref="F22:H22"/>
    <mergeCell ref="F24:H24"/>
    <mergeCell ref="F26:H26"/>
    <mergeCell ref="F28:H28"/>
    <mergeCell ref="F21:H21"/>
    <mergeCell ref="N21:P21"/>
    <mergeCell ref="R21:V21"/>
    <mergeCell ref="AD21:AF21"/>
    <mergeCell ref="AH20:AJ20"/>
    <mergeCell ref="AL20:AN20"/>
    <mergeCell ref="F75:H75"/>
    <mergeCell ref="N33:P33"/>
    <mergeCell ref="N35:P35"/>
    <mergeCell ref="N37:P37"/>
    <mergeCell ref="N39:P39"/>
    <mergeCell ref="N41:P41"/>
    <mergeCell ref="N43:P43"/>
    <mergeCell ref="N57:P57"/>
    <mergeCell ref="N59:P59"/>
    <mergeCell ref="N61:P61"/>
    <mergeCell ref="N63:P63"/>
    <mergeCell ref="N65:P65"/>
    <mergeCell ref="N67:P67"/>
    <mergeCell ref="N45:P45"/>
    <mergeCell ref="N47:P47"/>
    <mergeCell ref="N49:P49"/>
    <mergeCell ref="F31:H31"/>
    <mergeCell ref="F33:H33"/>
    <mergeCell ref="F35:H35"/>
    <mergeCell ref="F37:H37"/>
    <mergeCell ref="F39:H39"/>
    <mergeCell ref="F41:H41"/>
    <mergeCell ref="J61:L61"/>
    <mergeCell ref="J63:L63"/>
    <mergeCell ref="J65:L65"/>
    <mergeCell ref="J67:L67"/>
    <mergeCell ref="J69:L69"/>
    <mergeCell ref="J71:L71"/>
    <mergeCell ref="J73:L73"/>
    <mergeCell ref="J75:L75"/>
    <mergeCell ref="F77:H77"/>
    <mergeCell ref="F55:H55"/>
    <mergeCell ref="F57:H57"/>
    <mergeCell ref="F59:H59"/>
    <mergeCell ref="F61:H61"/>
    <mergeCell ref="F63:H63"/>
    <mergeCell ref="F65:H65"/>
    <mergeCell ref="F43:H43"/>
    <mergeCell ref="F45:H45"/>
    <mergeCell ref="F47:H47"/>
    <mergeCell ref="F49:H49"/>
    <mergeCell ref="F51:H51"/>
    <mergeCell ref="F53:H53"/>
    <mergeCell ref="F69:H69"/>
    <mergeCell ref="F71:H71"/>
    <mergeCell ref="F73:H73"/>
    <mergeCell ref="F64:H64"/>
    <mergeCell ref="F66:H66"/>
    <mergeCell ref="F68:H68"/>
    <mergeCell ref="F70:H70"/>
    <mergeCell ref="F72:H72"/>
    <mergeCell ref="F74:H74"/>
    <mergeCell ref="F76:H76"/>
    <mergeCell ref="F67:H67"/>
    <mergeCell ref="F119:H119"/>
    <mergeCell ref="F103:H103"/>
    <mergeCell ref="F105:H105"/>
    <mergeCell ref="F107:H107"/>
    <mergeCell ref="F109:H109"/>
    <mergeCell ref="F111:H111"/>
    <mergeCell ref="F113:H113"/>
    <mergeCell ref="F91:H91"/>
    <mergeCell ref="F93:H93"/>
    <mergeCell ref="F95:H95"/>
    <mergeCell ref="F97:H97"/>
    <mergeCell ref="F99:H99"/>
    <mergeCell ref="F101:H101"/>
    <mergeCell ref="F79:H79"/>
    <mergeCell ref="F81:H81"/>
    <mergeCell ref="F83:H83"/>
    <mergeCell ref="F85:H85"/>
    <mergeCell ref="F87:H87"/>
    <mergeCell ref="F89:H89"/>
    <mergeCell ref="N111:P111"/>
    <mergeCell ref="N113:P113"/>
    <mergeCell ref="N115:P115"/>
    <mergeCell ref="N93:P93"/>
    <mergeCell ref="N95:P95"/>
    <mergeCell ref="N97:P97"/>
    <mergeCell ref="N99:P99"/>
    <mergeCell ref="N101:P101"/>
    <mergeCell ref="N103:P103"/>
    <mergeCell ref="N87:P87"/>
    <mergeCell ref="N89:P89"/>
    <mergeCell ref="N91:P91"/>
    <mergeCell ref="R75:V75"/>
    <mergeCell ref="R77:V77"/>
    <mergeCell ref="R55:V55"/>
    <mergeCell ref="R57:V57"/>
    <mergeCell ref="R59:V59"/>
    <mergeCell ref="R61:V61"/>
    <mergeCell ref="R63:V63"/>
    <mergeCell ref="R65:V65"/>
    <mergeCell ref="R83:V83"/>
    <mergeCell ref="R85:V85"/>
    <mergeCell ref="R87:V87"/>
    <mergeCell ref="R89:V89"/>
    <mergeCell ref="R67:V67"/>
    <mergeCell ref="R69:V69"/>
    <mergeCell ref="R71:V71"/>
    <mergeCell ref="R73:V73"/>
    <mergeCell ref="N69:P69"/>
    <mergeCell ref="N71:P71"/>
    <mergeCell ref="N73:P73"/>
    <mergeCell ref="N75:P75"/>
    <mergeCell ref="N77:P77"/>
    <mergeCell ref="R31:V31"/>
    <mergeCell ref="R33:V33"/>
    <mergeCell ref="R35:V35"/>
    <mergeCell ref="R37:V37"/>
    <mergeCell ref="R39:V39"/>
    <mergeCell ref="R41:V41"/>
    <mergeCell ref="N81:P81"/>
    <mergeCell ref="N83:P83"/>
    <mergeCell ref="N85:P85"/>
    <mergeCell ref="N31:P31"/>
    <mergeCell ref="N79:P79"/>
    <mergeCell ref="N51:P51"/>
    <mergeCell ref="N53:P53"/>
    <mergeCell ref="N55:P55"/>
    <mergeCell ref="R91:V91"/>
    <mergeCell ref="R93:V93"/>
    <mergeCell ref="R95:V95"/>
    <mergeCell ref="R97:V97"/>
    <mergeCell ref="R99:V99"/>
    <mergeCell ref="R101:V101"/>
    <mergeCell ref="R79:V79"/>
    <mergeCell ref="R81:V81"/>
    <mergeCell ref="R43:V43"/>
    <mergeCell ref="R45:V45"/>
    <mergeCell ref="R47:V47"/>
    <mergeCell ref="R49:V49"/>
    <mergeCell ref="R51:V51"/>
    <mergeCell ref="R53:V53"/>
    <mergeCell ref="AD23:AF23"/>
    <mergeCell ref="AD25:AF25"/>
    <mergeCell ref="AD27:AF27"/>
    <mergeCell ref="AD29:AF29"/>
    <mergeCell ref="AD31:AF31"/>
    <mergeCell ref="AD33:AF33"/>
    <mergeCell ref="AD35:AF35"/>
    <mergeCell ref="AD37:AF37"/>
    <mergeCell ref="AD39:AF39"/>
    <mergeCell ref="AD65:AF65"/>
    <mergeCell ref="AD67:AF67"/>
    <mergeCell ref="AD69:AF69"/>
    <mergeCell ref="AD71:AF71"/>
    <mergeCell ref="AD73:AF73"/>
    <mergeCell ref="AD75:AF75"/>
    <mergeCell ref="AD53:AF53"/>
    <mergeCell ref="AD55:AF55"/>
    <mergeCell ref="AD57:AF57"/>
    <mergeCell ref="AD59:AF59"/>
    <mergeCell ref="AD61:AF61"/>
    <mergeCell ref="AD41:AF41"/>
    <mergeCell ref="AD43:AF43"/>
    <mergeCell ref="AD45:AF45"/>
    <mergeCell ref="AD47:AF47"/>
    <mergeCell ref="AD49:AF49"/>
    <mergeCell ref="AD51:AF51"/>
    <mergeCell ref="AH23:AJ23"/>
    <mergeCell ref="AL23:AN23"/>
    <mergeCell ref="AH25:AJ25"/>
    <mergeCell ref="AL25:AN25"/>
    <mergeCell ref="AH27:AJ27"/>
    <mergeCell ref="AL27:AN27"/>
    <mergeCell ref="AH41:AJ41"/>
    <mergeCell ref="AL41:AN41"/>
    <mergeCell ref="AH43:AJ43"/>
    <mergeCell ref="AL43:AN43"/>
    <mergeCell ref="AH45:AJ45"/>
    <mergeCell ref="AL45:AN45"/>
    <mergeCell ref="AH35:AJ35"/>
    <mergeCell ref="AL35:AN35"/>
    <mergeCell ref="AH37:AJ37"/>
    <mergeCell ref="AL37:AN37"/>
    <mergeCell ref="AH39:AJ39"/>
    <mergeCell ref="AL39:AN39"/>
    <mergeCell ref="AH29:AJ29"/>
    <mergeCell ref="AL29:AN29"/>
    <mergeCell ref="AH31:AJ31"/>
    <mergeCell ref="AL31:AN31"/>
    <mergeCell ref="AH33:AJ33"/>
    <mergeCell ref="AL33:AN33"/>
    <mergeCell ref="AH53:AJ53"/>
    <mergeCell ref="AL53:AN53"/>
    <mergeCell ref="AH55:AJ55"/>
    <mergeCell ref="AL55:AN55"/>
    <mergeCell ref="AH57:AJ57"/>
    <mergeCell ref="AL57:AN57"/>
    <mergeCell ref="AD113:AF113"/>
    <mergeCell ref="N117:P117"/>
    <mergeCell ref="N119:P119"/>
    <mergeCell ref="R117:V117"/>
    <mergeCell ref="R119:V119"/>
    <mergeCell ref="AD115:AF115"/>
    <mergeCell ref="AD117:AF117"/>
    <mergeCell ref="AD119:AF119"/>
    <mergeCell ref="AD101:AF101"/>
    <mergeCell ref="AD103:AF103"/>
    <mergeCell ref="AD105:AF105"/>
    <mergeCell ref="AD107:AF107"/>
    <mergeCell ref="AD109:AF109"/>
    <mergeCell ref="AD111:AF111"/>
    <mergeCell ref="R115:V115"/>
    <mergeCell ref="R103:V103"/>
    <mergeCell ref="R105:V105"/>
    <mergeCell ref="R107:V107"/>
    <mergeCell ref="R109:V109"/>
    <mergeCell ref="R111:V111"/>
    <mergeCell ref="R113:V113"/>
    <mergeCell ref="N105:P105"/>
    <mergeCell ref="N107:P107"/>
    <mergeCell ref="N109:P109"/>
    <mergeCell ref="AD63:AF63"/>
    <mergeCell ref="AH59:AJ59"/>
    <mergeCell ref="AH21:AJ21"/>
    <mergeCell ref="AL21:AN21"/>
    <mergeCell ref="AD89:AF89"/>
    <mergeCell ref="AD91:AF91"/>
    <mergeCell ref="AD93:AF93"/>
    <mergeCell ref="AD95:AF95"/>
    <mergeCell ref="AD97:AF97"/>
    <mergeCell ref="AD99:AF99"/>
    <mergeCell ref="AD77:AF77"/>
    <mergeCell ref="AD79:AF79"/>
    <mergeCell ref="AD81:AF81"/>
    <mergeCell ref="AD83:AF83"/>
    <mergeCell ref="AD85:AF85"/>
    <mergeCell ref="AD87:AF87"/>
    <mergeCell ref="AH47:AJ47"/>
    <mergeCell ref="AL47:AN47"/>
    <mergeCell ref="AH49:AJ49"/>
    <mergeCell ref="AL49:AN49"/>
    <mergeCell ref="AH51:AJ51"/>
    <mergeCell ref="AL51:AN51"/>
    <mergeCell ref="AH71:AJ71"/>
    <mergeCell ref="AL71:AN71"/>
    <mergeCell ref="AH73:AJ73"/>
    <mergeCell ref="AL73:AN73"/>
    <mergeCell ref="AH75:AJ75"/>
    <mergeCell ref="AL75:AN75"/>
    <mergeCell ref="AH63:AJ63"/>
    <mergeCell ref="AL63:AN63"/>
    <mergeCell ref="AH65:AJ65"/>
    <mergeCell ref="AL65:AN65"/>
    <mergeCell ref="AH67:AJ67"/>
    <mergeCell ref="AL67:AN67"/>
    <mergeCell ref="AL111:AN111"/>
    <mergeCell ref="AH69:AJ69"/>
    <mergeCell ref="AL69:AN69"/>
    <mergeCell ref="AH103:AJ103"/>
    <mergeCell ref="AL103:AN103"/>
    <mergeCell ref="AH101:AJ101"/>
    <mergeCell ref="AL101:AN101"/>
    <mergeCell ref="AL59:AN59"/>
    <mergeCell ref="AH61:AJ61"/>
    <mergeCell ref="AL61:AN61"/>
    <mergeCell ref="AH91:AJ91"/>
    <mergeCell ref="AL91:AN91"/>
    <mergeCell ref="AH93:AJ93"/>
    <mergeCell ref="AL93:AN93"/>
    <mergeCell ref="AH83:AJ83"/>
    <mergeCell ref="AL83:AN83"/>
    <mergeCell ref="AH77:AJ77"/>
    <mergeCell ref="AL77:AN77"/>
    <mergeCell ref="AH79:AJ79"/>
    <mergeCell ref="AL79:AN79"/>
    <mergeCell ref="AH81:AJ81"/>
    <mergeCell ref="AL81:AN81"/>
    <mergeCell ref="D130:V130"/>
    <mergeCell ref="R143:T143"/>
    <mergeCell ref="N143:P143"/>
    <mergeCell ref="J143:L143"/>
    <mergeCell ref="R139:T139"/>
    <mergeCell ref="AH85:AJ85"/>
    <mergeCell ref="AL85:AN85"/>
    <mergeCell ref="AH87:AJ87"/>
    <mergeCell ref="AL87:AN87"/>
    <mergeCell ref="AH119:AJ119"/>
    <mergeCell ref="AL119:AN119"/>
    <mergeCell ref="AH117:AJ117"/>
    <mergeCell ref="AL117:AN117"/>
    <mergeCell ref="AH105:AJ105"/>
    <mergeCell ref="AL105:AN105"/>
    <mergeCell ref="AH95:AJ95"/>
    <mergeCell ref="AL95:AN95"/>
    <mergeCell ref="AH97:AJ97"/>
    <mergeCell ref="AL97:AN97"/>
    <mergeCell ref="AH99:AJ99"/>
    <mergeCell ref="AL99:AN99"/>
    <mergeCell ref="AH89:AJ89"/>
    <mergeCell ref="AL89:AN89"/>
    <mergeCell ref="AH113:AJ113"/>
    <mergeCell ref="AL113:AN113"/>
    <mergeCell ref="AH115:AJ115"/>
    <mergeCell ref="AL115:AN115"/>
    <mergeCell ref="AH107:AJ107"/>
    <mergeCell ref="AL107:AN107"/>
    <mergeCell ref="AH109:AJ109"/>
    <mergeCell ref="AL109:AN109"/>
    <mergeCell ref="AH111:AJ111"/>
  </mergeCells>
  <phoneticPr fontId="4"/>
  <conditionalFormatting sqref="N152 J152 J135:L135 N135:P135 R135:T135 V135 J139:L139 N139:P139 R139:T139 V139 V143 R143:T143 N143:P143 J143:L143 J148:L148 N148:P148 R148:T148 V148 P152 R152:T152 V152 J156:L156 N156:P156 R156:T156 V156 J161:L161 N161:P161 R161:T161 J165:L165 N165:P165 R165:T165 J169:L169 N169:P169 R169:T169 J174:L174 J178:L178 J182:L182 J187:L187 J191:L191 J195:L195 J200:L200 J204:L204 J208:L208 J213:L213 J217:L217 J221:L221 J226:L226 J230:L230 J234:L234 J239:L239 J243:L243 J247:L247 J252:L252 J256:L256 J260:L260 J265:L265 J269:L269 J273:L273 J278:L278 J282:L282 J286:L286 J291:L291 J295:L295 J299:L299 J304:L304 J308:L308 J312:L312 J317:L317 J321:L321 J325:L325 J330:L330 J334:L334 J338:L338 J343:L343 J347:L347 J351:L351 J356:L356 J360:L360 J364:L364 J369:L369 J373:L373 J377:L377 J382:L382 J386:L386 J390:L390 J395:L395 J399:L399 J403:L403 J408:L408 J412:L412 J416:L416 J421:L421 J425:L425 J429:L429 J434:L434 J438:L438 J442:L442 J447:L447 J451:L451 J455:L455 J460:L460 J464:L464 J468:L468 J473:L473 J477:L477 J481:L481 J486:L486 J490:L490 J494:L494 J499:L499 J503:L503 J507:L507 J512:L512 J516:L516 J520:L520 J525:L525 J529:L529 J533:L533 J538:L538 J542:L542 J546:L546 J551:L551 J555:L555 J559:L559 J564:L564 J568:L568 J572:L572 J577:L577 J581:L581 J585:L585 J590:L590 J594:L594 J598:L598 J603:L603 J607:L607 J611:L611 J616:L616 J620:L620 J624:L624 J629:L629 J633:L633 J637:L637 J642:L642 J646:L646 J650:L650 J655:L655 J659:L659 J663:L663 J668:L668 J672:L672 J676:L676 J681:L681 J685:L685 J689:L689 J694:L694 J698:L698 J702:L702 J707:L707 J711:L711 J715:L715 J720:L720 J724:L724 J728:L728 J733:L733 J737:L737 J741:L741 J746:L746 J750:L750 J754:L754 J759:L759 J763:L763 J767:L767 J772:L772 J776:L776 J780:L780 N174:P174 N178:P178 N182:P182 N187:P187 N191:P191 N195:P195 N200:P200 N204:P204 N208:P208 N213:P213 N217:P217 N221:P221 N226:P226 N230:P230 N234:P234 N239:P239 N243:P243 N247:P247 N252:P252 N256:P256 N260:P260 N265:P265 N269:P269 N273:P273 N278:P278 N282:P282 N286:P286 N291:P291 N295:P295 N299:P299 N304:P304 N308:P308 N312:P312 N317:P317 N321:P321 N325:P325 N330:P330 N334:P334 N338:P338 N343:P343 N347:P347 N351:P351 N356:P356 N360:P360 N364:P364 N369:P369 N373:P373 N377:P377 N382:P382 N386:P386 N390:P390 N395:P395 N399:P399 N403:P403 N408:P408 N412:P412 N416:P416 N421:P421 N425:P425 N429:P429 N434:P434 N438:P438 N442:P442 N447:P447 N451:P451 N455:P455 N460:P460 N464:P464 N468:P468 N473:P473 N477:P477 N481:P481 N486:P486 N490:P490 N494:P494 N499:P499 N503:P503 N507:P507 N512:P512 N516:P516 N520:P520 N525:P525 N529:P529 N533:P533 N538:P538 N542:P542 N546:P546 N551:P551 N555:P555 N559:P559 N564:P564 N568:P568 N572:P572 N577:P577 N581:P581 N585:P585 N590:P590 N594:P594 N598:P598 N603:P603 N607:P607 N611:P611 N616:P616 N620:P620 N624:P624 N629:P629 N633:P633 N637:P637 N642:P642 N646:P646 N650:P650 N655:P655 N659:P659 N663:P663 N668:P668 N672:P672 N676:P676 N681:P681 N685:P685 N689:P689 N694:P694 N698:P698 N702:P702 N707:P707 N711:P711 N715:P715 N720:P720 N724:P724 N728:P728 N733:P733 N737:P737 N741:P741 N746:P746 N750:P750 N754:P754 N759:P759 N763:P763 N767:P767 N772:P772 N776:P776 N780:P780 R174:T174 R178:T178 R182:T182 R187:T187 R191:T191 R195:T195 R200:T200 R204:T204 R208:T208 R213:T213 R217:T217 R221:T221 R226:T226 R230:T230 R234:T234 R239:T239 R243:T243 R247:T247 R252:T252 R256:T256 R260:T260 R265:T265 R269:T269 R273:T273 R278:T278 R282:T282 R286:T286 R291:T291 R295:T295 R299:T299 R304:T304 R308:T308 R312:T312 R317:T317 R321:T321 R325:T325 R330:T330 R334:T334 R338:T338 R343:T343 R347:T347 R351:T351 R356:T356 R360:T360 R364:T364 R369:T369 R373:T373 R377:T377 R382:T382 R386:T386 R390:T390 R395:T395 R399:T399 R403:T403 R408:T408 R412:T412 R416:T416 R421:T421 R425:T425 R429:T429 R434:T434 R438:T438 R442:T442 R447:T447 R451:T451 R455:T455 R460:T460 R464:T464 R468:T468 R473:T473 R477:T477 R481:T481 R486:T486 R490:T490 R494:T494 R499:T499 R503:T503 R507:T507 R512:T512 R516:T516 R520:T520 R525:T525 R529:T529 R533:T533 R538:T538 R542:T542 R546:T546 R551:T551 R555:T555 R559:T559 R564:T564 R568:T568 R572:T572 R577:T577 R581:T581 R585:T585 R590:T590 R594:T594 R598:T598 R603:T603 R607:T607 R611:T611 R616:T616 R620:T620 R624:T624 R629:T629 R633:T633 R637:T637 R642:T642 R646:T646 R650:T650 R655:T655 R659:T659 R663:T663 R668:T668 R672:T672 R676:T676 R681:T681 R685:T685 R689:T689 R694:T694 R698:T698 R702:T702 R707:T707 R711:T711 R715:T715 R720:T720 R724:T724 R728:T728 R733:T733 R737:T737 R741:T741 R746:T746 R750:T750 R754:T754 R759:T759 R763:T763 R767:T767 R772:T772 R776:T776 R780:T780 V161 V165 V169 V174 V178 V182 V187 V191 V195 V200 V204 V208 V213 V217 V221 V226 V230 V234 V239 V243 V247 V252 V256 V260 V265 V269 V273 V278 V282 V286 V291 V295 V299 V304 V308 V312 V317 V321 V325 V330 V334 V338 V343 V347 V351 V356 V360 V364 V369 V373 V377 V382 V386 V390 V395 V399 V403 V408 V412 V416 V421 V425 V429 V434 V438 V442 V447 V451 V455 V460 V464 V468 V473 V477 V481 V486 V490 V494 V499 V503 V507 V512 V516 V520 V525 V529 V533 V538 V542 V546 V551 V555 V559 V564 V568 V572 V577 V581 V585 V590 V594 V598 V603 V607 V611 V616 V620 V624 V629 V633 V637 V642 V646 V650 V655 V659 V663 V668 V672 V676 V681 V685 V689 V694 V698 V702 V707 V711 V715 V720 V724 V728 V733 V737 V741 V746 V750 V754 V759 V763 V772 V776 V780 V767">
    <cfRule type="expression" dxfId="308" priority="519">
      <formula>$AQ135&lt;&gt;1</formula>
    </cfRule>
  </conditionalFormatting>
  <conditionalFormatting sqref="J137:L137 N137:P137 R137:T137 V137 V141 R141:T141 N141:P141 J141:L141 J145:L145 N145:P145 R145:T145 V145 J150:L150 V150 N150:P150 R150:T150 J154:L154 V154 N154:P154 R154:T154 J158:L158 V158 N158:P158 R158:T158 J163:L163 N163:P163 R163:T163 V163 J167:L167 N167:P167 R167:T167 V167 J171:L171 N171:P171 R171:T171 V171 J176:L176 V176 N176:P176 R176:T176 J180:L180 V180 N180:P180 R180:T180 J184:L184 V184 N184:P184 R184:T184 J189:L189 N189:P189 R189:T189 V189 J193:L193 N193:P193 R193:T193 V193 J197:L197 N197:P197 R197:T197 V197 J202:L202 V202 N202:P202 R202:T202 J206:L206 V206 N206:P206 R206:T206 J210:L210 V210 N210:P210 R210:T210 J215:L215 N215:P215 R215:T215 V215 J219:L219 N219:P219 R219:T219 V219 J223:L223 N223:P223 R223:T223 V223 J228:L228 V228 N228:P228 R228:T228 J232:L232 V232 N232:P232 R232:T232 J236:L236 V236 N236:P236 R236:T236 J241:L241 N241:P241 R241:T241 V241 J245:L245 N245:P245 R245:T245 V245 J249:L249 N249:P249 R249:T249 V249 J254:L254 V254 N254:P254 R254:T254 J258:L258 V258 N258:P258 R258:T258 J262:L262 V262 N262:P262 R262:T262 J267:L267 N267:P267 R267:T267 V267 J271:L271 N271:P271 R271:T271 V271 J275:L275 N275:P275 R275:T275 V275 J280:L280 V280 N280:P280 R280:T280 J284:L284 V284 N284:P284 R284:T284 J288:L288 V288 N288:P288 R288:T288 J293:L293 N293:P293 R293:T293 V293 J297:L297 N297:P297 R297:T297 V297 J301:L301 N301:P301 R301:T301 V301 J306:L306 V306 N306:P306 R306:T306 J310:L310 V310 N310:P310 R310:T310 J314:L314 V314 N314:P314 R314:T314 J319:L319 N319:P319 R319:T319 V319 J323:L323 N323:P323 R323:T323 V323 J327:L327 N327:P327 R327:T327 V327 J332:L332 V332 N332:P332 R332:T332 J336:L336 V336 N336:P336 R336:T336 J340:L340 V340 N340:P340 R340:T340 J345:L345 N345:P345 R345:T345 V345 J349:L349 N349:P349 R349:T349 V349 J353:L353 N353:P353 R353:T353 V353 J358:L358 V358 N358:P358 R358:T358 J362:L362 V362 N362:P362 R362:T362 J366:L366 V366 N366:P366 R366:T366 J371:L371 N371:P371 R371:T371 V371 J375:L375 N375:P375 R375:T375 V375 J379:L379 N379:P379 R379:T379 V379 J384:L384 V384 N384:P384 R384:T384 J388:L388 V388 N388:P388 R388:T388 J392:L392 V392 N392:P392 R392:T392 J397:L397 N397:P397 R397:T397 V397 J401:L401 N401:P401 R401:T401 V401 J405:L405 N405:P405 R405:T405 V405 J410:L410 V410 N410:P410 R410:T410 J414:L414 V414 N414:P414 R414:T414 J418:L418 V418 N418:P418 R418:T418 J423:L423 N423:P423 R423:T423 V423 J427:L427 N427:P427 R427:T427 V427 J431:L431 N431:P431 R431:T431 V431 J436:L436 V436 N436:P436 R436:T436 J440:L440 V440 N440:P440 R440:T440 J444:L444 V444 N444:P444 R444:T444 J449:L449 N449:P449 R449:T449 V449 J453:L453 N453:P453 R453:T453 V453 J457:L457 N457:P457 R457:T457 V457 J462:L462 V462 N462:P462 R462:T462 J466:L466 V466 N466:P466 R466:T466 J470:L470 V470 N470:P470 R470:T470 J475:L475 N475:P475 R475:T475 V475 J479:L479 N479:P479 R479:T479 V479 J483:L483 N483:P483 R483:T483 V483 J488:L488 V488 N488:P488 R488:T488 J492:L492 V492 N492:P492 R492:T492 J496:L496 V496 N496:P496 R496:T496 J501:L501 N501:P501 R501:T501 V501 J505:L505 N505:P505 R505:T505 V505 J509:L509 N509:P509 R509:T509 V509 J514:L514 V514 N514:P514 R514:T514 J518:L518 V518 N518:P518 R518:T518 J522:L522 V522 N522:P522 R522:T522 J527:L527 N527:P527 R527:T527 V527 J531:L531 N531:P531 R531:T531 V531 J535:L535 N535:P535 R535:T535 V535 J540:L540 V540 N540:P540 R540:T540 J544:L544 V544 N544:P544 R544:T544 J548:L548 V548 N548:P548 R548:T548 J553:L553 N553:P553 R553:T553 V553 J557:L557 N557:P557 R557:T557 V557 J561:L561 N561:P561 R561:T561 V561 J566:L566 V566 N566:P566 R566:T566 J570:L570 V570 N570:P570 R570:T570 J574:L574 V574 N574:P574 R574:T574 J579:L579 N579:P579 R579:T579 V579 J583:L583 N583:P583 R583:T583 V583 J587:L587 N587:P587 R587:T587 V587 J592:L592 V592 N592:P592 R592:T592 J596:L596 V596 N596:P596 R596:T596 J600:L600 V600 N600:P600 R600:T600 J605:L605 N605:P605 R605:T605 V605 J609:L609 N609:P609 R609:T609 V609 J613:L613 N613:P613 R613:T613 V613 J618:L618 V618 N618:P618 R618:T618 J622:L622 V622 N622:P622 R622:T622 J626:L626 V626 N626:P626 R626:T626 J631:L631 N631:P631 R631:T631 V631 J635:L635 N635:P635 R635:T635 V635 J639:L639 N639:P639 R639:T639 V639 J644:L644 V644 N644:P644 R644:T644 J648:L648 V648 N648:P648 R648:T648 J652:L652 V652 N652:P652 R652:T652 J657:L657 N657:P657 R657:T657 V657 J661:L661 N661:P661 R661:T661 V661 J665:L665 N665:P665 R665:T665 V665 J670:L670 V670 N670:P670 R670:T670 J674:L674 V674 N674:P674 R674:T674 J678:L678 V678 N678:P678 R678:T678 J683:L683 N683:P683 R683:T683 V683 J687:L687 N687:P687 R687:T687 V687 J691:L691 N691:P691 R691:T691 V691 J696:L696 V696 N696:P696 R696:T696 J700:L700 V700 N700:P700 R700:T700 J704:L704 V704 N704:P704 R704:T704 J709:L709 N709:P709 R709:T709 V709 J713:L713 N713:P713 R713:T713 V713 J717:L717 N717:P717 R717:T717 V717 J722:L722 V722 N722:P722 R722:T722 J726:L726 V726 N726:P726 R726:T726 J730:L730 V730 N730:P730 R730:T730 J735:L735 N735:P735 R735:T735 V735 J739:L739 N739:P739 R739:T739 V739 J743:L743 N743:P743 R743:T743 V743 J748:L748 V748 N748:P748 R748:T748 J752:L752 V752 N752:P752 R752:T752 J756:L756 V756 N756:P756 R756:T756 J761:L761 N761:P761 R761:T761 V761 J765:L765 N765:P765 R765:T765 V765 J769:L769 N769:P769 R769:T769 V769 J774:L774 V774 N774:P774 R774:T774 J778:L778 V778 N778:P778 R778:T778 J782:L782 V782 N782:P782 R782:T782">
    <cfRule type="expression" dxfId="307" priority="518">
      <formula>$AQ135&lt;&gt;2</formula>
    </cfRule>
  </conditionalFormatting>
  <conditionalFormatting sqref="F802 F804 F806 J802 J804 J806 L802 L804 L806 N802 N804 N806 F809:H809 F811:H811 F813:H813 F816:H816 F818:H818 F820:H820 F823:H823 F825:H825 F827:H827 J820 J818 J816 J813 J811 J809 L809 L811 L813 L816 L818 L820 N820 N818 N816 N813 N811 N809 N834 N832 N830 N827 N825 N823 J827 J825 J823 L823 L825 L827">
    <cfRule type="expression" dxfId="306" priority="439">
      <formula>$AQ802=0</formula>
    </cfRule>
  </conditionalFormatting>
  <conditionalFormatting sqref="J802 J804 J806 J809 J811 J813 J816 J818 J820 J823 J825 J827">
    <cfRule type="expression" dxfId="305" priority="440">
      <formula>$AR802=2</formula>
    </cfRule>
  </conditionalFormatting>
  <conditionalFormatting sqref="F830:H830 F832:H832 F834:H834 F837:H837 F839:H839 F841:H841">
    <cfRule type="expression" dxfId="304" priority="300">
      <formula>$AQ830=0</formula>
    </cfRule>
  </conditionalFormatting>
  <conditionalFormatting sqref="F844:H844 F846:H846 F848:H848 F851:H851 F853:H853 F855:H855">
    <cfRule type="expression" dxfId="303" priority="297">
      <formula>$AQ844=0</formula>
    </cfRule>
  </conditionalFormatting>
  <conditionalFormatting sqref="F858:H858 F860:H860 F862:H862 F865:H865 F867:H867 F869:H869">
    <cfRule type="expression" dxfId="302" priority="294">
      <formula>$AQ858=0</formula>
    </cfRule>
  </conditionalFormatting>
  <conditionalFormatting sqref="F872:H872 F874:H874 F876:H876 F879:H879 F881:H881 F883:H883">
    <cfRule type="expression" dxfId="301" priority="291">
      <formula>$AQ872=0</formula>
    </cfRule>
  </conditionalFormatting>
  <conditionalFormatting sqref="F886:H886 F888:H888 F890:H890 F893:H893 F895:H895 F897:H897">
    <cfRule type="expression" dxfId="300" priority="288">
      <formula>$AQ886=0</formula>
    </cfRule>
  </conditionalFormatting>
  <conditionalFormatting sqref="F900:H900 F902:H902 F904:H904 F907:H907 F909:H909 F911:H911">
    <cfRule type="expression" dxfId="299" priority="285">
      <formula>$AQ900=0</formula>
    </cfRule>
  </conditionalFormatting>
  <conditionalFormatting sqref="F914:H914 F916:H916 F918:H918 F921:H921 F923:H923 F925:H925">
    <cfRule type="expression" dxfId="298" priority="282">
      <formula>$AQ914=0</formula>
    </cfRule>
  </conditionalFormatting>
  <conditionalFormatting sqref="F928:H928 F930:H930 F932:H932 F935:H935 F937:H937 F939:H939">
    <cfRule type="expression" dxfId="297" priority="279">
      <formula>$AQ928=0</formula>
    </cfRule>
  </conditionalFormatting>
  <conditionalFormatting sqref="F942:H942 F944:H944 F946:H946 F949:H949 F951:H951 F953:H953">
    <cfRule type="expression" dxfId="296" priority="276">
      <formula>$AQ942=0</formula>
    </cfRule>
  </conditionalFormatting>
  <conditionalFormatting sqref="F956:H956 F958:H958 F960:H960 F963:H963 F965:H965 F967:H967">
    <cfRule type="expression" dxfId="295" priority="273">
      <formula>$AQ956=0</formula>
    </cfRule>
  </conditionalFormatting>
  <conditionalFormatting sqref="F970:H970 F972:H972 F974:H974 F977:H977 F979:H979 F981:H981">
    <cfRule type="expression" dxfId="294" priority="270">
      <formula>$AQ970=0</formula>
    </cfRule>
  </conditionalFormatting>
  <conditionalFormatting sqref="F984:H984 F986:H986 F988:H988 F991:H991 F993:H993 F995:H995">
    <cfRule type="expression" dxfId="293" priority="267">
      <formula>$AQ984=0</formula>
    </cfRule>
  </conditionalFormatting>
  <conditionalFormatting sqref="F998:H998 F1000:H1000 F1002:H1002 F1005:H1005 F1007:H1007 F1009:H1009">
    <cfRule type="expression" dxfId="292" priority="264">
      <formula>$AQ998=0</formula>
    </cfRule>
  </conditionalFormatting>
  <conditionalFormatting sqref="F1012:H1012 F1014:H1014 F1016:H1016 F1019:H1019 F1021:H1021 F1023:H1023">
    <cfRule type="expression" dxfId="291" priority="261">
      <formula>$AQ1012=0</formula>
    </cfRule>
  </conditionalFormatting>
  <conditionalFormatting sqref="F1026:H1026 F1028:H1028 F1030:H1030 F1033:H1033 F1035:H1035 F1037:H1037">
    <cfRule type="expression" dxfId="290" priority="258">
      <formula>$AQ1026=0</formula>
    </cfRule>
  </conditionalFormatting>
  <conditionalFormatting sqref="F1040:H1040 F1042:H1042 F1044:H1044 F1047:H1047 F1049:H1049 F1051:H1051">
    <cfRule type="expression" dxfId="289" priority="255">
      <formula>$AQ1040=0</formula>
    </cfRule>
  </conditionalFormatting>
  <conditionalFormatting sqref="F1054:H1054 F1056:H1056 F1058:H1058 F1061:H1061 F1063:H1063 F1065:H1065">
    <cfRule type="expression" dxfId="288" priority="252">
      <formula>$AQ1054=0</formula>
    </cfRule>
  </conditionalFormatting>
  <conditionalFormatting sqref="F1068:H1068 F1070:H1070 F1072:H1072 F1075:H1075 F1077:H1077 F1079:H1079">
    <cfRule type="expression" dxfId="287" priority="249">
      <formula>$AQ1068=0</formula>
    </cfRule>
  </conditionalFormatting>
  <conditionalFormatting sqref="F1082:H1082 F1084:H1084 F1086:H1086 F1089:H1089 F1091:H1091 F1093:H1093">
    <cfRule type="expression" dxfId="286" priority="246">
      <formula>$AQ1082=0</formula>
    </cfRule>
  </conditionalFormatting>
  <conditionalFormatting sqref="F1096:H1096 F1098:H1098 F1100:H1100 F1103:H1103 F1105:H1105 F1107:H1107">
    <cfRule type="expression" dxfId="285" priority="243">
      <formula>$AQ1096=0</formula>
    </cfRule>
  </conditionalFormatting>
  <conditionalFormatting sqref="F1110:H1110 F1112:H1112 F1114:H1114 F1117:H1117 F1119:H1119 F1121:H1121">
    <cfRule type="expression" dxfId="284" priority="240">
      <formula>$AQ1110=0</formula>
    </cfRule>
  </conditionalFormatting>
  <conditionalFormatting sqref="F1124:H1124 F1126:H1126 F1128:H1128 F1131:H1131 F1133:H1133 F1135:H1135">
    <cfRule type="expression" dxfId="283" priority="237">
      <formula>$AQ1124=0</formula>
    </cfRule>
  </conditionalFormatting>
  <conditionalFormatting sqref="F1138:H1138 F1140:H1140 F1142:H1142 F1145:H1145 F1147:H1147 F1149:H1149 N1149 N1147 N1145">
    <cfRule type="expression" dxfId="282" priority="234">
      <formula>$AQ1138=0</formula>
    </cfRule>
  </conditionalFormatting>
  <conditionalFormatting sqref="AT1:AT129 X124:X129 X156 X138:X139 X142:X143 X146:X148 X151:X152 X159:X161 X164:X165 X168:X169 X172:X174 X177:X178 X181:X182 X185:X187 X190:X191 X194:X195 X198:X200 X203:X204 X207:X208 X211:X213 X216:X217 X220:X221 X224:X226 X229:X230 X233:X234 X237:X239 X242:X243 X246:X247 X250:X252 X255:X256 X259:X260 X263:X265 X268:X269 X272:X273 X276:X278 X281:X282 X285:X286 X289:X291 X294:X295 X298:X299 X302:X304 X307:X308 X311:X312 X315:X317 X320:X321 X324:X325 X328:X330 X333:X334 X337:X338 X341:X343 X346:X347 X350:X351 X354:X356 X359:X360 X363:X364 X367:X369 X372:X373 X376:X377 X380:X382 X385:X386 X389:X390 X393:X395 X398:X399 X402:X403 X406:X408 X411:X412 X415:X416 X419:X421 X424:X425 X428:X429 X432:X434 X437:X438 X441:X442 X445:X447 X450:X451 X454:X455 X458:X460 X463:X464 X467:X468 X471:X473 X476:X477 X480:X481 X484:X486 X489:X490 X493:X494 X497:X499 X502:X503 X506:X507 X510:X512 X515:X516 X519:X520 X523:X525 X528:X529 X532:X533 X536:X538 X541:X542 X545:X546 X549:X551 X554:X555 X558:X559 X562:X564 X567:X568 X571:X572 X575:X577 X580:X581 X584:X585 X588:X590 X593:X594 X597:X598 X601:X603 X606:X607 X610:X611 X614:X616 X619:X620 X623:X624 X627:X629 X632:X633 X636:X637 X640:X642 X645:X646 X649:X650 X653:X655 X658:X659 X662:X663 X666:X668 X671:X672 X675:X676 X679:X681 X684:X685 X688:X689 X692:X694 X697:X698 X701:X702 X705:X707 X710:X711 X714:X715 X718:X720 X723:X724 X727:X728 X731:X733 X736:X737 X740:X741 X744:X746 X749:X750 X753:X754 X757:X759 X762:X763 X766:X767 X770:X772 X775:X776 X779:X780 X783:X1153 X134:X135 AT134:AT1048576">
    <cfRule type="notContainsText" dxfId="281" priority="232" operator="notContains" text="OK">
      <formula>ISERROR(SEARCH("OK",X1))</formula>
    </cfRule>
    <cfRule type="containsText" dxfId="280" priority="233" operator="containsText" text="OK">
      <formula>NOT(ISERROR(SEARCH("OK",X1)))</formula>
    </cfRule>
  </conditionalFormatting>
  <conditionalFormatting sqref="F23:H119">
    <cfRule type="expression" dxfId="279" priority="541">
      <formula>OR(AND($F23="",1&lt;COUNTIF($J23:$AL23,"&lt;&gt;")),AND($F23&lt;&gt;"",$AU23&lt;&gt;"OK"))</formula>
    </cfRule>
  </conditionalFormatting>
  <conditionalFormatting sqref="J23:L119">
    <cfRule type="expression" dxfId="278" priority="231">
      <formula>OR(AND($J23="",1&lt;COUNTIF($N23:$AL23,"&lt;&gt;")),AND($J23&lt;&gt;"",$AV23&lt;&gt;"OK"))</formula>
    </cfRule>
  </conditionalFormatting>
  <conditionalFormatting sqref="N23:P119">
    <cfRule type="expression" dxfId="277" priority="230">
      <formula>AND(1&lt;COUNTIF($R23:$AL23,"&lt;&gt;"),$AX23&lt;&gt;"OK")</formula>
    </cfRule>
  </conditionalFormatting>
  <conditionalFormatting sqref="R23:V119">
    <cfRule type="expression" dxfId="276" priority="229">
      <formula>OR(AND($R23="",1&lt;COUNTIF($X23:$AL23,"&lt;&gt;")),AND($R23&lt;&gt;"",$AX23&lt;&gt;"OK"))</formula>
    </cfRule>
  </conditionalFormatting>
  <conditionalFormatting sqref="X23:X119 Z23:Z119">
    <cfRule type="expression" dxfId="275" priority="228">
      <formula>OR(AND(OR($X23="",$Z23=""),0&lt;COUNTIF($AB23:$AL23,"&lt;&gt;")),AND(OR($X23&lt;&gt;"",$Z23&lt;&gt;""),$AY23&lt;&gt;"OK"))</formula>
    </cfRule>
  </conditionalFormatting>
  <conditionalFormatting sqref="AB23:AB119">
    <cfRule type="expression" dxfId="274" priority="227">
      <formula>OR(AND($AB23="",0&lt;COUNTIF($AD23:$AL23,"&lt;&gt;")),AND($AB23&lt;&gt;"",$AZ23&lt;&gt;"OK"))</formula>
    </cfRule>
  </conditionalFormatting>
  <conditionalFormatting sqref="AD23:AF119">
    <cfRule type="expression" dxfId="273" priority="226">
      <formula>OR(AND($AD23="",0&lt;COUNTIF($AH23:$AL23,"&lt;&gt;")),AND($AD23&lt;&gt;"",$BA23&lt;&gt;"OK"))</formula>
    </cfRule>
  </conditionalFormatting>
  <conditionalFormatting sqref="AH23:AJ119">
    <cfRule type="expression" dxfId="272" priority="224">
      <formula>OR(AND($AH23="",$AL23&lt;&gt;""),AND($AH23&lt;&gt;"",$BB23&lt;&gt;"OK"))</formula>
    </cfRule>
  </conditionalFormatting>
  <conditionalFormatting sqref="N21:P21 N23:P23 N25:P25 N27:P27 N29:P29 N31:P31 N33:P33 N35:P35 N37:P37 N39:P39 N41:P41 N43:P43 N45:P45 N47:P47 N49:P49 N51:P51 N53:P53 N55:P55 N57:P57 N59:P59 N61:P61 N63:P63 N65:P65 N67:P67 N69:P69 N71:P71 N73:P73 N75:P75 N77:P77 N79:P79 N81:P81 N83:P83 N85:P85 N87:P87 N89:P89 N91:P91 N93:P93 N95:P95 N97:P97 N99:P99 N101:P101 N103:P103 N105:P105 N107:P107 N109:P109 N111:P111 N113:P113 N115:P115 N117:P117 N119:P119">
    <cfRule type="expression" dxfId="271" priority="222">
      <formula>$F21="自動車整備士である証明"</formula>
    </cfRule>
  </conditionalFormatting>
  <conditionalFormatting sqref="N848 N846 N844 N841 N839 N837">
    <cfRule type="expression" dxfId="270" priority="218">
      <formula>$AQ837=0</formula>
    </cfRule>
  </conditionalFormatting>
  <conditionalFormatting sqref="N862 N860 N858 N855 N853 N851">
    <cfRule type="expression" dxfId="269" priority="216">
      <formula>$AQ851=0</formula>
    </cfRule>
  </conditionalFormatting>
  <conditionalFormatting sqref="N876 N874 N872 N869 N867 N865">
    <cfRule type="expression" dxfId="268" priority="214">
      <formula>$AQ865=0</formula>
    </cfRule>
  </conditionalFormatting>
  <conditionalFormatting sqref="N890 N888 N886 N883 N881 N879">
    <cfRule type="expression" dxfId="267" priority="212">
      <formula>$AQ879=0</formula>
    </cfRule>
  </conditionalFormatting>
  <conditionalFormatting sqref="N904 N902 N900 N897 N895 N893">
    <cfRule type="expression" dxfId="266" priority="210">
      <formula>$AQ893=0</formula>
    </cfRule>
  </conditionalFormatting>
  <conditionalFormatting sqref="N918 N916 N914 N911 N909 N907">
    <cfRule type="expression" dxfId="265" priority="208">
      <formula>$AQ907=0</formula>
    </cfRule>
  </conditionalFormatting>
  <conditionalFormatting sqref="N932 N930 N928 N925 N923 N921">
    <cfRule type="expression" dxfId="264" priority="206">
      <formula>$AQ921=0</formula>
    </cfRule>
  </conditionalFormatting>
  <conditionalFormatting sqref="N946 N944 N942 N939 N937 N935">
    <cfRule type="expression" dxfId="263" priority="204">
      <formula>$AQ935=0</formula>
    </cfRule>
  </conditionalFormatting>
  <conditionalFormatting sqref="N960 N958 N956 N953 N951 N949">
    <cfRule type="expression" dxfId="262" priority="202">
      <formula>$AQ949=0</formula>
    </cfRule>
  </conditionalFormatting>
  <conditionalFormatting sqref="N974 N972 N970 N967 N965 N963">
    <cfRule type="expression" dxfId="261" priority="200">
      <formula>$AQ963=0</formula>
    </cfRule>
  </conditionalFormatting>
  <conditionalFormatting sqref="N988 N986 N984 N981 N979 N977">
    <cfRule type="expression" dxfId="260" priority="198">
      <formula>$AQ977=0</formula>
    </cfRule>
  </conditionalFormatting>
  <conditionalFormatting sqref="N1002 N1000 N998 N995 N993 N991">
    <cfRule type="expression" dxfId="259" priority="196">
      <formula>$AQ991=0</formula>
    </cfRule>
  </conditionalFormatting>
  <conditionalFormatting sqref="N1016 N1014 N1012 N1009 N1007 N1005">
    <cfRule type="expression" dxfId="258" priority="194">
      <formula>$AQ1005=0</formula>
    </cfRule>
  </conditionalFormatting>
  <conditionalFormatting sqref="N1030 N1028 N1026 N1023 N1021 N1019">
    <cfRule type="expression" dxfId="257" priority="192">
      <formula>$AQ1019=0</formula>
    </cfRule>
  </conditionalFormatting>
  <conditionalFormatting sqref="N1044 N1042 N1040 N1037 N1035 N1033">
    <cfRule type="expression" dxfId="256" priority="190">
      <formula>$AQ1033=0</formula>
    </cfRule>
  </conditionalFormatting>
  <conditionalFormatting sqref="N1058 N1056 N1054 N1051 N1049 N1047">
    <cfRule type="expression" dxfId="255" priority="188">
      <formula>$AQ1047=0</formula>
    </cfRule>
  </conditionalFormatting>
  <conditionalFormatting sqref="N1072 N1070 N1068 N1065 N1063 N1061">
    <cfRule type="expression" dxfId="254" priority="186">
      <formula>$AQ1061=0</formula>
    </cfRule>
  </conditionalFormatting>
  <conditionalFormatting sqref="N1086 N1084 N1082 N1079 N1077 N1075">
    <cfRule type="expression" dxfId="253" priority="184">
      <formula>$AQ1075=0</formula>
    </cfRule>
  </conditionalFormatting>
  <conditionalFormatting sqref="N1100 N1098 N1096 N1093 N1091 N1089">
    <cfRule type="expression" dxfId="252" priority="182">
      <formula>$AQ1089=0</formula>
    </cfRule>
  </conditionalFormatting>
  <conditionalFormatting sqref="N1114 N1112 N1110 N1107 N1105 N1103">
    <cfRule type="expression" dxfId="251" priority="180">
      <formula>$AQ1103=0</formula>
    </cfRule>
  </conditionalFormatting>
  <conditionalFormatting sqref="N1142 N1140 N1138 N1135 N1133 N1131 N1128 N1126 N1124 N1121 N1119 N1117">
    <cfRule type="expression" dxfId="250" priority="176">
      <formula>$AQ1117=0</formula>
    </cfRule>
  </conditionalFormatting>
  <conditionalFormatting sqref="N802 N830 N827 N825 N823 N820 N818 N816 N813 N811 N809 N806 N804 N872 N869 N867 N865 N862 N860 N858 N855 N853 N851 N848 N846 N844 N841 N839 N837 N834 N832 N928 N925 N923 N921 N918 N916 N914 N911 N909 N907 N904 N902 N900 N897 N895 N893 N890 N888 N886 N883 N881 N879 N876 N874 N949 N946 N944 N942 N939 N937 N935 N932 N930 N970 N967 N965 N963 N960 N958 N956 N953 N951 N984 N981 N979 N977 N974 N972 N998 N995 N993 N991 N988 N986 N1068 N1065 N1063 N1061 N1058 N1056 N1047 N1054 N1051 N1049 N1044 N1042 N1040 N1037 N1035 N1033 N1030 N1028 N1026 N1023 N1021 N1019 N1016 N1014 N1012 N1009 N1007 N1005 N1002 N1000 N1149 N1147 N1145 N1142 N1140 N1138 N1135 N1133 N1131 N1128 N1126 N1124 N1121 N1119 N1117 N1114 N1112 N1110 N1107 N1105 N1103 N1100 N1098 N1096 N1093 N1091 N1089 N1086 N1084 N1082 N1079 N1077 N1075 N1072 N1070">
    <cfRule type="expression" dxfId="249" priority="129">
      <formula>OR($AS802="①",$AS802="②")</formula>
    </cfRule>
  </conditionalFormatting>
  <conditionalFormatting sqref="P802:P1145 R802:R1145">
    <cfRule type="expression" dxfId="248" priority="127">
      <formula>$P802&lt;$R802</formula>
    </cfRule>
  </conditionalFormatting>
  <conditionalFormatting sqref="J809 L809 J811 L811 J813 L813">
    <cfRule type="expression" dxfId="247" priority="126">
      <formula>$AR809=0</formula>
    </cfRule>
  </conditionalFormatting>
  <conditionalFormatting sqref="J816 L816 J818 L818 J820 L820">
    <cfRule type="expression" dxfId="246" priority="125">
      <formula>$AR816=0</formula>
    </cfRule>
  </conditionalFormatting>
  <conditionalFormatting sqref="J823 L823 J825 L825 J827 L827">
    <cfRule type="expression" dxfId="245" priority="124">
      <formula>$AR823=0</formula>
    </cfRule>
  </conditionalFormatting>
  <conditionalFormatting sqref="J834 J832 J830 L830 L832 L834 J841 J839 J837 L837 L839 L841">
    <cfRule type="expression" dxfId="244" priority="121">
      <formula>$AQ830=0</formula>
    </cfRule>
  </conditionalFormatting>
  <conditionalFormatting sqref="J830 J832 J834 J837 J839 J841">
    <cfRule type="expression" dxfId="243" priority="122">
      <formula>$AR830=2</formula>
    </cfRule>
  </conditionalFormatting>
  <conditionalFormatting sqref="J830 L830 J832 L832 J834 L834">
    <cfRule type="expression" dxfId="242" priority="120">
      <formula>$AR830=0</formula>
    </cfRule>
  </conditionalFormatting>
  <conditionalFormatting sqref="J837 L837 J839 L839 J841 L841">
    <cfRule type="expression" dxfId="241" priority="119">
      <formula>$AR837=0</formula>
    </cfRule>
  </conditionalFormatting>
  <conditionalFormatting sqref="J848 J846 J844 L844 L846 L848 J855 J853 J851 L851 L853 L855">
    <cfRule type="expression" dxfId="240" priority="116">
      <formula>$AQ844=0</formula>
    </cfRule>
  </conditionalFormatting>
  <conditionalFormatting sqref="J844 J846 J848 J851 J853 J855">
    <cfRule type="expression" dxfId="239" priority="117">
      <formula>$AR844=2</formula>
    </cfRule>
  </conditionalFormatting>
  <conditionalFormatting sqref="J844 L844 J846 L846 J848 L848">
    <cfRule type="expression" dxfId="238" priority="115">
      <formula>$AR844=0</formula>
    </cfRule>
  </conditionalFormatting>
  <conditionalFormatting sqref="J851 L851 J853 L853 J855 L855">
    <cfRule type="expression" dxfId="237" priority="114">
      <formula>$AR851=0</formula>
    </cfRule>
  </conditionalFormatting>
  <conditionalFormatting sqref="J862 J860 J858 L858 L860 L862 J869 J867 J865 L865 L867 L869">
    <cfRule type="expression" dxfId="236" priority="111">
      <formula>$AQ858=0</formula>
    </cfRule>
  </conditionalFormatting>
  <conditionalFormatting sqref="J858 J860 J862 J865 J867 J869">
    <cfRule type="expression" dxfId="235" priority="112">
      <formula>$AR858=2</formula>
    </cfRule>
  </conditionalFormatting>
  <conditionalFormatting sqref="J858 L858 J860 L860 J862 L862">
    <cfRule type="expression" dxfId="234" priority="110">
      <formula>$AR858=0</formula>
    </cfRule>
  </conditionalFormatting>
  <conditionalFormatting sqref="J865 L865 J867 L867 J869 L869">
    <cfRule type="expression" dxfId="233" priority="109">
      <formula>$AR865=0</formula>
    </cfRule>
  </conditionalFormatting>
  <conditionalFormatting sqref="J876 J874 J872 L872 L874 L876 J883 J881 J879 L879 L881 L883">
    <cfRule type="expression" dxfId="232" priority="106">
      <formula>$AQ872=0</formula>
    </cfRule>
  </conditionalFormatting>
  <conditionalFormatting sqref="J872 J874 J876 J879 J881 J883">
    <cfRule type="expression" dxfId="231" priority="107">
      <formula>$AR872=2</formula>
    </cfRule>
  </conditionalFormatting>
  <conditionalFormatting sqref="J872 L872 J874 L874 J876 L876">
    <cfRule type="expression" dxfId="230" priority="105">
      <formula>$AR872=0</formula>
    </cfRule>
  </conditionalFormatting>
  <conditionalFormatting sqref="J879 L879 J881 L881 J883 L883">
    <cfRule type="expression" dxfId="229" priority="104">
      <formula>$AR879=0</formula>
    </cfRule>
  </conditionalFormatting>
  <conditionalFormatting sqref="J890 J888 J886 L886 L888 L890 J897 J895 J893 L893 L895 L897">
    <cfRule type="expression" dxfId="228" priority="101">
      <formula>$AQ886=0</formula>
    </cfRule>
  </conditionalFormatting>
  <conditionalFormatting sqref="J886 J888 J890 J893 J895 J897">
    <cfRule type="expression" dxfId="227" priority="102">
      <formula>$AR886=2</formula>
    </cfRule>
  </conditionalFormatting>
  <conditionalFormatting sqref="J886 L886 J888 L888 J890 L890">
    <cfRule type="expression" dxfId="226" priority="100">
      <formula>$AR886=0</formula>
    </cfRule>
  </conditionalFormatting>
  <conditionalFormatting sqref="J893 L893 J895 L895 J897 L897">
    <cfRule type="expression" dxfId="225" priority="99">
      <formula>$AR893=0</formula>
    </cfRule>
  </conditionalFormatting>
  <conditionalFormatting sqref="J904 J902 J900 L900 L902 L904 J911 J909 J907 L907 L909 L911">
    <cfRule type="expression" dxfId="224" priority="96">
      <formula>$AQ900=0</formula>
    </cfRule>
  </conditionalFormatting>
  <conditionalFormatting sqref="J900 J902 J904 J907 J909 J911">
    <cfRule type="expression" dxfId="223" priority="97">
      <formula>$AR900=2</formula>
    </cfRule>
  </conditionalFormatting>
  <conditionalFormatting sqref="J900 L900 J902 L902 J904 L904">
    <cfRule type="expression" dxfId="222" priority="95">
      <formula>$AR900=0</formula>
    </cfRule>
  </conditionalFormatting>
  <conditionalFormatting sqref="J907 L907 J909 L909 J911 L911">
    <cfRule type="expression" dxfId="221" priority="94">
      <formula>$AR907=0</formula>
    </cfRule>
  </conditionalFormatting>
  <conditionalFormatting sqref="J918 J916 J914 L914 L916 L918 J925 J923 J921 L921 L923 L925">
    <cfRule type="expression" dxfId="220" priority="91">
      <formula>$AQ914=0</formula>
    </cfRule>
  </conditionalFormatting>
  <conditionalFormatting sqref="J914 J916 J918 J921 J923 J925">
    <cfRule type="expression" dxfId="219" priority="92">
      <formula>$AR914=2</formula>
    </cfRule>
  </conditionalFormatting>
  <conditionalFormatting sqref="J914 L914 J916 L916 J918 L918">
    <cfRule type="expression" dxfId="218" priority="90">
      <formula>$AR914=0</formula>
    </cfRule>
  </conditionalFormatting>
  <conditionalFormatting sqref="J921 L921 J923 L923 J925 L925">
    <cfRule type="expression" dxfId="217" priority="89">
      <formula>$AR921=0</formula>
    </cfRule>
  </conditionalFormatting>
  <conditionalFormatting sqref="J932 J930 J928 L928 L930 L932 J939 J937 J935 L935 L937 L939">
    <cfRule type="expression" dxfId="216" priority="86">
      <formula>$AQ928=0</formula>
    </cfRule>
  </conditionalFormatting>
  <conditionalFormatting sqref="J928 J930 J932 J935 J937 J939">
    <cfRule type="expression" dxfId="215" priority="87">
      <formula>$AR928=2</formula>
    </cfRule>
  </conditionalFormatting>
  <conditionalFormatting sqref="J928 L928 J930 L930 J932 L932">
    <cfRule type="expression" dxfId="214" priority="85">
      <formula>$AR928=0</formula>
    </cfRule>
  </conditionalFormatting>
  <conditionalFormatting sqref="J935 L935 J937 L937 J939 L939">
    <cfRule type="expression" dxfId="213" priority="84">
      <formula>$AR935=0</formula>
    </cfRule>
  </conditionalFormatting>
  <conditionalFormatting sqref="J946 J944 J942 L942 L944 L946 J953 J951 J949 L949 L951 L953">
    <cfRule type="expression" dxfId="212" priority="81">
      <formula>$AQ942=0</formula>
    </cfRule>
  </conditionalFormatting>
  <conditionalFormatting sqref="J942 J944 J946 J949 J951 J953">
    <cfRule type="expression" dxfId="211" priority="82">
      <formula>$AR942=2</formula>
    </cfRule>
  </conditionalFormatting>
  <conditionalFormatting sqref="J942 L942 J944 L944 J946 L946">
    <cfRule type="expression" dxfId="210" priority="80">
      <formula>$AR942=0</formula>
    </cfRule>
  </conditionalFormatting>
  <conditionalFormatting sqref="J949 L949 J951 L951 J953 L953">
    <cfRule type="expression" dxfId="209" priority="79">
      <formula>$AR949=0</formula>
    </cfRule>
  </conditionalFormatting>
  <conditionalFormatting sqref="J960 J958 J956 L956 L958 L960 J967 J965 J963 L963 L965 L967">
    <cfRule type="expression" dxfId="208" priority="76">
      <formula>$AQ956=0</formula>
    </cfRule>
  </conditionalFormatting>
  <conditionalFormatting sqref="J956 J958 J960 J963 J965 J967">
    <cfRule type="expression" dxfId="207" priority="77">
      <formula>$AR956=2</formula>
    </cfRule>
  </conditionalFormatting>
  <conditionalFormatting sqref="J956 L956 J958 L958 J960 L960">
    <cfRule type="expression" dxfId="206" priority="75">
      <formula>$AR956=0</formula>
    </cfRule>
  </conditionalFormatting>
  <conditionalFormatting sqref="J963 L963 J965 L965 J967 L967">
    <cfRule type="expression" dxfId="205" priority="74">
      <formula>$AR963=0</formula>
    </cfRule>
  </conditionalFormatting>
  <conditionalFormatting sqref="J974 J972 J970 L970 L972 L974 J981 J979 J977 L977 L979 L981">
    <cfRule type="expression" dxfId="204" priority="71">
      <formula>$AQ970=0</formula>
    </cfRule>
  </conditionalFormatting>
  <conditionalFormatting sqref="J970 J972 J974 J977 J979 J981">
    <cfRule type="expression" dxfId="203" priority="72">
      <formula>$AR970=2</formula>
    </cfRule>
  </conditionalFormatting>
  <conditionalFormatting sqref="J970 L970 J972 L972 J974 L974">
    <cfRule type="expression" dxfId="202" priority="70">
      <formula>$AR970=0</formula>
    </cfRule>
  </conditionalFormatting>
  <conditionalFormatting sqref="J977 L977 J979 L979 J981 L981">
    <cfRule type="expression" dxfId="201" priority="69">
      <formula>$AR977=0</formula>
    </cfRule>
  </conditionalFormatting>
  <conditionalFormatting sqref="J988 J986 J984 L984 L986 L988 J995 J993 J991 L991 L993 L995">
    <cfRule type="expression" dxfId="200" priority="66">
      <formula>$AQ984=0</formula>
    </cfRule>
  </conditionalFormatting>
  <conditionalFormatting sqref="J984 J986 J988 J991 J993 J995">
    <cfRule type="expression" dxfId="199" priority="67">
      <formula>$AR984=2</formula>
    </cfRule>
  </conditionalFormatting>
  <conditionalFormatting sqref="J984 L984 J986 L986 J988 L988">
    <cfRule type="expression" dxfId="198" priority="65">
      <formula>$AR984=0</formula>
    </cfRule>
  </conditionalFormatting>
  <conditionalFormatting sqref="J991 L991 J993 L993 J995 L995">
    <cfRule type="expression" dxfId="197" priority="64">
      <formula>$AR991=0</formula>
    </cfRule>
  </conditionalFormatting>
  <conditionalFormatting sqref="J1002 J1000 J998 L998 L1000 L1002 J1009 J1007 J1005 L1005 L1007 L1009">
    <cfRule type="expression" dxfId="196" priority="61">
      <formula>$AQ998=0</formula>
    </cfRule>
  </conditionalFormatting>
  <conditionalFormatting sqref="J998 J1000 J1002 J1005 J1007 J1009">
    <cfRule type="expression" dxfId="195" priority="62">
      <formula>$AR998=2</formula>
    </cfRule>
  </conditionalFormatting>
  <conditionalFormatting sqref="J998 L998 J1000 L1000 J1002 L1002">
    <cfRule type="expression" dxfId="194" priority="60">
      <formula>$AR998=0</formula>
    </cfRule>
  </conditionalFormatting>
  <conditionalFormatting sqref="J1005 L1005 J1007 L1007 J1009 L1009">
    <cfRule type="expression" dxfId="193" priority="59">
      <formula>$AR1005=0</formula>
    </cfRule>
  </conditionalFormatting>
  <conditionalFormatting sqref="J1016 J1014 J1012 L1012 L1014 L1016 J1023 J1021 J1019 L1019 L1021 L1023">
    <cfRule type="expression" dxfId="192" priority="56">
      <formula>$AQ1012=0</formula>
    </cfRule>
  </conditionalFormatting>
  <conditionalFormatting sqref="J1012 J1014 J1016 J1019 J1021 J1023">
    <cfRule type="expression" dxfId="191" priority="57">
      <formula>$AR1012=2</formula>
    </cfRule>
  </conditionalFormatting>
  <conditionalFormatting sqref="J1012 L1012 J1014 L1014 J1016 L1016">
    <cfRule type="expression" dxfId="190" priority="55">
      <formula>$AR1012=0</formula>
    </cfRule>
  </conditionalFormatting>
  <conditionalFormatting sqref="J1019 L1019 J1021 L1021 J1023 L1023">
    <cfRule type="expression" dxfId="189" priority="54">
      <formula>$AR1019=0</formula>
    </cfRule>
  </conditionalFormatting>
  <conditionalFormatting sqref="J1030 J1028 J1026 L1026 L1028 L1030 J1037 J1035 J1033 L1033 L1035 L1037">
    <cfRule type="expression" dxfId="188" priority="51">
      <formula>$AQ1026=0</formula>
    </cfRule>
  </conditionalFormatting>
  <conditionalFormatting sqref="J1026 J1028 J1030 J1033 J1035 J1037">
    <cfRule type="expression" dxfId="187" priority="52">
      <formula>$AR1026=2</formula>
    </cfRule>
  </conditionalFormatting>
  <conditionalFormatting sqref="J1026 L1026 J1028 L1028 J1030 L1030">
    <cfRule type="expression" dxfId="186" priority="50">
      <formula>$AR1026=0</formula>
    </cfRule>
  </conditionalFormatting>
  <conditionalFormatting sqref="J1033 L1033 J1035 L1035 J1037 L1037">
    <cfRule type="expression" dxfId="185" priority="49">
      <formula>$AR1033=0</formula>
    </cfRule>
  </conditionalFormatting>
  <conditionalFormatting sqref="J1044 J1042 J1040 L1040 L1042 L1044 J1051 J1049 J1047 L1047 L1049 L1051">
    <cfRule type="expression" dxfId="184" priority="46">
      <formula>$AQ1040=0</formula>
    </cfRule>
  </conditionalFormatting>
  <conditionalFormatting sqref="J1040 J1042 J1044 J1047 J1049 J1051">
    <cfRule type="expression" dxfId="183" priority="47">
      <formula>$AR1040=2</formula>
    </cfRule>
  </conditionalFormatting>
  <conditionalFormatting sqref="J1040 L1040 J1042 L1042 J1044 L1044">
    <cfRule type="expression" dxfId="182" priority="45">
      <formula>$AR1040=0</formula>
    </cfRule>
  </conditionalFormatting>
  <conditionalFormatting sqref="J1047 L1047 J1049 L1049 J1051 L1051">
    <cfRule type="expression" dxfId="181" priority="44">
      <formula>$AR1047=0</formula>
    </cfRule>
  </conditionalFormatting>
  <conditionalFormatting sqref="J1058 J1056 J1054 L1054 L1056 L1058 J1065 J1063 J1061 L1061 L1063 L1065">
    <cfRule type="expression" dxfId="180" priority="41">
      <formula>$AQ1054=0</formula>
    </cfRule>
  </conditionalFormatting>
  <conditionalFormatting sqref="J1054 J1056 J1058 J1061 J1063 J1065">
    <cfRule type="expression" dxfId="179" priority="42">
      <formula>$AR1054=2</formula>
    </cfRule>
  </conditionalFormatting>
  <conditionalFormatting sqref="J1054 L1054 J1056 L1056 J1058 L1058">
    <cfRule type="expression" dxfId="178" priority="40">
      <formula>$AR1054=0</formula>
    </cfRule>
  </conditionalFormatting>
  <conditionalFormatting sqref="J1061 L1061 J1063 L1063 J1065 L1065">
    <cfRule type="expression" dxfId="177" priority="39">
      <formula>$AR1061=0</formula>
    </cfRule>
  </conditionalFormatting>
  <conditionalFormatting sqref="J1072 J1070 J1068 L1068 L1070 L1072 J1079 J1077 J1075 L1075 L1077 L1079">
    <cfRule type="expression" dxfId="176" priority="36">
      <formula>$AQ1068=0</formula>
    </cfRule>
  </conditionalFormatting>
  <conditionalFormatting sqref="J1068 J1070 J1072 J1075 J1077 J1079">
    <cfRule type="expression" dxfId="175" priority="37">
      <formula>$AR1068=2</formula>
    </cfRule>
  </conditionalFormatting>
  <conditionalFormatting sqref="J1068 L1068 J1070 L1070 J1072 L1072">
    <cfRule type="expression" dxfId="174" priority="35">
      <formula>$AR1068=0</formula>
    </cfRule>
  </conditionalFormatting>
  <conditionalFormatting sqref="J1075 L1075 J1077 L1077 J1079 L1079">
    <cfRule type="expression" dxfId="173" priority="34">
      <formula>$AR1075=0</formula>
    </cfRule>
  </conditionalFormatting>
  <conditionalFormatting sqref="J1086 J1084 J1082 L1082 L1084 L1086 J1093 J1091 J1089 L1089 L1091 L1093">
    <cfRule type="expression" dxfId="172" priority="31">
      <formula>$AQ1082=0</formula>
    </cfRule>
  </conditionalFormatting>
  <conditionalFormatting sqref="J1082 J1084 J1086 J1089 J1091 J1093">
    <cfRule type="expression" dxfId="171" priority="32">
      <formula>$AR1082=2</formula>
    </cfRule>
  </conditionalFormatting>
  <conditionalFormatting sqref="J1082 L1082 J1084 L1084 J1086 L1086">
    <cfRule type="expression" dxfId="170" priority="30">
      <formula>$AR1082=0</formula>
    </cfRule>
  </conditionalFormatting>
  <conditionalFormatting sqref="J1089 L1089 J1091 L1091 J1093 L1093">
    <cfRule type="expression" dxfId="169" priority="29">
      <formula>$AR1089=0</formula>
    </cfRule>
  </conditionalFormatting>
  <conditionalFormatting sqref="J1100 J1098 J1096 L1096 L1098 L1100 J1107 J1105 J1103 L1103 L1105 L1107">
    <cfRule type="expression" dxfId="168" priority="26">
      <formula>$AQ1096=0</formula>
    </cfRule>
  </conditionalFormatting>
  <conditionalFormatting sqref="J1096 J1098 J1100 J1103 J1105 J1107">
    <cfRule type="expression" dxfId="167" priority="27">
      <formula>$AR1096=2</formula>
    </cfRule>
  </conditionalFormatting>
  <conditionalFormatting sqref="J1096 L1096 J1098 L1098 J1100 L1100">
    <cfRule type="expression" dxfId="166" priority="25">
      <formula>$AR1096=0</formula>
    </cfRule>
  </conditionalFormatting>
  <conditionalFormatting sqref="J1103 L1103 J1105 L1105 J1107 L1107">
    <cfRule type="expression" dxfId="165" priority="24">
      <formula>$AR1103=0</formula>
    </cfRule>
  </conditionalFormatting>
  <conditionalFormatting sqref="J1114 J1112 J1110 L1110 L1112 L1114 J1121 J1119 J1117 L1117 L1119 L1121">
    <cfRule type="expression" dxfId="164" priority="21">
      <formula>$AQ1110=0</formula>
    </cfRule>
  </conditionalFormatting>
  <conditionalFormatting sqref="J1110 J1112 J1114 J1117 J1119 J1121">
    <cfRule type="expression" dxfId="163" priority="22">
      <formula>$AR1110=2</formula>
    </cfRule>
  </conditionalFormatting>
  <conditionalFormatting sqref="J1110 L1110 J1112 L1112 J1114 L1114">
    <cfRule type="expression" dxfId="162" priority="20">
      <formula>$AR1110=0</formula>
    </cfRule>
  </conditionalFormatting>
  <conditionalFormatting sqref="J1117 L1117 J1119 L1119 J1121 L1121">
    <cfRule type="expression" dxfId="161" priority="19">
      <formula>$AR1117=0</formula>
    </cfRule>
  </conditionalFormatting>
  <conditionalFormatting sqref="J1128 J1126 J1124 L1124 L1126 L1128 J1135 J1133 J1131 L1131 L1133 L1135">
    <cfRule type="expression" dxfId="160" priority="16">
      <formula>$AQ1124=0</formula>
    </cfRule>
  </conditionalFormatting>
  <conditionalFormatting sqref="J1124 J1126 J1128 J1131 J1133 J1135">
    <cfRule type="expression" dxfId="159" priority="17">
      <formula>$AR1124=2</formula>
    </cfRule>
  </conditionalFormatting>
  <conditionalFormatting sqref="J1124 L1124 J1126 L1126 J1128 L1128">
    <cfRule type="expression" dxfId="158" priority="15">
      <formula>$AR1124=0</formula>
    </cfRule>
  </conditionalFormatting>
  <conditionalFormatting sqref="J1131 L1131 J1133 L1133 J1135 L1135">
    <cfRule type="expression" dxfId="157" priority="14">
      <formula>$AR1131=0</formula>
    </cfRule>
  </conditionalFormatting>
  <conditionalFormatting sqref="J1142 J1140 J1138 L1138 L1140 L1142 J1149 J1147 J1145 L1145 L1147 L1149">
    <cfRule type="expression" dxfId="156" priority="11">
      <formula>$AQ1138=0</formula>
    </cfRule>
  </conditionalFormatting>
  <conditionalFormatting sqref="J1138 J1140 J1142 J1145 J1147 J1149">
    <cfRule type="expression" dxfId="155" priority="12">
      <formula>$AR1138=2</formula>
    </cfRule>
  </conditionalFormatting>
  <conditionalFormatting sqref="J1138 L1138 J1140 L1140 J1142 L1142">
    <cfRule type="expression" dxfId="154" priority="10">
      <formula>$AR1138=0</formula>
    </cfRule>
  </conditionalFormatting>
  <conditionalFormatting sqref="J1145 L1145 J1147 L1147 J1149 L1149">
    <cfRule type="expression" dxfId="153" priority="7">
      <formula>$AR1145=0</formula>
    </cfRule>
  </conditionalFormatting>
  <conditionalFormatting sqref="R802 V802 R809 V809 R816 V816 R823 V823 R830 V830 R837 V837 L802 L809 L816 L823 L830 L837 L844 L851 L858 L865 R844 V844 V851 R851 R858 V858 R865 V865 V872 R872 L872 L879 R879 V879 V886 R886 L886 L893 R893 V893 V900 R900 L900 L907 R907 V907 V914 R914 L914 L921 R921 V921 V928 R928 L928 L935 R935 V935 V942 R942 L942 L949 R949 V949 V956 R956 L956 L963 R963 V963 V970 R970 L970 L977 R977 V977 V984 R984 L984 L991 R991 V991 V998 R998 L998 L1005 R1005 V1005 V1012 R1012 L1012 L1019 R1019 V1019 V1026 R1026 L1026 L1033 R1033 V1033 V1040 R1040 L1040 L1047 R1047 V1047 V1054 R1054 L1054 L1061 R1061 V1061 V1068 R1068 L1068 L1075 R1075 V1075 V1082 R1082 L1082 L1089 R1089 V1089 V1096 R1096 L1096 L1103 R1103 V1103 V1110 R1110 L1110 L1117 R1117 V1117 V1124 R1124 L1124 L1131 R1131 V1131 V1138 R1138 L1138 L1145 R1145 V1145">
    <cfRule type="expression" dxfId="152" priority="442">
      <formula>AND($E802="１台目",$L802&lt;&gt;"",$L802&lt;&gt;0,$R802&lt;3000)</formula>
    </cfRule>
  </conditionalFormatting>
  <conditionalFormatting sqref="H174">
    <cfRule type="expression" dxfId="151" priority="516">
      <formula>$AQ174=1</formula>
    </cfRule>
  </conditionalFormatting>
  <conditionalFormatting sqref="H200">
    <cfRule type="expression" dxfId="150" priority="369">
      <formula>$AQ200=1</formula>
    </cfRule>
  </conditionalFormatting>
  <conditionalFormatting sqref="H226">
    <cfRule type="expression" dxfId="149" priority="366">
      <formula>$AQ226=1</formula>
    </cfRule>
  </conditionalFormatting>
  <conditionalFormatting sqref="H252">
    <cfRule type="expression" dxfId="148" priority="363">
      <formula>$AQ252=1</formula>
    </cfRule>
  </conditionalFormatting>
  <conditionalFormatting sqref="H278">
    <cfRule type="expression" dxfId="147" priority="360">
      <formula>$AQ278=1</formula>
    </cfRule>
  </conditionalFormatting>
  <conditionalFormatting sqref="H304">
    <cfRule type="expression" dxfId="146" priority="357">
      <formula>$AQ304=1</formula>
    </cfRule>
  </conditionalFormatting>
  <conditionalFormatting sqref="H330">
    <cfRule type="expression" dxfId="145" priority="354">
      <formula>$AQ330=1</formula>
    </cfRule>
  </conditionalFormatting>
  <conditionalFormatting sqref="H356">
    <cfRule type="expression" dxfId="144" priority="351">
      <formula>$AQ356=1</formula>
    </cfRule>
  </conditionalFormatting>
  <conditionalFormatting sqref="H382">
    <cfRule type="expression" dxfId="143" priority="348">
      <formula>$AQ382=1</formula>
    </cfRule>
  </conditionalFormatting>
  <conditionalFormatting sqref="H408">
    <cfRule type="expression" dxfId="142" priority="345">
      <formula>$AQ408=1</formula>
    </cfRule>
  </conditionalFormatting>
  <conditionalFormatting sqref="H434">
    <cfRule type="expression" dxfId="141" priority="342">
      <formula>$AQ434=1</formula>
    </cfRule>
  </conditionalFormatting>
  <conditionalFormatting sqref="H460">
    <cfRule type="expression" dxfId="140" priority="339">
      <formula>$AQ460=1</formula>
    </cfRule>
  </conditionalFormatting>
  <conditionalFormatting sqref="H486">
    <cfRule type="expression" dxfId="139" priority="336">
      <formula>$AQ486=1</formula>
    </cfRule>
  </conditionalFormatting>
  <conditionalFormatting sqref="H512">
    <cfRule type="expression" dxfId="138" priority="333">
      <formula>$AQ512=1</formula>
    </cfRule>
  </conditionalFormatting>
  <conditionalFormatting sqref="H538">
    <cfRule type="expression" dxfId="137" priority="330">
      <formula>$AQ538=1</formula>
    </cfRule>
  </conditionalFormatting>
  <conditionalFormatting sqref="H564">
    <cfRule type="expression" dxfId="136" priority="327">
      <formula>$AQ564=1</formula>
    </cfRule>
  </conditionalFormatting>
  <conditionalFormatting sqref="H590">
    <cfRule type="expression" dxfId="135" priority="324">
      <formula>$AQ590=1</formula>
    </cfRule>
  </conditionalFormatting>
  <conditionalFormatting sqref="H616">
    <cfRule type="expression" dxfId="134" priority="321">
      <formula>$AQ616=1</formula>
    </cfRule>
  </conditionalFormatting>
  <conditionalFormatting sqref="H642">
    <cfRule type="expression" dxfId="133" priority="318">
      <formula>$AQ642=1</formula>
    </cfRule>
  </conditionalFormatting>
  <conditionalFormatting sqref="H668">
    <cfRule type="expression" dxfId="132" priority="315">
      <formula>$AQ668=1</formula>
    </cfRule>
  </conditionalFormatting>
  <conditionalFormatting sqref="H694">
    <cfRule type="expression" dxfId="131" priority="312">
      <formula>$AQ694=1</formula>
    </cfRule>
  </conditionalFormatting>
  <conditionalFormatting sqref="H720">
    <cfRule type="expression" dxfId="130" priority="309">
      <formula>$AQ720=1</formula>
    </cfRule>
  </conditionalFormatting>
  <conditionalFormatting sqref="H746">
    <cfRule type="expression" dxfId="129" priority="306">
      <formula>$AQ746=1</formula>
    </cfRule>
  </conditionalFormatting>
  <conditionalFormatting sqref="H772">
    <cfRule type="expression" dxfId="128" priority="303">
      <formula>$AQ772=1</formula>
    </cfRule>
  </conditionalFormatting>
  <conditionalFormatting sqref="H733">
    <cfRule type="expression" dxfId="127" priority="8">
      <formula>$AQ733=1</formula>
    </cfRule>
  </conditionalFormatting>
  <conditionalFormatting sqref="AA130:AA132">
    <cfRule type="notContainsText" dxfId="126" priority="5" operator="notContains" text="OK">
      <formula>ISERROR(SEARCH("OK",AA130))</formula>
    </cfRule>
    <cfRule type="containsText" dxfId="125" priority="6" operator="containsText" text="OK">
      <formula>NOT(ISERROR(SEARCH("OK",AA130)))</formula>
    </cfRule>
  </conditionalFormatting>
  <conditionalFormatting sqref="AA133">
    <cfRule type="notContainsText" dxfId="124" priority="3" operator="notContains" text="OK">
      <formula>ISERROR(SEARCH("OK",AA133))</formula>
    </cfRule>
    <cfRule type="containsText" dxfId="123" priority="4" operator="containsText" text="OK">
      <formula>NOT(ISERROR(SEARCH("OK",AA133)))</formula>
    </cfRule>
  </conditionalFormatting>
  <conditionalFormatting sqref="H135 H139 H143">
    <cfRule type="containsText" dxfId="122" priority="2" operator="containsText" text="あり">
      <formula>NOT(ISERROR(SEARCH("あり",H135)))</formula>
    </cfRule>
  </conditionalFormatting>
  <conditionalFormatting sqref="H780 H776 H772 H767 H763 H759 H754 H750 H746 H741 H737 H733 H728 H724 H720 H715 H711 H707 H702 H698 H694 H689 H685 H681 H676 H672 H668 H663 H659 H655 H650 H646 H642 H637 H633 H629 H624 H620 H616 H611 H607 H603 H598 H594 H590 H585 H581 H577 H572 H568 H564 H559 H555 H551 H546 H542 H538 H533 H529 H525 H520 H516 H512 H507 H503 H499 H494 H490 H486 H481 H477 H473 H468 H464 H460 H455 H451 H447 H442 H438 H434 H429 H425 H421 H416 H412 H408 H403 H399 H395 H390 H386 H382 H377 H373 H369 H364 H360 H356 H351 H347 H343 H338 H334 H330 H325 H321 H317 H312 H308 H304 H299 H295 H291 H286 H282 H278 H273 H269 H265 H260 H256 H252 H247 H243 H239 H234 H230 H226 H221 H217 H213 H208 H204 H200 H195 H191 H187 H182 H178 H174 H169 H165 H161 H156 H152 H148">
    <cfRule type="expression" dxfId="121" priority="1">
      <formula>$J148&lt;&gt;""</formula>
    </cfRule>
  </conditionalFormatting>
  <dataValidations count="5">
    <dataValidation type="whole" imeMode="disabled" operator="greaterThanOrEqual" allowBlank="1" showInputMessage="1" showErrorMessage="1" error="1,000円未満の金額が入力されています。_x000a_補助対象経費が3,000円未満の場合、補助金の額は計算されません。_x000a_※補助金の額は補助対象経費÷1/3以内(1,000円未満切り捨て、1事業場当たり15万円まで)" sqref="L986 L979 L1070 J1096 J1082 L988 J986 J979 L1063 J809 L809 L981 J1070 L811 J811 J813 L813 J998 J816 L816 J991 J1063 L818 J818 J820 L820 L1138 J1124 L1124 L991 J1110 L1126 J1126 J1128 L1128 J1131 L998 L1082 L1096 L1098 L1084 L1000 J1098 J1084 L993 L1140 J1086 J1100 L1100 L1086 J1000 J1138 J981 J988 L1110 J1103 J993 J1065 L1103 L1112 J1112 L1105 J1072 J1114 J1105 J995 J1002 J1107 L1114 J1117 L1107 L1002 L1131 L995 L1133 L1117 L1072 L1119 J1012 J1005 L1065 J1133 J1140 L1005 L1012 L1014 J1119 L1007 J1089 J1014 J830 J823 J1007 J1075 L823 L830 L832 L825 J1142 J832 J825 J1009 J1016 J827 J834 L834 L827 L1016 J844 J837 L1009 L1142 L837 L844 L846 L839 J1026 J846 J839 J1019 L1075 J841 J848 L848 L841 L1089 J858 J851 L1019 L1026 L851 L858 L860 L853 L1028 J860 J853 L1021 L1091 J855 J862 L862 L855 J1028 J872 J865 J1021 L1077 L865 L872 L874 L867 J1145 J874 J867 J1023 J1030 J869 J876 L876 L869 L1030 J886 J879 L1023 J1091 L879 L886 L888 L881 J1040 J888 J881 J1033 J1077 J883 J890 L890 L883 L1145 J900 J893 L1033 L1040 L893 L900 L902 L895 L1042 J902 J895 L1035 L1147 J897 J904 L904 L897 J1042 J914 J907 J1035 J1079 L907 L914 L916 L909 J1093 J916 J909 J1037 J1044 J911 J918 L918 L911 L1044 J928 J921 L1037 L1093 L921 L928 L930 L923 J1054 J930 J923 J1047 L1079 J925 J932 L932 L925 J1147 J942 J935 L1047 L1054 L935 L942 L944 L937 L1056 J944 J937 L1049 J1135 J939 J946 L946 L939 J1056 J956 J949 J1049 J1121 L949 L956 L958 L951 J1149 J958 J951 J1051 J1058 J953 J960 L960 L953 L1058 J970 J963 L1051 L1149 L963 L970 L972 L965 J1068 J972 J965 J1061 L1121 J967 J974 L974 L967 L1135 J984 J977 L1061 L1068 L977 L984" xr:uid="{DBEFC8AE-D4A9-41A2-B29C-360E507D4419}">
      <formula1>1000</formula1>
    </dataValidation>
    <dataValidation imeMode="disabled" allowBlank="1" showInputMessage="1" showErrorMessage="1" sqref="U802:V802 P807 P1096 R1096:S1096 L1146 S1096:S1100 J1069 P802 R802:S802 S802:S806 O802:O807 Q803:Q806 J789:O789 U809:V809 Q1097:Q1100 P814 L814 J810 L812 J812 L810 L1071 U1103:V1103 P809 R809:S809 F814:J814 K809:K814 S809:S813 O809:O814 Q810:Q813 M809:M814 U816:V816 M1082:M1087 P821 L821 J817 L819 J819 L817 P1108 L1134 P816 R816:S816 F821:J821 K816:K821 S816:S820 O816:O821 Q817:Q820 M816:M821 U823:V823 L1118 P828 L828 L1129 J1125 L1127 K823:K828 M1145:M1150 X21:X22 P823 R823:S823 F828:J828 J1127 S823:S827 O823:O828 Q824:Q827 M823:M828 P1129 L1094 L1087 L1101 J1083 F1115:J1115 L1085 J1071 P1124 R1124:S1124 J1064 J1097 S1124:S1128 O1124:O1129 Q1125:Q1128 L1099 U1131:V1131 M1110:M1115 P1136 K1089:K1094 L1122 J1099 J1085 L1097 L1083 S789 F807:N807 Q789 O1096:O1101 J787:O787 S787 Q787 P835 S1138:S1142 O1138:O1143 Q1139:Q1142 L1062 U1145:V1145 K1096:K1101 P1150 P830 R830:S830 L1115 S830:S834 J1104 O830:O835 Q831:Q834 F1129:J1129 U837:V837 K1117:K1122 P842 J1134 P1103 J1111 P1145 R1145:S1145 L1113 M1124:M1129 P837 R837:S837 S1145:S1149 O1145:O1150 S837:S841 O837:O842 Q838:Q841 Q1146:Q1149 P849 R1103:S1103 M1138:M1143 L1125 F1094:J1094 F835:J835 S1103:S1107 Y21:Y119 P844 R844:S844 Z21:Z22 S844:S848 J1113 O844:O849 Q845:Q848 O1103:O1108 U851:V851 M830:M835 P856 Q1104:Q1107 L842 L1069 P1115 K837:K842 N1150 K1068:K1073 P851 R851:S851 K1082:K1087 F842:J842 S851:S855 O851:O856 Q852:Q855 F1150:J1150 P863 J1076 K1124:K1129 L835 J824 F849:J849 L826 F1101:J1101 P858 R858:S858 L1078 S858:S862 J831 O858:O863 Q859:Q862 L833 U865:V865 M844:M849 P870 L1150 L856 J833 J826 K851:K856 L824 P1110 P865 R865:S865 R1110:S1110 F856:J856 S865:S869 O865:O870 Q866:Q869 L831 P877 L1132 K830:K835 L849 J838 F863:J863 L840 S1110:S1114 P872 R872:S872 J1090 S872:S876 J845 O872:O877 Q873:Q876 L847 U879:V879 M858:M863 P884 O1110:O1115 L870 J847 J840 K865:K870 L838 Q1111:Q1114 P879 R879:S879 L1092 F870:J870 S879:S883 O879:O884 Q880:Q883 L845 P891 U1117:V1117 K844:K849 L863 J852 F877:J877 L854 M1096:M1101 P886 R886:S886 P1122 S886:S890 J859 O886:O891 Q887:Q890 L861 U893:V893 M872:M877 P898 K1145:K1150 L884 J861 J854 K879:K884 L852 L1108 P893 R893:S893 J1092 F884:J884 S893:S897 O893:O898 Q894:Q897 L859 P905 J1078 K858:K863 L877 J866 F891:J891 L868 K1103:K1108 P900 R900:S900 L1076 S900:S904 J873 O900:O905 Q901:Q904 L875 U907:V907 M886:M891 P912 L1143 L898 J875 J868 K893:K898 L866 P1117 P907 R907:S907 R1117:S1117 F898:J898 S907:S911 O907:O912 Q908:Q911 L873 P919 J1139 K872:K877 L891 J880 F905:J905 L882 F1108:J1108 P914 R914:S914 S1117:S1121 S914:S918 J887 O914:O919 Q915:Q918 L889 U921:V921 M900:M905 P926 O1117:O1122 L912 J889 J882 K907:K912 L880 Q1118:Q1121 P921 R921:S921 L1090 F912:J912 S921:S925 O921:O926 Q922:Q925 L887 P933 L1141 K886:K891 L905 J894 F919:J919 L896 P1131 P928 R928:S928 R1131:S1131 S928:S932 J901 O928:O933 Q929:Q932 L903 U935:V935 M914:M919 P940 J1141 L926 J903 J896 K921:K926 L894 F1122:J1122 P935 R935:S935 S1131:S1135 F926:J926 S935:S939 O935:O940 Q936:Q939 L901 P947 O1131:O1136 K900:K905 L919 J908 F933:J933 L910 Q1132:Q1135 P942 R942:S942 L1106 S942:S946 J915 O942:O947 Q943:Q946 L917 U949:V949 M928:M933 P954 U830:V830 L940 J917 J910 K935:K940 L908 L1139 P949 R949:S949 U844:V844 F940:J940 S949:S953 O949:O954 Q950:Q953 L915 P961 M837:M842 K914:K919 L933 J922 F947:J947 L924 U858:V858 P956 R956:S956 M851:M856 S956:S960 J929 O956:O961 Q957:Q960 L931 U963:V963 M942:M947 P968 U872:V872 L954 J931 J924 K949:K954 L922 M865:M870 P963 R963:S963 U886:V886 F954:J954 S963:S967 O963:O968 Q964:Q967 L929 P975 M879:M884 K928:K933 L947 J936 F961:J961 L938 U900:V900 P970 R970:S970 M893:M898 S970:S974 J943 O970:O975 Q971:Q974 L945 U977:V977 M956:M961 P982 U914:V914 L968 J945 J938 K963:K968 L936 M907:M912 P977 R977:S977 U928:V928 F968:J968 S977:S981 O977:O982 Q978:Q981 L943 P989 M921:M926 K942:K947 L961 J950 F975:J975 L952 U942:V942 P984 R984:S984 M935:M940 S984:S988 J957 O984:O989 Q985:Q988 L959 U991:V991 M970:M975 P996 U956:V956 L982 J959 J952 K977:K982 L950 M949:M954 P991 R991:S991 U970:V970 F982:J982 S991:S995 O991:O996 Q992:Q995 L957 P1003 M963:M968 K956:K961 L975 J964 F989:J989 L966 U984:V984 P998 R998:S998 M977:M982 S998:S1002 J971 O998:O1003 Q999:Q1002 L973 U1005:V1005 M984:M989 P1010 U998:V998 L996 J973 J966 K991:K996 L964 M991:M996 P1005 R1005:S1005 U1012:V1012 F996:J996 S1005:S1009 O1005:O1010 Q1006:Q1009 L971 P1017 M1005:M1010 K970:K975 L989 J978 F1003:J1003 L980 U1026:V1026 P1012 R1012:S1012 M1019:M1024 S1012:S1016 J985 O1012:O1017 Q1013:Q1016 L987 U1019:V1019 M998:M1003 P1024 U1040:V1040 L1010 J987 J980 K1005:K1010 L978 M1033:M1038 P1019 R1019:S1019 U1054:V1054 F1010:J1010 S1019:S1023 O1019:O1024 Q1020:Q1023 L985 P1031 M1047:M1052 K984:K989 L1003 J992 F1017:J1017 L994 U1068:V1068 P1026 R1026:S1026 M1061:M1066 S1026:S1030 J999 O1026:O1031 Q1027:Q1030 L1001 U1033:V1033 M1012:M1017 P1038 U1082:V1082 L1024 J1001 J994 K1019:K1024 L992 M1075:M1080 P1033 R1033:S1033 U1096:V1096 F1024:J1024 S1033:S1037 O1033:O1038 Q1034:Q1037 L999 P1045 M1089:M1094 K998:K1003 L1017 J1006 F1031:J1031 L1008 U1110:V1110 P1040 R1040:S1040 M1103:M1108 S1040:S1044 J1013 O1040:O1045 Q1041:Q1044 L1015 U1047:V1047 M1026:M1031 P1052 U1124:V1124 L1038 J1015 J1008 K1033:K1038 L1006 M1117:M1122 P1047 R1047:S1047 U1138:V1138 F1038:J1038 S1047:S1051 O1047:O1052 Q1048:Q1051 L1013 P1059 L1136 K1012:K1017 L1031 J1020 F1045:J1045 L1022 P1143 P1054 R1054:S1054 L1111 S1054:S1058 J1027 O1054:O1059 Q1055:Q1058 L1029 U1061:V1061 M1040:M1045 P1066 J1106 L1052 J1029 J1022 K1047:K1052 L1020 K1131:K1136 P1061 R1061:S1061 L1104 F1052:J1052 S1061:S1065 O1061:O1066 Q1062:Q1065 L1027 P1073 K1138:K1143 K1026:K1031 L1045 J1034 F1059:J1059 L1036 J1146 P1068 R1068:S1068 F1136:J1136 S1068:S1072 J1041 O1068:O1073 Q1069:Q1072 L1043 U1075:V1075 M1054:M1059 P1080 P1138 L1066 J1043 J1036 K1061:K1066 L1034 R1138:S1138 P1075 R1075:S1075 K1110:K1115 F1066:J1066 S1075:S1079 O1075:O1080 Q1076:Q1079 L1041 P1087 M1131:M1136 K1040:K1045 L1059 J1048 F1073:J1073 L1050 L1148 P1082 R1082:S1082 J1118 S1082:S1086 J1055 O1082:O1087 Q1083:Q1086 L1057 U1089:V1089 M1068:M1073 P1094 J1132 L1080 J1057 J1050 K1075:K1080 L1048 L1120 P1089 R1089:S1089 F1143:J1143 F1080:J1080 S1089:S1093 O1089:O1094 Q1090:Q1093 L1055 P1101 J1120 K1054:K1059 L1073 J1062 F1087:J1087 L1064 J1148" xr:uid="{171BCDF0-AB23-46C1-8552-3B786722C4A9}"/>
    <dataValidation type="custom" imeMode="disabled" operator="equal" allowBlank="1" showInputMessage="1" showErrorMessage="1" errorTitle="郵便番号" error="3桁の数字を入力してください。" sqref="X23:X119" xr:uid="{14C48CEA-EA38-4D4F-B092-F10366DC1CAA}">
      <formula1>AND(0&lt;VALUE(X23),LEN(X23)=3)</formula1>
    </dataValidation>
    <dataValidation type="custom" imeMode="disabled" operator="equal" allowBlank="1" showInputMessage="1" showErrorMessage="1" errorTitle="郵便番号" error="4桁の数字を入力してください。" sqref="Z23:Z119" xr:uid="{E84E7BD8-80B8-4443-AE19-387E8ACB3E90}">
      <formula1>AND(0&lt;=VALUE(Z23),LEN(Z23)=4)</formula1>
    </dataValidation>
    <dataValidation type="whole" operator="greaterThan" allowBlank="1" showInputMessage="1" showErrorMessage="1" prompt="補助対象機器一覧の形態番号が③の機器のみ入力可能です。" sqref="N809:N1149" xr:uid="{40592505-D60B-41E1-A15E-823DB6FDB498}">
      <formula1>1</formula1>
    </dataValidation>
  </dataValidations>
  <hyperlinks>
    <hyperlink ref="D7" location="'入力シート（2事業場以降）'!E21" display="５-１事業場の情報を入力する▼（ジャンプします）" xr:uid="{64DB1A78-40AD-4738-A85E-96FCA03263D8}"/>
    <hyperlink ref="D9" location="'入力シート（2事業場以降）'!E139" display="５-２補助対象機器の情報を入力▼（ジャンプします）" xr:uid="{90860FF1-7A37-4C36-A0BD-7124DA705C78}"/>
    <hyperlink ref="D11:L11" location="'入力シート（2事業場以降）'!F809" display="５-３機器の金額を入力する▼（ジャンプします）" xr:uid="{07ABFD37-1122-4850-AA10-CAB393DDA013}"/>
    <hyperlink ref="AL121:AN121" location="'入力シート（2事業場以降）'!D7" display="上へ戻る▲（ジャンプします）" xr:uid="{E989AABC-ECFF-43E3-AC73-8B6FBBCAC0C4}"/>
    <hyperlink ref="D9:L9" location="'入力シート（2事業場以降）'!F148" display="５-２補助対象機器の情報を入力する▼（ジャンプします）" xr:uid="{C41A9A04-46FB-4A09-8156-EE6B5886BAA4}"/>
    <hyperlink ref="T1151:V1151" location="'入力シート（2事業場以降）'!D7" display="上へ戻る▲（ジャンプします）" xr:uid="{EC734CE4-F6A8-4982-AE69-16C8599286AA}"/>
    <hyperlink ref="T784:V784" location="'入力シート（2事業場以降）'!D7" display="上へ戻る▲（ジャンプします）" xr:uid="{62152956-38D1-4827-855F-253CFC7CF393}"/>
    <hyperlink ref="D7:L7" location="'入力シート（2事業場以降）'!F23" display="５-１事業場の情報を入力する▼（ジャンプします）" xr:uid="{3B3FA40D-463D-4F23-8482-A2FB074615DD}"/>
  </hyperlink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23" id="{46948129-D728-48BB-B8DC-053603CCF65A}">
            <xm:f>入力シート!$F$85&lt;$B23</xm:f>
            <x14:dxf>
              <font>
                <color theme="1" tint="0.499984740745262"/>
              </font>
              <fill>
                <patternFill>
                  <bgColor theme="1" tint="0.499984740745262"/>
                </patternFill>
              </fill>
            </x14:dxf>
          </x14:cfRule>
          <xm:sqref>F23:H23 J25 J23 N23:P23 R29:V29 R27:V27 R25:V25 R23:V23 X23 AB31 AB29 AB27 AB25 AB23 X25 X27 X29 X31 X33 X35 X37 X39 X41 X43 X45 X47 X49 X51 X53 X55 X57 X59 X61 X63 X65 X67 X69 X71 X73 X75 X77 X79 X81 X83 X85 X87 X89 X91 X93 X95 X97 X99 X101 X103 X105 X107 X109 X111 X113 X115 X117 X119 Z119 Z117 Z115 Z113 Z111 Z109 Z107 Z105 Z103 Z101 Z99 Z97 Z95 Z93 Z91 Z89 Z87 Z85 Z83 Z81 Z79 Z77 Z75 Z73 Z71 Z69 Z67 Z65 Z63 Z61 Z59 Z57 Z55 Z53 Z51 Z49 Z47 Z45 Z43 Z41 Z39 Z37 Z35 Z33 Z31 Z29 Z27 Z25 Z23 J27 J29 J31 J33 J35 J37 J39 J41 J43 J45 J47 J49 J51 J53 J55 J57 J59 J61 J63 J65 J67 J69 J71 J73 J75 J77 J79 J81 J83 J85 J87 J89 J91 J93 J95 J97 J99 J101 J103 J105 J107 J109 J111 J113 J115 J117 J119 F148 J148:L148 N148:P148 R148:T148 V148 V150 J150:L150 H152 F152 H156 F156 H161 F161 F165 H165 H169 F169 F174 H178 F178 H182 F182 H187 F187 F191 H191 H195 F195 F200 H204 F204 H208 F208 H213 F213 F217 H217 H221 F221 F226 H230 F230 H234 F234 H239 F239 F243 H243 H247 F247 F252 H256 F256 H260 F260 H265 F265 F269 H269 H273 F273 F278 H282 F282 H286 F286 H291 F291 F295 H295 H299 F299 F304 H308 F308 H312 F312 H317 F317 F321 H321 H325 F325 F330 H334 F334 H338 F338 H343 F343 F347 H347 H351 F351 F356 H360 F360 H364 F364 H369 F369 F373 H373 H377 F377 F382 H386 F386 H390 F390 H395 F395 F399 H399 H403 F403 F408 H412 F412 H416 F416 H421 F421 F425 H425 H429 F429 F434 H438 F438 H442 F442 H447 F447 F451 H451 H455 F455 F460 H464 F464 H468 F468 H473 F473 F477 H477 H481 F481 F486 H490 F490 H494 F494 H499 F499 F503 H503 H507 F507 F512 H516 F516 H520 F520 H525 F525 F529 H529 H533 F533 F538 H542 F542 H546 F546 H551 F551 F555 H555 H559 F559 F564 H568 F568 H572 F572 H577 F577 F581 H581 H585 F585 F590 H594 F594 H598 F598 H603 F603 F607 H607 H611 F611 F616 H620 F620 H624 F624 H629 F629 F633 H633 H637 F637 F642 H646 F646 H650 F650 H655 F655 F659 H659 H663 F663 F668 H672 F672 H676 F676 H681 F681 F685 H685 H689 F689 F694 H698 F698 H702 F702 H707 F707 F711 H711 H715 F715 F720 H724 F724 H728 F728 F746 H750 F750 H754 F754 H759 F759 F763 H763 H767 F767 F772 H776 F776 H780 F780 F25:H25 F27:H27 F29:H29 F31:H31 F33:H33 F35:H35 F37:H37 F39:H39 F41:H41 F43:H43 F45:H45 F47:H47 F49:H49 F51:H51 F53:H53 F55:H55 F57:H57 F59:H59 F61:H61 F63:H63 F65:H65 F67:H67 F69:H69 F71:H71 F73:H73 F75:H75 F77:H77 F79:H79 F81:H81 F83:H83 F85:H85 F87:H87 F89:H89 F91:H91 F93:H93 F95:H95 F97:H97 F99:H99 F101:H101 F103:H103 F105:H105 F107:H107 F109:H109 F111:H111 F113:H113 F115:H115 F117:H117 F119:H119 R31:V31 R33:V33 R35:V35 R37:V37 R39:V39 R41:V41 R43:V43 R45:V45 R47:V47 R49:V49 R51:V51 R53:V53 R55:V55 R57:V57 R59:V59 R61:V61 R63:V63 R65:V65 R67:V67 R69:V69 R71:V71 R73:V73 R75:V75 R77:V77 R79:V79 R81:V81 R83:V83 R85:V85 R87:V87 R89:V89 R91:V91 R93:V93 R95:V95 R97:V97 R99:V99 R101:V101 R103:V103 R105:V105 R107:V107 R109:V109 R111:V111 R113:V113 R115:V115 R117:V117 R119:V119 N25:P25 N27:P27 N29:P29 N31:P31 N33:P33 N35:P35 N37:P37 N39:P39 N41:P41 N43:P43 N45:P45 N47:P47 N49:P49 N51:P51 N53:P53 N55:P55 N57:P57 N59:P59 N61:P61 N63:P63 N65:P65 N67:P67 N69:P69 N71:P71 N73:P73 N75:P75 N77:P77 N79:P79 N81:P81 N83:P83 N85:P85 N87:P87 N89:P89 N91:P91 N93:P93 N95:P95 N97:P97 N99:P99 N101:P101 N103:P103 N105:P105 N107:P107 N109:P109 N111:P111 N113:P113 N115:P115 N117:P117 N119:P119 AB41 AB39 AB37 AB35 AB33 AB51 AB49 AB47 AB45 AB43 AB61 AB59 AB57 AB55 AB53 AB71 AB69 AB67 AB65 AB63 AB81 AB79 AB77 AB75 AB73 AB91 AB89 AB87 AB85 AB83 AB101 AB99 AB97 AB95 AB93 AB111 AB109 AB107 AB105 AB103 AB119 AB117 AB115 AB113 AD23:AF23 AH23:AJ23 AL23:AN23 AD25:AF25 AH25:AJ25 AL25:AN25 AD27:AF27 AH27:AJ27 AL27:AN27 AD29:AF29 AH29:AJ29 AL29:AN29 AD31:AF31 AH31:AJ31 AL31:AN31 AD33:AF33 AH33:AJ33 AL33:AN33 AD35:AF35 AH35:AJ35 AL35:AN35 AD37:AF37 AH37:AJ37 AL37:AN37 AD39:AF39 AH39:AJ39 AL39:AN39 AD41:AF41 AH41:AJ41 AL41:AN41 AD43:AF43 AH43:AJ43 AL43:AN43 AD45:AF45 AH45:AJ45 AL45:AN45 AD47:AF47 AH47:AJ47 AL47:AN47 AD49:AF49 AH49:AJ49 AL49:AN49 AD51:AF51 AH51:AJ51 AL51:AN51 AD53:AF53 AH53:AJ53 AL53:AN53 AD55:AF55 AH55:AJ55 AL55:AN55 AD57:AF57 AH57:AJ57 AL57:AN57 AD59:AF59 AH59:AJ59 AL59:AN59 AD61:AF61 AH61:AJ61 AL61:AN61 AD63:AF63 AH63:AJ63 AL63:AN63 AD65:AF65 AH65:AJ65 AL65:AN65 AD67:AF67 AH67:AJ67 AL67:AN67 AD69:AF69 AH69:AJ69 AL69:AN69 AD71:AF71 AH71:AJ71 AL71:AN71 AD73:AF73 AH73:AJ73 AL73:AN73 AD75:AF75 AH75:AJ75 AL75:AN75 AD77:AF77 AH77:AJ77 AL77:AN77 AD79:AF79 AH79:AJ79 AL79:AN79 AD81:AF81 AH81:AJ81 AL81:AN81 AD83:AF83 AH83:AJ83 AL83:AN83 AD85:AF85 AH85:AJ85 AL85:AN85 AD87:AF87 AH87:AJ87 AL87:AN87 AD89:AF89 AH89:AJ89 AL89:AN89 AD91:AF91 AH91:AJ91 AL91:AN91 AD93:AF93 AH93:AJ93 AL93:AN93 AD95:AF95 AH95:AJ95 AL95:AN95 AD97:AF97 AH97:AJ97 AL97:AN97 AD99:AF99 AH99:AJ99 AL99:AN99 AD101:AF101 AH101:AJ101 AL101:AN101 AD103:AF103 AH103:AJ103 AL103:AN103 AD105:AF105 AH105:AJ105 AL105:AN105 AD107:AF107 AH107:AJ107 AL107:AN107 AD109:AF109 AH109:AJ109 AL109:AN109 AD111:AF111 AH111:AJ111 AL111:AN111 AD113:AF113 AH113:AJ113 AL113:AN113 AD115:AF115 AH115:AJ115 AL115:AN115 AD117:AF117 AH117:AJ117 AL117:AN117 AD119:AF119 AH119:AJ119 AL119:AN119 N150:P150 R150:T150 V154 J154:L154 N154:P154 R154:T154 V158 J158:L158 N158:P158 R158:T158 J163:L163 N163:P163 R163:T163 V163 J167:L167 N167:P167 R167:T167 V167 J171:L171 N171:P171 R171:T171 V171 V176 J176:L176 N176:P176 R176:T176 V180 J180:L180 N180:P180 R180:T180 V184 J184:L184 N184:P184 R184:T184 J189:L189 N189:P189 R189:T189 V189 J193:L193 N193:P193 R193:T193 V193 J197:L197 N197:P197 R197:T197 V197 V202 J202:L202 N202:P202 R202:T202 V206 J206:L206 N206:P206 R206:T206 V210 J210:L210 N210:P210 R210:T210 J215:L215 N215:P215 R215:T215 V215 J219:L219 N219:P219 R219:T219 V219 J223:L223 N223:P223 R223:T223 V223 V228 J228:L228 N228:P228 R228:T228 V232 J232:L232 N232:P232 R232:T232 V236 J236:L236 N236:P236 R236:T236 J241:L241 N241:P241 R241:T241 V241 J245:L245</xm:sqref>
        </x14:conditionalFormatting>
        <x14:conditionalFormatting xmlns:xm="http://schemas.microsoft.com/office/excel/2006/main">
          <x14:cfRule type="expression" priority="525" id="{F7F03190-7516-41A3-899F-D0E6A433BCEB}">
            <xm:f>入力シート!$F$85&lt;$B148</xm:f>
            <x14:dxf>
              <fill>
                <patternFill>
                  <bgColor theme="1" tint="0.499984740745262"/>
                </patternFill>
              </fill>
            </x14:dxf>
          </x14:cfRule>
          <xm:sqref>H148</xm:sqref>
        </x14:conditionalFormatting>
        <x14:conditionalFormatting xmlns:xm="http://schemas.microsoft.com/office/excel/2006/main">
          <x14:cfRule type="expression" priority="517" id="{6E0713E1-F12C-43D1-BEC8-04917607574A}">
            <xm:f>入力シート!$F$85&lt;$B174</xm:f>
            <x14:dxf>
              <fill>
                <patternFill>
                  <bgColor theme="1" tint="0.499984740745262"/>
                </patternFill>
              </fill>
            </x14:dxf>
          </x14:cfRule>
          <xm:sqref>H174</xm:sqref>
        </x14:conditionalFormatting>
        <x14:conditionalFormatting xmlns:xm="http://schemas.microsoft.com/office/excel/2006/main">
          <x14:cfRule type="expression" priority="441" id="{72749888-FE30-4392-A931-3A7B78D081AD}">
            <xm:f>入力シート!$F$85&lt;$B809</xm:f>
            <x14:dxf>
              <fill>
                <patternFill>
                  <bgColor theme="1" tint="0.499984740745262"/>
                </patternFill>
              </fill>
            </x14:dxf>
          </x14:cfRule>
          <xm:sqref>F809:H809 J809 L809 N809 P809 R809 V809 N811 L811 J811 F811:H811 F813:H813 J813 L813 N813 F816:H816 F818:H818 F820:H820 J820 J818 J816 L816 L818 L820 N820 N818 N816 P816 R816 V816 F823:H823 F825:H825 F827:H827 P823 R823 V823 N823 N825 N827 N834 N832 N830 J823 L823 L825 J825 J827 L827</xm:sqref>
        </x14:conditionalFormatting>
        <x14:conditionalFormatting xmlns:xm="http://schemas.microsoft.com/office/excel/2006/main">
          <x14:cfRule type="expression" priority="436" id="{1F09CFCF-5313-4B59-AB25-50C185AC3CA4}">
            <xm:f>入力シート!$F$85&lt;$B830</xm:f>
            <x14:dxf>
              <fill>
                <patternFill>
                  <bgColor theme="1" tint="0.499984740745262"/>
                </patternFill>
              </fill>
            </x14:dxf>
          </x14:cfRule>
          <xm:sqref>P830 R830 V830 P837 R837 V837</xm:sqref>
        </x14:conditionalFormatting>
        <x14:conditionalFormatting xmlns:xm="http://schemas.microsoft.com/office/excel/2006/main">
          <x14:cfRule type="expression" priority="433" id="{75067BF8-21F0-4DB3-934C-98893455990C}">
            <xm:f>入力シート!$F$85&lt;$B844</xm:f>
            <x14:dxf>
              <fill>
                <patternFill>
                  <bgColor theme="1" tint="0.499984740745262"/>
                </patternFill>
              </fill>
            </x14:dxf>
          </x14:cfRule>
          <xm:sqref>P844 R844 V844 P851 R851 V851</xm:sqref>
        </x14:conditionalFormatting>
        <x14:conditionalFormatting xmlns:xm="http://schemas.microsoft.com/office/excel/2006/main">
          <x14:cfRule type="expression" priority="430" id="{153D388B-8B98-4F93-A6B2-A2CB5F0F0A9D}">
            <xm:f>入力シート!$F$85&lt;$B858</xm:f>
            <x14:dxf>
              <fill>
                <patternFill>
                  <bgColor theme="1" tint="0.499984740745262"/>
                </patternFill>
              </fill>
            </x14:dxf>
          </x14:cfRule>
          <xm:sqref>P858 R858 V858 P865 R865 V865</xm:sqref>
        </x14:conditionalFormatting>
        <x14:conditionalFormatting xmlns:xm="http://schemas.microsoft.com/office/excel/2006/main">
          <x14:cfRule type="expression" priority="427" id="{46C9DE8F-0298-4B04-918D-B8F91C13F7CF}">
            <xm:f>入力シート!$F$85&lt;$B872</xm:f>
            <x14:dxf>
              <fill>
                <patternFill>
                  <bgColor theme="1" tint="0.499984740745262"/>
                </patternFill>
              </fill>
            </x14:dxf>
          </x14:cfRule>
          <xm:sqref>P872 R872 V872 P879 R879 V879</xm:sqref>
        </x14:conditionalFormatting>
        <x14:conditionalFormatting xmlns:xm="http://schemas.microsoft.com/office/excel/2006/main">
          <x14:cfRule type="expression" priority="424" id="{B981CDDC-5D11-4B68-A6CE-1F25FD143C49}">
            <xm:f>入力シート!$F$85&lt;$B886</xm:f>
            <x14:dxf>
              <fill>
                <patternFill>
                  <bgColor theme="1" tint="0.499984740745262"/>
                </patternFill>
              </fill>
            </x14:dxf>
          </x14:cfRule>
          <xm:sqref>P886 R886 V886 P893 R893 V893</xm:sqref>
        </x14:conditionalFormatting>
        <x14:conditionalFormatting xmlns:xm="http://schemas.microsoft.com/office/excel/2006/main">
          <x14:cfRule type="expression" priority="421" id="{E710E0A3-D5A1-4128-94A3-C33B3A1A18D7}">
            <xm:f>入力シート!$F$85&lt;$B900</xm:f>
            <x14:dxf>
              <fill>
                <patternFill>
                  <bgColor theme="1" tint="0.499984740745262"/>
                </patternFill>
              </fill>
            </x14:dxf>
          </x14:cfRule>
          <xm:sqref>P900 R900 V900 P907 R907 V907</xm:sqref>
        </x14:conditionalFormatting>
        <x14:conditionalFormatting xmlns:xm="http://schemas.microsoft.com/office/excel/2006/main">
          <x14:cfRule type="expression" priority="418" id="{3762DB3E-012F-48B6-9F47-7C9C5364B2CF}">
            <xm:f>入力シート!$F$85&lt;$B914</xm:f>
            <x14:dxf>
              <fill>
                <patternFill>
                  <bgColor theme="1" tint="0.499984740745262"/>
                </patternFill>
              </fill>
            </x14:dxf>
          </x14:cfRule>
          <xm:sqref>P914 R914 V914 P921 R921 V921</xm:sqref>
        </x14:conditionalFormatting>
        <x14:conditionalFormatting xmlns:xm="http://schemas.microsoft.com/office/excel/2006/main">
          <x14:cfRule type="expression" priority="415" id="{2A0B2B48-9DB4-4F6E-968C-EFB29AE7F190}">
            <xm:f>入力シート!$F$85&lt;$B928</xm:f>
            <x14:dxf>
              <fill>
                <patternFill>
                  <bgColor theme="1" tint="0.499984740745262"/>
                </patternFill>
              </fill>
            </x14:dxf>
          </x14:cfRule>
          <xm:sqref>P928 R928 V928 P935 R935 V935</xm:sqref>
        </x14:conditionalFormatting>
        <x14:conditionalFormatting xmlns:xm="http://schemas.microsoft.com/office/excel/2006/main">
          <x14:cfRule type="expression" priority="412" id="{3E5AFF5E-F552-44C5-8F04-A947E9DE71D4}">
            <xm:f>入力シート!$F$85&lt;$B942</xm:f>
            <x14:dxf>
              <fill>
                <patternFill>
                  <bgColor theme="1" tint="0.499984740745262"/>
                </patternFill>
              </fill>
            </x14:dxf>
          </x14:cfRule>
          <xm:sqref>P942 R942 V942 P949 R949 V949</xm:sqref>
        </x14:conditionalFormatting>
        <x14:conditionalFormatting xmlns:xm="http://schemas.microsoft.com/office/excel/2006/main">
          <x14:cfRule type="expression" priority="409" id="{8C5E9B74-8BFB-4FDE-BC95-848C521F5B46}">
            <xm:f>入力シート!$F$85&lt;$B956</xm:f>
            <x14:dxf>
              <fill>
                <patternFill>
                  <bgColor theme="1" tint="0.499984740745262"/>
                </patternFill>
              </fill>
            </x14:dxf>
          </x14:cfRule>
          <xm:sqref>P956 R956 V956 P963 R963 V963</xm:sqref>
        </x14:conditionalFormatting>
        <x14:conditionalFormatting xmlns:xm="http://schemas.microsoft.com/office/excel/2006/main">
          <x14:cfRule type="expression" priority="406" id="{20AAF0F8-5437-4C3F-8EFE-774A8C3790E0}">
            <xm:f>入力シート!$F$85&lt;$B970</xm:f>
            <x14:dxf>
              <fill>
                <patternFill>
                  <bgColor theme="1" tint="0.499984740745262"/>
                </patternFill>
              </fill>
            </x14:dxf>
          </x14:cfRule>
          <xm:sqref>P970 R970 V970 P977 R977 V977</xm:sqref>
        </x14:conditionalFormatting>
        <x14:conditionalFormatting xmlns:xm="http://schemas.microsoft.com/office/excel/2006/main">
          <x14:cfRule type="expression" priority="403" id="{053B74E7-88A3-4852-9D6F-707C21ECA4D9}">
            <xm:f>入力シート!$F$85&lt;$B984</xm:f>
            <x14:dxf>
              <fill>
                <patternFill>
                  <bgColor theme="1" tint="0.499984740745262"/>
                </patternFill>
              </fill>
            </x14:dxf>
          </x14:cfRule>
          <xm:sqref>P984 R984 V984 P991 R991 V991</xm:sqref>
        </x14:conditionalFormatting>
        <x14:conditionalFormatting xmlns:xm="http://schemas.microsoft.com/office/excel/2006/main">
          <x14:cfRule type="expression" priority="400" id="{8006F9F8-F9E0-48C5-8E99-5E022DD7BF3A}">
            <xm:f>入力シート!$F$85&lt;$B998</xm:f>
            <x14:dxf>
              <fill>
                <patternFill>
                  <bgColor theme="1" tint="0.499984740745262"/>
                </patternFill>
              </fill>
            </x14:dxf>
          </x14:cfRule>
          <xm:sqref>P998 R998 V998 P1005 R1005 V1005</xm:sqref>
        </x14:conditionalFormatting>
        <x14:conditionalFormatting xmlns:xm="http://schemas.microsoft.com/office/excel/2006/main">
          <x14:cfRule type="expression" priority="397" id="{6E3000C1-C665-459A-A3A8-06637BB4EEE2}">
            <xm:f>入力シート!$F$85&lt;$B1012</xm:f>
            <x14:dxf>
              <fill>
                <patternFill>
                  <bgColor theme="1" tint="0.499984740745262"/>
                </patternFill>
              </fill>
            </x14:dxf>
          </x14:cfRule>
          <xm:sqref>P1012 R1012 V1012 P1019 R1019 V1019</xm:sqref>
        </x14:conditionalFormatting>
        <x14:conditionalFormatting xmlns:xm="http://schemas.microsoft.com/office/excel/2006/main">
          <x14:cfRule type="expression" priority="394" id="{79B5AFFC-2CD9-427A-A124-658F11845D48}">
            <xm:f>入力シート!$F$85&lt;$B1026</xm:f>
            <x14:dxf>
              <fill>
                <patternFill>
                  <bgColor theme="1" tint="0.499984740745262"/>
                </patternFill>
              </fill>
            </x14:dxf>
          </x14:cfRule>
          <xm:sqref>P1026 R1026 V1026 P1033 R1033 V1033</xm:sqref>
        </x14:conditionalFormatting>
        <x14:conditionalFormatting xmlns:xm="http://schemas.microsoft.com/office/excel/2006/main">
          <x14:cfRule type="expression" priority="391" id="{AE78BFDD-369E-46BF-818D-E500DAFF8E77}">
            <xm:f>入力シート!$F$85&lt;$B1040</xm:f>
            <x14:dxf>
              <fill>
                <patternFill>
                  <bgColor theme="1" tint="0.499984740745262"/>
                </patternFill>
              </fill>
            </x14:dxf>
          </x14:cfRule>
          <xm:sqref>P1040 R1040 V1040 P1047 R1047 V1047</xm:sqref>
        </x14:conditionalFormatting>
        <x14:conditionalFormatting xmlns:xm="http://schemas.microsoft.com/office/excel/2006/main">
          <x14:cfRule type="expression" priority="388" id="{AE25A02D-D6A4-4018-ADFB-59C9181DF3FB}">
            <xm:f>入力シート!$F$85&lt;$B1054</xm:f>
            <x14:dxf>
              <fill>
                <patternFill>
                  <bgColor theme="1" tint="0.499984740745262"/>
                </patternFill>
              </fill>
            </x14:dxf>
          </x14:cfRule>
          <xm:sqref>P1054 R1054 V1054 P1061 R1061 V1061</xm:sqref>
        </x14:conditionalFormatting>
        <x14:conditionalFormatting xmlns:xm="http://schemas.microsoft.com/office/excel/2006/main">
          <x14:cfRule type="expression" priority="385" id="{DAABDE3C-F95F-4774-839E-B4BF2D644DE5}">
            <xm:f>入力シート!$F$85&lt;$B1068</xm:f>
            <x14:dxf>
              <fill>
                <patternFill>
                  <bgColor theme="1" tint="0.499984740745262"/>
                </patternFill>
              </fill>
            </x14:dxf>
          </x14:cfRule>
          <xm:sqref>P1068 R1068 V1068 P1075 R1075 V1075</xm:sqref>
        </x14:conditionalFormatting>
        <x14:conditionalFormatting xmlns:xm="http://schemas.microsoft.com/office/excel/2006/main">
          <x14:cfRule type="expression" priority="382" id="{6C707830-DD99-4C58-AFD0-FEA0916E6119}">
            <xm:f>入力シート!$F$85&lt;$B1082</xm:f>
            <x14:dxf>
              <fill>
                <patternFill>
                  <bgColor theme="1" tint="0.499984740745262"/>
                </patternFill>
              </fill>
            </x14:dxf>
          </x14:cfRule>
          <xm:sqref>P1082 R1082 V1082 P1089 R1089 V1089</xm:sqref>
        </x14:conditionalFormatting>
        <x14:conditionalFormatting xmlns:xm="http://schemas.microsoft.com/office/excel/2006/main">
          <x14:cfRule type="expression" priority="379" id="{CE84F551-53E9-4B1C-9EDC-3425A50A0458}">
            <xm:f>入力シート!$F$85&lt;$B1096</xm:f>
            <x14:dxf>
              <fill>
                <patternFill>
                  <bgColor theme="1" tint="0.499984740745262"/>
                </patternFill>
              </fill>
            </x14:dxf>
          </x14:cfRule>
          <xm:sqref>P1096 R1096 V1096 P1103 R1103 V1103</xm:sqref>
        </x14:conditionalFormatting>
        <x14:conditionalFormatting xmlns:xm="http://schemas.microsoft.com/office/excel/2006/main">
          <x14:cfRule type="expression" priority="376" id="{ACAB8802-3C76-4329-8554-2C43F9D6F4E2}">
            <xm:f>入力シート!$F$85&lt;$B1110</xm:f>
            <x14:dxf>
              <fill>
                <patternFill>
                  <bgColor theme="1" tint="0.499984740745262"/>
                </patternFill>
              </fill>
            </x14:dxf>
          </x14:cfRule>
          <xm:sqref>P1110 R1110 V1110 P1117 R1117 V1117</xm:sqref>
        </x14:conditionalFormatting>
        <x14:conditionalFormatting xmlns:xm="http://schemas.microsoft.com/office/excel/2006/main">
          <x14:cfRule type="expression" priority="373" id="{33929B13-E95A-4314-B216-A041513D5D59}">
            <xm:f>入力シート!$F$85&lt;$B1124</xm:f>
            <x14:dxf>
              <fill>
                <patternFill>
                  <bgColor theme="1" tint="0.499984740745262"/>
                </patternFill>
              </fill>
            </x14:dxf>
          </x14:cfRule>
          <xm:sqref>P1124 R1124 V1124 P1131 R1131 V1131</xm:sqref>
        </x14:conditionalFormatting>
        <x14:conditionalFormatting xmlns:xm="http://schemas.microsoft.com/office/excel/2006/main">
          <x14:cfRule type="expression" priority="128" id="{64DC567B-AEE3-4A49-963A-D950ABD40173}">
            <xm:f>入力シート!$F$85&lt;$B1138</xm:f>
            <x14:dxf>
              <fill>
                <patternFill>
                  <bgColor theme="1" tint="0.499984740745262"/>
                </patternFill>
              </fill>
            </x14:dxf>
          </x14:cfRule>
          <xm:sqref>P1138 R1138 V1138 P1145 R1145 V1145</xm:sqref>
        </x14:conditionalFormatting>
        <x14:conditionalFormatting xmlns:xm="http://schemas.microsoft.com/office/excel/2006/main">
          <x14:cfRule type="expression" priority="370" id="{17F50F8A-88B9-4639-98FF-149F4BFC2B24}">
            <xm:f>入力シート!$F$85&lt;$B200</xm:f>
            <x14:dxf>
              <fill>
                <patternFill>
                  <bgColor theme="1" tint="0.499984740745262"/>
                </patternFill>
              </fill>
            </x14:dxf>
          </x14:cfRule>
          <xm:sqref>H200</xm:sqref>
        </x14:conditionalFormatting>
        <x14:conditionalFormatting xmlns:xm="http://schemas.microsoft.com/office/excel/2006/main">
          <x14:cfRule type="expression" priority="367" id="{BFB26E8C-C6FA-4618-BD69-1E038E514988}">
            <xm:f>入力シート!$F$85&lt;$B226</xm:f>
            <x14:dxf>
              <fill>
                <patternFill>
                  <bgColor theme="1" tint="0.499984740745262"/>
                </patternFill>
              </fill>
            </x14:dxf>
          </x14:cfRule>
          <xm:sqref>H226</xm:sqref>
        </x14:conditionalFormatting>
        <x14:conditionalFormatting xmlns:xm="http://schemas.microsoft.com/office/excel/2006/main">
          <x14:cfRule type="expression" priority="364" id="{150A0DFF-F9F3-4663-A4CF-4AD478C1BE62}">
            <xm:f>入力シート!$F$85&lt;$B252</xm:f>
            <x14:dxf>
              <fill>
                <patternFill>
                  <bgColor theme="1" tint="0.499984740745262"/>
                </patternFill>
              </fill>
            </x14:dxf>
          </x14:cfRule>
          <xm:sqref>H252</xm:sqref>
        </x14:conditionalFormatting>
        <x14:conditionalFormatting xmlns:xm="http://schemas.microsoft.com/office/excel/2006/main">
          <x14:cfRule type="expression" priority="361" id="{CC93DD96-A3AD-48D5-9DF8-C60B15FFAEB0}">
            <xm:f>入力シート!$F$85&lt;$B278</xm:f>
            <x14:dxf>
              <fill>
                <patternFill>
                  <bgColor theme="1" tint="0.499984740745262"/>
                </patternFill>
              </fill>
            </x14:dxf>
          </x14:cfRule>
          <xm:sqref>H278</xm:sqref>
        </x14:conditionalFormatting>
        <x14:conditionalFormatting xmlns:xm="http://schemas.microsoft.com/office/excel/2006/main">
          <x14:cfRule type="expression" priority="358" id="{7AC5D7B9-2BEA-4511-BE1F-79B66FC21DA2}">
            <xm:f>入力シート!$F$85&lt;$B304</xm:f>
            <x14:dxf>
              <fill>
                <patternFill>
                  <bgColor theme="1" tint="0.499984740745262"/>
                </patternFill>
              </fill>
            </x14:dxf>
          </x14:cfRule>
          <xm:sqref>H304</xm:sqref>
        </x14:conditionalFormatting>
        <x14:conditionalFormatting xmlns:xm="http://schemas.microsoft.com/office/excel/2006/main">
          <x14:cfRule type="expression" priority="355" id="{37902FCF-785D-4931-9034-2EA23D16AF27}">
            <xm:f>入力シート!$F$85&lt;$B330</xm:f>
            <x14:dxf>
              <fill>
                <patternFill>
                  <bgColor theme="1" tint="0.499984740745262"/>
                </patternFill>
              </fill>
            </x14:dxf>
          </x14:cfRule>
          <xm:sqref>H330</xm:sqref>
        </x14:conditionalFormatting>
        <x14:conditionalFormatting xmlns:xm="http://schemas.microsoft.com/office/excel/2006/main">
          <x14:cfRule type="expression" priority="352" id="{8D2FBD99-78A3-4443-AAC8-C270461F0904}">
            <xm:f>入力シート!$F$85&lt;$B356</xm:f>
            <x14:dxf>
              <fill>
                <patternFill>
                  <bgColor theme="1" tint="0.499984740745262"/>
                </patternFill>
              </fill>
            </x14:dxf>
          </x14:cfRule>
          <xm:sqref>H356</xm:sqref>
        </x14:conditionalFormatting>
        <x14:conditionalFormatting xmlns:xm="http://schemas.microsoft.com/office/excel/2006/main">
          <x14:cfRule type="expression" priority="349" id="{29DAE448-9256-4C91-92C8-B8D38B8CB739}">
            <xm:f>入力シート!$F$85&lt;$B382</xm:f>
            <x14:dxf>
              <fill>
                <patternFill>
                  <bgColor theme="1" tint="0.499984740745262"/>
                </patternFill>
              </fill>
            </x14:dxf>
          </x14:cfRule>
          <xm:sqref>H382</xm:sqref>
        </x14:conditionalFormatting>
        <x14:conditionalFormatting xmlns:xm="http://schemas.microsoft.com/office/excel/2006/main">
          <x14:cfRule type="expression" priority="346" id="{1DC4B1BD-2E77-465F-9FF6-4F9FEB9474B8}">
            <xm:f>入力シート!$F$85&lt;$B408</xm:f>
            <x14:dxf>
              <fill>
                <patternFill>
                  <bgColor theme="1" tint="0.499984740745262"/>
                </patternFill>
              </fill>
            </x14:dxf>
          </x14:cfRule>
          <xm:sqref>H408</xm:sqref>
        </x14:conditionalFormatting>
        <x14:conditionalFormatting xmlns:xm="http://schemas.microsoft.com/office/excel/2006/main">
          <x14:cfRule type="expression" priority="343" id="{76B92016-017A-4031-9423-539368A57BE4}">
            <xm:f>入力シート!$F$85&lt;$B434</xm:f>
            <x14:dxf>
              <fill>
                <patternFill>
                  <bgColor theme="1" tint="0.499984740745262"/>
                </patternFill>
              </fill>
            </x14:dxf>
          </x14:cfRule>
          <xm:sqref>H434</xm:sqref>
        </x14:conditionalFormatting>
        <x14:conditionalFormatting xmlns:xm="http://schemas.microsoft.com/office/excel/2006/main">
          <x14:cfRule type="expression" priority="340" id="{4CB16730-450C-4D43-A119-AFAD92724813}">
            <xm:f>入力シート!$F$85&lt;$B460</xm:f>
            <x14:dxf>
              <fill>
                <patternFill>
                  <bgColor theme="1" tint="0.499984740745262"/>
                </patternFill>
              </fill>
            </x14:dxf>
          </x14:cfRule>
          <xm:sqref>H460</xm:sqref>
        </x14:conditionalFormatting>
        <x14:conditionalFormatting xmlns:xm="http://schemas.microsoft.com/office/excel/2006/main">
          <x14:cfRule type="expression" priority="337" id="{0FF00CB4-7E98-4098-BD4C-A1539C2913A9}">
            <xm:f>入力シート!$F$85&lt;$B486</xm:f>
            <x14:dxf>
              <fill>
                <patternFill>
                  <bgColor theme="1" tint="0.499984740745262"/>
                </patternFill>
              </fill>
            </x14:dxf>
          </x14:cfRule>
          <xm:sqref>H486</xm:sqref>
        </x14:conditionalFormatting>
        <x14:conditionalFormatting xmlns:xm="http://schemas.microsoft.com/office/excel/2006/main">
          <x14:cfRule type="expression" priority="334" id="{CAA93872-7BE4-4276-B731-0F76F54BF3AC}">
            <xm:f>入力シート!$F$85&lt;$B512</xm:f>
            <x14:dxf>
              <fill>
                <patternFill>
                  <bgColor theme="1" tint="0.499984740745262"/>
                </patternFill>
              </fill>
            </x14:dxf>
          </x14:cfRule>
          <xm:sqref>H512</xm:sqref>
        </x14:conditionalFormatting>
        <x14:conditionalFormatting xmlns:xm="http://schemas.microsoft.com/office/excel/2006/main">
          <x14:cfRule type="expression" priority="331" id="{F67B8B5C-F708-497E-B8C3-128A04E8951A}">
            <xm:f>入力シート!$F$85&lt;$B538</xm:f>
            <x14:dxf>
              <fill>
                <patternFill>
                  <bgColor theme="1" tint="0.499984740745262"/>
                </patternFill>
              </fill>
            </x14:dxf>
          </x14:cfRule>
          <xm:sqref>H538</xm:sqref>
        </x14:conditionalFormatting>
        <x14:conditionalFormatting xmlns:xm="http://schemas.microsoft.com/office/excel/2006/main">
          <x14:cfRule type="expression" priority="328" id="{C1C42F32-ECF1-41B6-97DD-35F11D3E9383}">
            <xm:f>入力シート!$F$85&lt;$B564</xm:f>
            <x14:dxf>
              <fill>
                <patternFill>
                  <bgColor theme="1" tint="0.499984740745262"/>
                </patternFill>
              </fill>
            </x14:dxf>
          </x14:cfRule>
          <xm:sqref>H564</xm:sqref>
        </x14:conditionalFormatting>
        <x14:conditionalFormatting xmlns:xm="http://schemas.microsoft.com/office/excel/2006/main">
          <x14:cfRule type="expression" priority="325" id="{529D8AEE-691D-4105-9F35-BECD10E5CCC8}">
            <xm:f>入力シート!$F$85&lt;$B590</xm:f>
            <x14:dxf>
              <fill>
                <patternFill>
                  <bgColor theme="1" tint="0.499984740745262"/>
                </patternFill>
              </fill>
            </x14:dxf>
          </x14:cfRule>
          <xm:sqref>H590</xm:sqref>
        </x14:conditionalFormatting>
        <x14:conditionalFormatting xmlns:xm="http://schemas.microsoft.com/office/excel/2006/main">
          <x14:cfRule type="expression" priority="322" id="{928F4A80-2A9C-489E-8B30-35AACFE2FB46}">
            <xm:f>入力シート!$F$85&lt;$B616</xm:f>
            <x14:dxf>
              <fill>
                <patternFill>
                  <bgColor theme="1" tint="0.499984740745262"/>
                </patternFill>
              </fill>
            </x14:dxf>
          </x14:cfRule>
          <xm:sqref>H616</xm:sqref>
        </x14:conditionalFormatting>
        <x14:conditionalFormatting xmlns:xm="http://schemas.microsoft.com/office/excel/2006/main">
          <x14:cfRule type="expression" priority="319" id="{196DB98D-0059-4B83-BF4F-BD870EBBA674}">
            <xm:f>入力シート!$F$85&lt;$B642</xm:f>
            <x14:dxf>
              <fill>
                <patternFill>
                  <bgColor theme="1" tint="0.499984740745262"/>
                </patternFill>
              </fill>
            </x14:dxf>
          </x14:cfRule>
          <xm:sqref>H642</xm:sqref>
        </x14:conditionalFormatting>
        <x14:conditionalFormatting xmlns:xm="http://schemas.microsoft.com/office/excel/2006/main">
          <x14:cfRule type="expression" priority="316" id="{1B1569F3-3802-407A-8B49-36941FE2FD84}">
            <xm:f>入力シート!$F$85&lt;$B668</xm:f>
            <x14:dxf>
              <fill>
                <patternFill>
                  <bgColor theme="1" tint="0.499984740745262"/>
                </patternFill>
              </fill>
            </x14:dxf>
          </x14:cfRule>
          <xm:sqref>H668</xm:sqref>
        </x14:conditionalFormatting>
        <x14:conditionalFormatting xmlns:xm="http://schemas.microsoft.com/office/excel/2006/main">
          <x14:cfRule type="expression" priority="313" id="{90B06BD4-8D90-4585-B47F-2153EBF2094C}">
            <xm:f>入力シート!$F$85&lt;$B694</xm:f>
            <x14:dxf>
              <fill>
                <patternFill>
                  <bgColor theme="1" tint="0.499984740745262"/>
                </patternFill>
              </fill>
            </x14:dxf>
          </x14:cfRule>
          <xm:sqref>H694</xm:sqref>
        </x14:conditionalFormatting>
        <x14:conditionalFormatting xmlns:xm="http://schemas.microsoft.com/office/excel/2006/main">
          <x14:cfRule type="expression" priority="310" id="{55CE01A0-A222-4EAD-8B16-CC566454D844}">
            <xm:f>入力シート!$F$85&lt;$B720</xm:f>
            <x14:dxf>
              <fill>
                <patternFill>
                  <bgColor theme="1" tint="0.499984740745262"/>
                </patternFill>
              </fill>
            </x14:dxf>
          </x14:cfRule>
          <xm:sqref>H720</xm:sqref>
        </x14:conditionalFormatting>
        <x14:conditionalFormatting xmlns:xm="http://schemas.microsoft.com/office/excel/2006/main">
          <x14:cfRule type="expression" priority="307" id="{84FE02C6-02ED-42FD-8FFF-DB50D00F4858}">
            <xm:f>入力シート!$F$85&lt;$B746</xm:f>
            <x14:dxf>
              <fill>
                <patternFill>
                  <bgColor theme="1" tint="0.499984740745262"/>
                </patternFill>
              </fill>
            </x14:dxf>
          </x14:cfRule>
          <xm:sqref>H746</xm:sqref>
        </x14:conditionalFormatting>
        <x14:conditionalFormatting xmlns:xm="http://schemas.microsoft.com/office/excel/2006/main">
          <x14:cfRule type="expression" priority="304" id="{242FF0FB-27CA-4171-B94D-C9AE8E9A9830}">
            <xm:f>入力シート!$F$85&lt;$B772</xm:f>
            <x14:dxf>
              <fill>
                <patternFill>
                  <bgColor theme="1" tint="0.499984740745262"/>
                </patternFill>
              </fill>
            </x14:dxf>
          </x14:cfRule>
          <xm:sqref>H772</xm:sqref>
        </x14:conditionalFormatting>
        <x14:conditionalFormatting xmlns:xm="http://schemas.microsoft.com/office/excel/2006/main">
          <x14:cfRule type="expression" priority="301" id="{01A8A797-EBBB-4A44-BAE5-1E85CA2CE769}">
            <xm:f>入力シート!$F$85&lt;$B830</xm:f>
            <x14:dxf>
              <fill>
                <patternFill>
                  <bgColor theme="1" tint="0.499984740745262"/>
                </patternFill>
              </fill>
            </x14:dxf>
          </x14:cfRule>
          <xm:sqref>F830:H830 F832:H832 F834:H834 F837:H837 F839:H839 F841:H841</xm:sqref>
        </x14:conditionalFormatting>
        <x14:conditionalFormatting xmlns:xm="http://schemas.microsoft.com/office/excel/2006/main">
          <x14:cfRule type="expression" priority="298" id="{CE8505BE-D218-4CE6-8A9D-2F68C86C8C37}">
            <xm:f>入力シート!$F$85&lt;$B844</xm:f>
            <x14:dxf>
              <fill>
                <patternFill>
                  <bgColor theme="1" tint="0.499984740745262"/>
                </patternFill>
              </fill>
            </x14:dxf>
          </x14:cfRule>
          <xm:sqref>F844:H844 F846:H846 F848:H848 F851:H851 F853:H853 F855:H855</xm:sqref>
        </x14:conditionalFormatting>
        <x14:conditionalFormatting xmlns:xm="http://schemas.microsoft.com/office/excel/2006/main">
          <x14:cfRule type="expression" priority="295" id="{C76D0FE5-FB31-45A2-8CF5-6F5760E32453}">
            <xm:f>入力シート!$F$85&lt;$B858</xm:f>
            <x14:dxf>
              <fill>
                <patternFill>
                  <bgColor theme="1" tint="0.499984740745262"/>
                </patternFill>
              </fill>
            </x14:dxf>
          </x14:cfRule>
          <xm:sqref>F858:H858 F860:H860 F862:H862 F865:H865 F867:H867 F869:H869</xm:sqref>
        </x14:conditionalFormatting>
        <x14:conditionalFormatting xmlns:xm="http://schemas.microsoft.com/office/excel/2006/main">
          <x14:cfRule type="expression" priority="292" id="{81D33CA6-5887-4A48-BA4E-8DBA71F01059}">
            <xm:f>入力シート!$F$85&lt;$B872</xm:f>
            <x14:dxf>
              <fill>
                <patternFill>
                  <bgColor theme="1" tint="0.499984740745262"/>
                </patternFill>
              </fill>
            </x14:dxf>
          </x14:cfRule>
          <xm:sqref>F872:H872 F874:H874 F876:H876 F879:H879 F881:H881 F883:H883</xm:sqref>
        </x14:conditionalFormatting>
        <x14:conditionalFormatting xmlns:xm="http://schemas.microsoft.com/office/excel/2006/main">
          <x14:cfRule type="expression" priority="289" id="{ADA34919-76F8-42BD-87A7-B9B19CCF111F}">
            <xm:f>入力シート!$F$85&lt;$B886</xm:f>
            <x14:dxf>
              <fill>
                <patternFill>
                  <bgColor theme="1" tint="0.499984740745262"/>
                </patternFill>
              </fill>
            </x14:dxf>
          </x14:cfRule>
          <xm:sqref>F886:H886 F888:H888 F890:H890 F893:H893 F895:H895 F897:H897</xm:sqref>
        </x14:conditionalFormatting>
        <x14:conditionalFormatting xmlns:xm="http://schemas.microsoft.com/office/excel/2006/main">
          <x14:cfRule type="expression" priority="286" id="{572FEA6E-5D6B-41E6-BA6A-D92861FB4CC7}">
            <xm:f>入力シート!$F$85&lt;$B900</xm:f>
            <x14:dxf>
              <fill>
                <patternFill>
                  <bgColor theme="1" tint="0.499984740745262"/>
                </patternFill>
              </fill>
            </x14:dxf>
          </x14:cfRule>
          <xm:sqref>F900:H900 F902:H902 F904:H904 F907:H907 F909:H909 F911:H911</xm:sqref>
        </x14:conditionalFormatting>
        <x14:conditionalFormatting xmlns:xm="http://schemas.microsoft.com/office/excel/2006/main">
          <x14:cfRule type="expression" priority="283" id="{E4B21D57-7F58-45EC-9FF2-49FD6AB1AE69}">
            <xm:f>入力シート!$F$85&lt;$B914</xm:f>
            <x14:dxf>
              <fill>
                <patternFill>
                  <bgColor theme="1" tint="0.499984740745262"/>
                </patternFill>
              </fill>
            </x14:dxf>
          </x14:cfRule>
          <xm:sqref>F914:H914 F916:H916 F918:H918 F921:H921 F923:H923 F925:H925</xm:sqref>
        </x14:conditionalFormatting>
        <x14:conditionalFormatting xmlns:xm="http://schemas.microsoft.com/office/excel/2006/main">
          <x14:cfRule type="expression" priority="280" id="{8E6D154B-F1B2-402E-B017-7FE49B2CC710}">
            <xm:f>入力シート!$F$85&lt;$B928</xm:f>
            <x14:dxf>
              <fill>
                <patternFill>
                  <bgColor theme="1" tint="0.499984740745262"/>
                </patternFill>
              </fill>
            </x14:dxf>
          </x14:cfRule>
          <xm:sqref>F928:H928 F930:H930 F932:H932 F935:H935 F937:H937 F939:H939</xm:sqref>
        </x14:conditionalFormatting>
        <x14:conditionalFormatting xmlns:xm="http://schemas.microsoft.com/office/excel/2006/main">
          <x14:cfRule type="expression" priority="277" id="{D69A7D11-CA64-4AFA-B65C-D8F87CF9C5FF}">
            <xm:f>入力シート!$F$85&lt;$B942</xm:f>
            <x14:dxf>
              <fill>
                <patternFill>
                  <bgColor theme="1" tint="0.499984740745262"/>
                </patternFill>
              </fill>
            </x14:dxf>
          </x14:cfRule>
          <xm:sqref>F942:H942 F944:H944 F946:H946 F949:H949 F951:H951 F953:H953</xm:sqref>
        </x14:conditionalFormatting>
        <x14:conditionalFormatting xmlns:xm="http://schemas.microsoft.com/office/excel/2006/main">
          <x14:cfRule type="expression" priority="274" id="{B3640E44-1050-4A44-B031-FA5BE808954C}">
            <xm:f>入力シート!$F$85&lt;$B956</xm:f>
            <x14:dxf>
              <fill>
                <patternFill>
                  <bgColor theme="1" tint="0.499984740745262"/>
                </patternFill>
              </fill>
            </x14:dxf>
          </x14:cfRule>
          <xm:sqref>F956:H956 F958:H958 F960:H960 F963:H963 F965:H965 F967:H967</xm:sqref>
        </x14:conditionalFormatting>
        <x14:conditionalFormatting xmlns:xm="http://schemas.microsoft.com/office/excel/2006/main">
          <x14:cfRule type="expression" priority="271" id="{605E2FAD-FFC1-4FB0-BC17-FDE75F048801}">
            <xm:f>入力シート!$F$85&lt;$B970</xm:f>
            <x14:dxf>
              <fill>
                <patternFill>
                  <bgColor theme="1" tint="0.499984740745262"/>
                </patternFill>
              </fill>
            </x14:dxf>
          </x14:cfRule>
          <xm:sqref>F970:H970 F972:H972 F974:H974 F977:H977 F979:H979 F981:H981</xm:sqref>
        </x14:conditionalFormatting>
        <x14:conditionalFormatting xmlns:xm="http://schemas.microsoft.com/office/excel/2006/main">
          <x14:cfRule type="expression" priority="268" id="{1AFE290A-BA96-42C7-A0E9-07B27A9399BC}">
            <xm:f>入力シート!$F$85&lt;$B984</xm:f>
            <x14:dxf>
              <fill>
                <patternFill>
                  <bgColor theme="1" tint="0.499984740745262"/>
                </patternFill>
              </fill>
            </x14:dxf>
          </x14:cfRule>
          <xm:sqref>F984:H984 F986:H986 F988:H988 F991:H991 F993:H993 F995:H995</xm:sqref>
        </x14:conditionalFormatting>
        <x14:conditionalFormatting xmlns:xm="http://schemas.microsoft.com/office/excel/2006/main">
          <x14:cfRule type="expression" priority="265" id="{C44CA9A1-6959-4F96-98D0-44CBBA95746D}">
            <xm:f>入力シート!$F$85&lt;$B998</xm:f>
            <x14:dxf>
              <fill>
                <patternFill>
                  <bgColor theme="1" tint="0.499984740745262"/>
                </patternFill>
              </fill>
            </x14:dxf>
          </x14:cfRule>
          <xm:sqref>F998:H998 F1000:H1000 F1002:H1002 F1005:H1005 F1007:H1007 F1009:H1009</xm:sqref>
        </x14:conditionalFormatting>
        <x14:conditionalFormatting xmlns:xm="http://schemas.microsoft.com/office/excel/2006/main">
          <x14:cfRule type="expression" priority="262" id="{008D4AB2-CA28-4B37-824D-ED6FD079EFFA}">
            <xm:f>入力シート!$F$85&lt;$B1012</xm:f>
            <x14:dxf>
              <fill>
                <patternFill>
                  <bgColor theme="1" tint="0.499984740745262"/>
                </patternFill>
              </fill>
            </x14:dxf>
          </x14:cfRule>
          <xm:sqref>F1012:H1012 F1014:H1014 F1016:H1016 F1019:H1019 F1021:H1021 F1023:H1023</xm:sqref>
        </x14:conditionalFormatting>
        <x14:conditionalFormatting xmlns:xm="http://schemas.microsoft.com/office/excel/2006/main">
          <x14:cfRule type="expression" priority="259" id="{1944A923-D70B-481E-B15E-C2CBAAE2B429}">
            <xm:f>入力シート!$F$85&lt;$B1026</xm:f>
            <x14:dxf>
              <fill>
                <patternFill>
                  <bgColor theme="1" tint="0.499984740745262"/>
                </patternFill>
              </fill>
            </x14:dxf>
          </x14:cfRule>
          <xm:sqref>F1026:H1026 F1028:H1028 F1030:H1030 F1033:H1033 F1035:H1035 F1037:H1037</xm:sqref>
        </x14:conditionalFormatting>
        <x14:conditionalFormatting xmlns:xm="http://schemas.microsoft.com/office/excel/2006/main">
          <x14:cfRule type="expression" priority="256" id="{4227BBD2-67A5-4F14-AF9D-E1E8A802B815}">
            <xm:f>入力シート!$F$85&lt;$B1040</xm:f>
            <x14:dxf>
              <fill>
                <patternFill>
                  <bgColor theme="1" tint="0.499984740745262"/>
                </patternFill>
              </fill>
            </x14:dxf>
          </x14:cfRule>
          <xm:sqref>F1040:H1040 F1042:H1042 F1044:H1044 F1047:H1047 F1049:H1049 F1051:H1051</xm:sqref>
        </x14:conditionalFormatting>
        <x14:conditionalFormatting xmlns:xm="http://schemas.microsoft.com/office/excel/2006/main">
          <x14:cfRule type="expression" priority="253" id="{B323C480-26A1-4F22-874F-76DD69A8E473}">
            <xm:f>入力シート!$F$85&lt;$B1054</xm:f>
            <x14:dxf>
              <fill>
                <patternFill>
                  <bgColor theme="1" tint="0.499984740745262"/>
                </patternFill>
              </fill>
            </x14:dxf>
          </x14:cfRule>
          <xm:sqref>F1054:H1054 F1056:H1056 F1058:H1058 F1061:H1061 F1063:H1063 F1065:H1065</xm:sqref>
        </x14:conditionalFormatting>
        <x14:conditionalFormatting xmlns:xm="http://schemas.microsoft.com/office/excel/2006/main">
          <x14:cfRule type="expression" priority="250" id="{F7D77DC5-3DFA-4C88-8025-0C18A8BE51F9}">
            <xm:f>入力シート!$F$85&lt;$B1068</xm:f>
            <x14:dxf>
              <fill>
                <patternFill>
                  <bgColor theme="1" tint="0.499984740745262"/>
                </patternFill>
              </fill>
            </x14:dxf>
          </x14:cfRule>
          <xm:sqref>F1068:H1068 F1070:H1070 F1072:H1072 F1075:H1075 F1077:H1077 F1079:H1079</xm:sqref>
        </x14:conditionalFormatting>
        <x14:conditionalFormatting xmlns:xm="http://schemas.microsoft.com/office/excel/2006/main">
          <x14:cfRule type="expression" priority="247" id="{A9F74FAE-F046-4D6B-A673-7F51F6BC9E07}">
            <xm:f>入力シート!$F$85&lt;$B1082</xm:f>
            <x14:dxf>
              <fill>
                <patternFill>
                  <bgColor theme="1" tint="0.499984740745262"/>
                </patternFill>
              </fill>
            </x14:dxf>
          </x14:cfRule>
          <xm:sqref>F1082:H1082 F1084:H1084 F1086:H1086 F1089:H1089 F1091:H1091 F1093:H1093</xm:sqref>
        </x14:conditionalFormatting>
        <x14:conditionalFormatting xmlns:xm="http://schemas.microsoft.com/office/excel/2006/main">
          <x14:cfRule type="expression" priority="244" id="{B9D99196-2F61-4B31-AFCB-C6751B2B248C}">
            <xm:f>入力シート!$F$85&lt;$B1096</xm:f>
            <x14:dxf>
              <fill>
                <patternFill>
                  <bgColor theme="1" tint="0.499984740745262"/>
                </patternFill>
              </fill>
            </x14:dxf>
          </x14:cfRule>
          <xm:sqref>F1096:H1096 F1098:H1098 F1100:H1100 F1103:H1103 F1105:H1105 F1107:H1107</xm:sqref>
        </x14:conditionalFormatting>
        <x14:conditionalFormatting xmlns:xm="http://schemas.microsoft.com/office/excel/2006/main">
          <x14:cfRule type="expression" priority="241" id="{9E109192-2700-43F0-A33A-EFD1B2E6C91F}">
            <xm:f>入力シート!$F$85&lt;$B1110</xm:f>
            <x14:dxf>
              <fill>
                <patternFill>
                  <bgColor theme="1" tint="0.499984740745262"/>
                </patternFill>
              </fill>
            </x14:dxf>
          </x14:cfRule>
          <xm:sqref>F1110:H1110 F1112:H1112 F1114:H1114 F1117:H1117 F1119:H1119 F1121:H1121</xm:sqref>
        </x14:conditionalFormatting>
        <x14:conditionalFormatting xmlns:xm="http://schemas.microsoft.com/office/excel/2006/main">
          <x14:cfRule type="expression" priority="238" id="{6F0C67A7-AB1B-4FCE-9816-0AE01B8FECBE}">
            <xm:f>入力シート!$F$85&lt;$B1124</xm:f>
            <x14:dxf>
              <fill>
                <patternFill>
                  <bgColor theme="1" tint="0.499984740745262"/>
                </patternFill>
              </fill>
            </x14:dxf>
          </x14:cfRule>
          <xm:sqref>F1124:H1124 F1126:H1126 F1128:H1128 F1131:H1131 F1133:H1133 F1135:H1135</xm:sqref>
        </x14:conditionalFormatting>
        <x14:conditionalFormatting xmlns:xm="http://schemas.microsoft.com/office/excel/2006/main">
          <x14:cfRule type="expression" priority="235" id="{56BE6918-5133-456D-9232-4457BBF15849}">
            <xm:f>入力シート!$F$85&lt;$B1138</xm:f>
            <x14:dxf>
              <fill>
                <patternFill>
                  <bgColor theme="1" tint="0.499984740745262"/>
                </patternFill>
              </fill>
            </x14:dxf>
          </x14:cfRule>
          <xm:sqref>F1138:H1138 F1140:H1140 F1142:H1142 F1145:H1145 F1147:H1147 F1149:H1149 N1145 N1147 N1149</xm:sqref>
        </x14:conditionalFormatting>
        <x14:conditionalFormatting xmlns:xm="http://schemas.microsoft.com/office/excel/2006/main">
          <x14:cfRule type="expression" priority="219" id="{0D378FE8-54DF-44D8-A2C6-ABA30C3DC39A}">
            <xm:f>入力シート!$F$85&lt;$B837</xm:f>
            <x14:dxf>
              <fill>
                <patternFill>
                  <bgColor theme="1" tint="0.499984740745262"/>
                </patternFill>
              </fill>
            </x14:dxf>
          </x14:cfRule>
          <xm:sqref>N837 N839 N841 N848 N846 N844</xm:sqref>
        </x14:conditionalFormatting>
        <x14:conditionalFormatting xmlns:xm="http://schemas.microsoft.com/office/excel/2006/main">
          <x14:cfRule type="expression" priority="217" id="{D974A2B1-77F2-485F-8475-EAE7EAB2F67C}">
            <xm:f>入力シート!$F$85&lt;$B851</xm:f>
            <x14:dxf>
              <fill>
                <patternFill>
                  <bgColor theme="1" tint="0.499984740745262"/>
                </patternFill>
              </fill>
            </x14:dxf>
          </x14:cfRule>
          <xm:sqref>N851 N853 N855 N862 N860 N858</xm:sqref>
        </x14:conditionalFormatting>
        <x14:conditionalFormatting xmlns:xm="http://schemas.microsoft.com/office/excel/2006/main">
          <x14:cfRule type="expression" priority="215" id="{A2C7C7D1-5D05-4759-A789-07544C28A4F1}">
            <xm:f>入力シート!$F$85&lt;$B865</xm:f>
            <x14:dxf>
              <fill>
                <patternFill>
                  <bgColor theme="1" tint="0.499984740745262"/>
                </patternFill>
              </fill>
            </x14:dxf>
          </x14:cfRule>
          <xm:sqref>N865 N867 N869 N876 N874 N872</xm:sqref>
        </x14:conditionalFormatting>
        <x14:conditionalFormatting xmlns:xm="http://schemas.microsoft.com/office/excel/2006/main">
          <x14:cfRule type="expression" priority="213" id="{9D838D00-78FB-4129-828D-F1CD7F8128EA}">
            <xm:f>入力シート!$F$85&lt;$B879</xm:f>
            <x14:dxf>
              <fill>
                <patternFill>
                  <bgColor theme="1" tint="0.499984740745262"/>
                </patternFill>
              </fill>
            </x14:dxf>
          </x14:cfRule>
          <xm:sqref>N879 N881 N883 N890 N888 N886</xm:sqref>
        </x14:conditionalFormatting>
        <x14:conditionalFormatting xmlns:xm="http://schemas.microsoft.com/office/excel/2006/main">
          <x14:cfRule type="expression" priority="211" id="{8F9D8DFE-82C7-4DB7-931D-F582613D7895}">
            <xm:f>入力シート!$F$85&lt;$B893</xm:f>
            <x14:dxf>
              <fill>
                <patternFill>
                  <bgColor theme="1" tint="0.499984740745262"/>
                </patternFill>
              </fill>
            </x14:dxf>
          </x14:cfRule>
          <xm:sqref>N893 N895 N897 N904 N902 N900</xm:sqref>
        </x14:conditionalFormatting>
        <x14:conditionalFormatting xmlns:xm="http://schemas.microsoft.com/office/excel/2006/main">
          <x14:cfRule type="expression" priority="209" id="{296DE70A-2921-4AFD-815F-799BB59E72BB}">
            <xm:f>入力シート!$F$85&lt;$B907</xm:f>
            <x14:dxf>
              <fill>
                <patternFill>
                  <bgColor theme="1" tint="0.499984740745262"/>
                </patternFill>
              </fill>
            </x14:dxf>
          </x14:cfRule>
          <xm:sqref>N907 N909 N911 N918 N916 N914</xm:sqref>
        </x14:conditionalFormatting>
        <x14:conditionalFormatting xmlns:xm="http://schemas.microsoft.com/office/excel/2006/main">
          <x14:cfRule type="expression" priority="207" id="{2A685403-00E6-4B11-B7F3-201A0BE4D601}">
            <xm:f>入力シート!$F$85&lt;$B921</xm:f>
            <x14:dxf>
              <fill>
                <patternFill>
                  <bgColor theme="1" tint="0.499984740745262"/>
                </patternFill>
              </fill>
            </x14:dxf>
          </x14:cfRule>
          <xm:sqref>N921 N923 N925 N932 N930 N928</xm:sqref>
        </x14:conditionalFormatting>
        <x14:conditionalFormatting xmlns:xm="http://schemas.microsoft.com/office/excel/2006/main">
          <x14:cfRule type="expression" priority="205" id="{FA0416BC-A940-4171-83B2-5CBEB2D0C1CA}">
            <xm:f>入力シート!$F$85&lt;$B935</xm:f>
            <x14:dxf>
              <fill>
                <patternFill>
                  <bgColor theme="1" tint="0.499984740745262"/>
                </patternFill>
              </fill>
            </x14:dxf>
          </x14:cfRule>
          <xm:sqref>N935 N937 N939 N946 N944 N942</xm:sqref>
        </x14:conditionalFormatting>
        <x14:conditionalFormatting xmlns:xm="http://schemas.microsoft.com/office/excel/2006/main">
          <x14:cfRule type="expression" priority="203" id="{81418750-6AF3-4126-B954-D33A9EA5D459}">
            <xm:f>入力シート!$F$85&lt;$B949</xm:f>
            <x14:dxf>
              <fill>
                <patternFill>
                  <bgColor theme="1" tint="0.499984740745262"/>
                </patternFill>
              </fill>
            </x14:dxf>
          </x14:cfRule>
          <xm:sqref>N949 N951 N953 N960 N958 N956</xm:sqref>
        </x14:conditionalFormatting>
        <x14:conditionalFormatting xmlns:xm="http://schemas.microsoft.com/office/excel/2006/main">
          <x14:cfRule type="expression" priority="201" id="{3E2CA75C-1401-4721-9A7B-5F6BDE011E52}">
            <xm:f>入力シート!$F$85&lt;$B963</xm:f>
            <x14:dxf>
              <fill>
                <patternFill>
                  <bgColor theme="1" tint="0.499984740745262"/>
                </patternFill>
              </fill>
            </x14:dxf>
          </x14:cfRule>
          <xm:sqref>N963 N965 N967 N974 N972 N970</xm:sqref>
        </x14:conditionalFormatting>
        <x14:conditionalFormatting xmlns:xm="http://schemas.microsoft.com/office/excel/2006/main">
          <x14:cfRule type="expression" priority="199" id="{49E20950-BCBB-4ECF-8BC6-DC41FE85A8C1}">
            <xm:f>入力シート!$F$85&lt;$B977</xm:f>
            <x14:dxf>
              <fill>
                <patternFill>
                  <bgColor theme="1" tint="0.499984740745262"/>
                </patternFill>
              </fill>
            </x14:dxf>
          </x14:cfRule>
          <xm:sqref>N977 N979 N981 N988 N986 N984</xm:sqref>
        </x14:conditionalFormatting>
        <x14:conditionalFormatting xmlns:xm="http://schemas.microsoft.com/office/excel/2006/main">
          <x14:cfRule type="expression" priority="197" id="{30D9006C-5C10-4504-838D-0CF146061460}">
            <xm:f>入力シート!$F$85&lt;$B991</xm:f>
            <x14:dxf>
              <fill>
                <patternFill>
                  <bgColor theme="1" tint="0.499984740745262"/>
                </patternFill>
              </fill>
            </x14:dxf>
          </x14:cfRule>
          <xm:sqref>N991 N993 N995 N1002 N1000 N998</xm:sqref>
        </x14:conditionalFormatting>
        <x14:conditionalFormatting xmlns:xm="http://schemas.microsoft.com/office/excel/2006/main">
          <x14:cfRule type="expression" priority="195" id="{6B6A39AF-7CB3-4207-976B-C9EFC205D17A}">
            <xm:f>入力シート!$F$85&lt;$B1005</xm:f>
            <x14:dxf>
              <fill>
                <patternFill>
                  <bgColor theme="1" tint="0.499984740745262"/>
                </patternFill>
              </fill>
            </x14:dxf>
          </x14:cfRule>
          <xm:sqref>N1005 N1007 N1009 N1016 N1014 N1012</xm:sqref>
        </x14:conditionalFormatting>
        <x14:conditionalFormatting xmlns:xm="http://schemas.microsoft.com/office/excel/2006/main">
          <x14:cfRule type="expression" priority="193" id="{1BA08311-8AAA-45CE-A8FC-42C4628966A5}">
            <xm:f>入力シート!$F$85&lt;$B1019</xm:f>
            <x14:dxf>
              <fill>
                <patternFill>
                  <bgColor theme="1" tint="0.499984740745262"/>
                </patternFill>
              </fill>
            </x14:dxf>
          </x14:cfRule>
          <xm:sqref>N1019 N1021 N1023 N1030 N1028 N1026</xm:sqref>
        </x14:conditionalFormatting>
        <x14:conditionalFormatting xmlns:xm="http://schemas.microsoft.com/office/excel/2006/main">
          <x14:cfRule type="expression" priority="191" id="{DF14E726-894F-4F89-ABD5-694E6BC1342E}">
            <xm:f>入力シート!$F$85&lt;$B1033</xm:f>
            <x14:dxf>
              <fill>
                <patternFill>
                  <bgColor theme="1" tint="0.499984740745262"/>
                </patternFill>
              </fill>
            </x14:dxf>
          </x14:cfRule>
          <xm:sqref>N1033 N1035 N1037 N1044 N1042 N1040</xm:sqref>
        </x14:conditionalFormatting>
        <x14:conditionalFormatting xmlns:xm="http://schemas.microsoft.com/office/excel/2006/main">
          <x14:cfRule type="expression" priority="189" id="{3BBCD217-76BD-4F5C-94CC-4131A97AD9AD}">
            <xm:f>入力シート!$F$85&lt;$B1047</xm:f>
            <x14:dxf>
              <fill>
                <patternFill>
                  <bgColor theme="1" tint="0.499984740745262"/>
                </patternFill>
              </fill>
            </x14:dxf>
          </x14:cfRule>
          <xm:sqref>N1047 N1049 N1051 N1058 N1056 N1054</xm:sqref>
        </x14:conditionalFormatting>
        <x14:conditionalFormatting xmlns:xm="http://schemas.microsoft.com/office/excel/2006/main">
          <x14:cfRule type="expression" priority="187" id="{37DC7FB7-ED1A-4D75-8FD9-1D346B231DEA}">
            <xm:f>入力シート!$F$85&lt;$B1061</xm:f>
            <x14:dxf>
              <fill>
                <patternFill>
                  <bgColor theme="1" tint="0.499984740745262"/>
                </patternFill>
              </fill>
            </x14:dxf>
          </x14:cfRule>
          <xm:sqref>N1061 N1063 N1065 N1072 N1070 N1068</xm:sqref>
        </x14:conditionalFormatting>
        <x14:conditionalFormatting xmlns:xm="http://schemas.microsoft.com/office/excel/2006/main">
          <x14:cfRule type="expression" priority="185" id="{E7BF69EB-E0DF-4D11-BED2-7E291F09382B}">
            <xm:f>入力シート!$F$85&lt;$B1075</xm:f>
            <x14:dxf>
              <fill>
                <patternFill>
                  <bgColor theme="1" tint="0.499984740745262"/>
                </patternFill>
              </fill>
            </x14:dxf>
          </x14:cfRule>
          <xm:sqref>N1075 N1077 N1079 N1086 N1084 N1082</xm:sqref>
        </x14:conditionalFormatting>
        <x14:conditionalFormatting xmlns:xm="http://schemas.microsoft.com/office/excel/2006/main">
          <x14:cfRule type="expression" priority="183" id="{3A4E2A34-188A-49D7-9F6B-8FD8E9BBF747}">
            <xm:f>入力シート!$F$85&lt;$B1089</xm:f>
            <x14:dxf>
              <fill>
                <patternFill>
                  <bgColor theme="1" tint="0.499984740745262"/>
                </patternFill>
              </fill>
            </x14:dxf>
          </x14:cfRule>
          <xm:sqref>N1089 N1091 N1093 N1100 N1098 N1096</xm:sqref>
        </x14:conditionalFormatting>
        <x14:conditionalFormatting xmlns:xm="http://schemas.microsoft.com/office/excel/2006/main">
          <x14:cfRule type="expression" priority="181" id="{BF29DFAB-44D6-4B7E-8F2B-8201E3382F55}">
            <xm:f>入力シート!$F$85&lt;$B1103</xm:f>
            <x14:dxf>
              <fill>
                <patternFill>
                  <bgColor theme="1" tint="0.499984740745262"/>
                </patternFill>
              </fill>
            </x14:dxf>
          </x14:cfRule>
          <xm:sqref>N1103 N1105 N1107 N1114 N1112 N1110</xm:sqref>
        </x14:conditionalFormatting>
        <x14:conditionalFormatting xmlns:xm="http://schemas.microsoft.com/office/excel/2006/main">
          <x14:cfRule type="expression" priority="177" id="{3030E7F5-EBED-443D-ABAC-4D4BD76A8E0D}">
            <xm:f>入力シート!$F$85&lt;$B1117</xm:f>
            <x14:dxf>
              <fill>
                <patternFill>
                  <bgColor theme="1" tint="0.499984740745262"/>
                </patternFill>
              </fill>
            </x14:dxf>
          </x14:cfRule>
          <xm:sqref>N1131 N1133 N1135 N1142 N1140 N1138 N1117 N1119 N1121 N1128 N1126 N1124</xm:sqref>
        </x14:conditionalFormatting>
        <x14:conditionalFormatting xmlns:xm="http://schemas.microsoft.com/office/excel/2006/main">
          <x14:cfRule type="expression" priority="123" id="{A1FFBAD4-3544-4639-BC39-6DFC28D72B15}">
            <xm:f>入力シート!$F$85&lt;$B830</xm:f>
            <x14:dxf>
              <fill>
                <patternFill>
                  <bgColor theme="1" tint="0.499984740745262"/>
                </patternFill>
              </fill>
            </x14:dxf>
          </x14:cfRule>
          <xm:sqref>J834 J832 J830 L830 L832 L834 J837 L837 L839 J839 J841 L841</xm:sqref>
        </x14:conditionalFormatting>
        <x14:conditionalFormatting xmlns:xm="http://schemas.microsoft.com/office/excel/2006/main">
          <x14:cfRule type="expression" priority="118" id="{A9AA5588-C453-47D9-BD4F-62E409D7BCD6}">
            <xm:f>入力シート!$F$85&lt;$B844</xm:f>
            <x14:dxf>
              <fill>
                <patternFill>
                  <bgColor theme="1" tint="0.499984740745262"/>
                </patternFill>
              </fill>
            </x14:dxf>
          </x14:cfRule>
          <xm:sqref>J848 J846 J844 L844 L846 L848 J851 L851 L853 J853 J855 L855</xm:sqref>
        </x14:conditionalFormatting>
        <x14:conditionalFormatting xmlns:xm="http://schemas.microsoft.com/office/excel/2006/main">
          <x14:cfRule type="expression" priority="113" id="{8BA898A9-AB14-4E72-93CB-C0A9335B0046}">
            <xm:f>入力シート!$F$85&lt;$B858</xm:f>
            <x14:dxf>
              <fill>
                <patternFill>
                  <bgColor theme="1" tint="0.499984740745262"/>
                </patternFill>
              </fill>
            </x14:dxf>
          </x14:cfRule>
          <xm:sqref>J862 J860 J858 L858 L860 L862 J865 L865 L867 J867 J869 L869</xm:sqref>
        </x14:conditionalFormatting>
        <x14:conditionalFormatting xmlns:xm="http://schemas.microsoft.com/office/excel/2006/main">
          <x14:cfRule type="expression" priority="108" id="{744C1AE3-BA96-4AAA-8B3C-54E389D0FD00}">
            <xm:f>入力シート!$F$85&lt;$B872</xm:f>
            <x14:dxf>
              <fill>
                <patternFill>
                  <bgColor theme="1" tint="0.499984740745262"/>
                </patternFill>
              </fill>
            </x14:dxf>
          </x14:cfRule>
          <xm:sqref>J876 J874 J872 L872 L874 L876 J879 L879 L881 J881 J883 L883</xm:sqref>
        </x14:conditionalFormatting>
        <x14:conditionalFormatting xmlns:xm="http://schemas.microsoft.com/office/excel/2006/main">
          <x14:cfRule type="expression" priority="103" id="{5A61031F-55A2-4F92-A3DC-AF57ED006EA7}">
            <xm:f>入力シート!$F$85&lt;$B886</xm:f>
            <x14:dxf>
              <fill>
                <patternFill>
                  <bgColor theme="1" tint="0.499984740745262"/>
                </patternFill>
              </fill>
            </x14:dxf>
          </x14:cfRule>
          <xm:sqref>J890 J888 J886 L886 L888 L890 J893 L893 L895 J895 J897 L897</xm:sqref>
        </x14:conditionalFormatting>
        <x14:conditionalFormatting xmlns:xm="http://schemas.microsoft.com/office/excel/2006/main">
          <x14:cfRule type="expression" priority="98" id="{8DD88160-72B6-4B72-854D-DE2F15BEDE32}">
            <xm:f>入力シート!$F$85&lt;$B900</xm:f>
            <x14:dxf>
              <fill>
                <patternFill>
                  <bgColor theme="1" tint="0.499984740745262"/>
                </patternFill>
              </fill>
            </x14:dxf>
          </x14:cfRule>
          <xm:sqref>J904 J902 J900 L900 L902 L904 J907 L907 L909 J909 J911 L911</xm:sqref>
        </x14:conditionalFormatting>
        <x14:conditionalFormatting xmlns:xm="http://schemas.microsoft.com/office/excel/2006/main">
          <x14:cfRule type="expression" priority="93" id="{2E037CE0-9BEB-49B0-9BBC-2B98684254AD}">
            <xm:f>入力シート!$F$85&lt;$B914</xm:f>
            <x14:dxf>
              <fill>
                <patternFill>
                  <bgColor theme="1" tint="0.499984740745262"/>
                </patternFill>
              </fill>
            </x14:dxf>
          </x14:cfRule>
          <xm:sqref>J918 J916 J914 L914 L916 L918 J921 L921 L923 J923 J925 L925</xm:sqref>
        </x14:conditionalFormatting>
        <x14:conditionalFormatting xmlns:xm="http://schemas.microsoft.com/office/excel/2006/main">
          <x14:cfRule type="expression" priority="88" id="{2655A365-4A64-4B61-811B-BBCB39CE1342}">
            <xm:f>入力シート!$F$85&lt;$B928</xm:f>
            <x14:dxf>
              <fill>
                <patternFill>
                  <bgColor theme="1" tint="0.499984740745262"/>
                </patternFill>
              </fill>
            </x14:dxf>
          </x14:cfRule>
          <xm:sqref>J932 J930 J928 L928 L930 L932 J935 L935 L937 J937 J939 L939</xm:sqref>
        </x14:conditionalFormatting>
        <x14:conditionalFormatting xmlns:xm="http://schemas.microsoft.com/office/excel/2006/main">
          <x14:cfRule type="expression" priority="83" id="{737D8033-6E67-4DE3-B589-3211A679AD22}">
            <xm:f>入力シート!$F$85&lt;$B942</xm:f>
            <x14:dxf>
              <fill>
                <patternFill>
                  <bgColor theme="1" tint="0.499984740745262"/>
                </patternFill>
              </fill>
            </x14:dxf>
          </x14:cfRule>
          <xm:sqref>J946 J944 J942 L942 L944 L946 J949 L949 L951 J951 J953 L953</xm:sqref>
        </x14:conditionalFormatting>
        <x14:conditionalFormatting xmlns:xm="http://schemas.microsoft.com/office/excel/2006/main">
          <x14:cfRule type="expression" priority="78" id="{598A29BC-C20F-49C0-8D23-84723AC44204}">
            <xm:f>入力シート!$F$85&lt;$B956</xm:f>
            <x14:dxf>
              <fill>
                <patternFill>
                  <bgColor theme="1" tint="0.499984740745262"/>
                </patternFill>
              </fill>
            </x14:dxf>
          </x14:cfRule>
          <xm:sqref>J960 J958 J956 L956 L958 L960 J963 L963 L965 J965 J967 L967</xm:sqref>
        </x14:conditionalFormatting>
        <x14:conditionalFormatting xmlns:xm="http://schemas.microsoft.com/office/excel/2006/main">
          <x14:cfRule type="expression" priority="73" id="{646697CB-524A-434A-BC6C-471387332EA1}">
            <xm:f>入力シート!$F$85&lt;$B970</xm:f>
            <x14:dxf>
              <fill>
                <patternFill>
                  <bgColor theme="1" tint="0.499984740745262"/>
                </patternFill>
              </fill>
            </x14:dxf>
          </x14:cfRule>
          <xm:sqref>J974 J972 J970 L970 L972 L974 J977 L977 L979 J979 J981 L981</xm:sqref>
        </x14:conditionalFormatting>
        <x14:conditionalFormatting xmlns:xm="http://schemas.microsoft.com/office/excel/2006/main">
          <x14:cfRule type="expression" priority="68" id="{E683D3C7-95FD-4941-92DA-DF2027504A72}">
            <xm:f>入力シート!$F$85&lt;$B984</xm:f>
            <x14:dxf>
              <fill>
                <patternFill>
                  <bgColor theme="1" tint="0.499984740745262"/>
                </patternFill>
              </fill>
            </x14:dxf>
          </x14:cfRule>
          <xm:sqref>J988 J986 J984 L984 L986 L988 J991 L991 L993 J993 J995 L995</xm:sqref>
        </x14:conditionalFormatting>
        <x14:conditionalFormatting xmlns:xm="http://schemas.microsoft.com/office/excel/2006/main">
          <x14:cfRule type="expression" priority="63" id="{29A76AB8-8300-4ECE-9B54-225537B930F5}">
            <xm:f>入力シート!$F$85&lt;$B998</xm:f>
            <x14:dxf>
              <fill>
                <patternFill>
                  <bgColor theme="1" tint="0.499984740745262"/>
                </patternFill>
              </fill>
            </x14:dxf>
          </x14:cfRule>
          <xm:sqref>J1002 J1000 J998 L998 L1000 L1002 J1005 L1005 L1007 J1007 J1009 L1009</xm:sqref>
        </x14:conditionalFormatting>
        <x14:conditionalFormatting xmlns:xm="http://schemas.microsoft.com/office/excel/2006/main">
          <x14:cfRule type="expression" priority="58" id="{FDB2775C-0DA9-4E4F-B210-5A40E66A3B0C}">
            <xm:f>入力シート!$F$85&lt;$B1012</xm:f>
            <x14:dxf>
              <fill>
                <patternFill>
                  <bgColor theme="1" tint="0.499984740745262"/>
                </patternFill>
              </fill>
            </x14:dxf>
          </x14:cfRule>
          <xm:sqref>J1016 J1014 J1012 L1012 L1014 L1016 J1019 L1019 L1021 J1021 J1023 L1023</xm:sqref>
        </x14:conditionalFormatting>
        <x14:conditionalFormatting xmlns:xm="http://schemas.microsoft.com/office/excel/2006/main">
          <x14:cfRule type="expression" priority="53" id="{44F66948-A62F-42B3-840E-1A963ECA4B93}">
            <xm:f>入力シート!$F$85&lt;$B1026</xm:f>
            <x14:dxf>
              <fill>
                <patternFill>
                  <bgColor theme="1" tint="0.499984740745262"/>
                </patternFill>
              </fill>
            </x14:dxf>
          </x14:cfRule>
          <xm:sqref>J1030 J1028 J1026 L1026 L1028 L1030 J1033 L1033 L1035 J1035 J1037 L1037</xm:sqref>
        </x14:conditionalFormatting>
        <x14:conditionalFormatting xmlns:xm="http://schemas.microsoft.com/office/excel/2006/main">
          <x14:cfRule type="expression" priority="48" id="{E457449D-727C-4163-8EAD-89373456CD9F}">
            <xm:f>入力シート!$F$85&lt;$B1040</xm:f>
            <x14:dxf>
              <fill>
                <patternFill>
                  <bgColor theme="1" tint="0.499984740745262"/>
                </patternFill>
              </fill>
            </x14:dxf>
          </x14:cfRule>
          <xm:sqref>J1044 J1042 J1040 L1040 L1042 L1044 J1047 L1047 L1049 J1049 J1051 L1051</xm:sqref>
        </x14:conditionalFormatting>
        <x14:conditionalFormatting xmlns:xm="http://schemas.microsoft.com/office/excel/2006/main">
          <x14:cfRule type="expression" priority="43" id="{8553DEC0-D923-44C0-8A91-AE63941D5BF3}">
            <xm:f>入力シート!$F$85&lt;$B1054</xm:f>
            <x14:dxf>
              <fill>
                <patternFill>
                  <bgColor theme="1" tint="0.499984740745262"/>
                </patternFill>
              </fill>
            </x14:dxf>
          </x14:cfRule>
          <xm:sqref>J1058 J1056 J1054 L1054 L1056 L1058 J1061 L1061 L1063 J1063 J1065 L1065</xm:sqref>
        </x14:conditionalFormatting>
        <x14:conditionalFormatting xmlns:xm="http://schemas.microsoft.com/office/excel/2006/main">
          <x14:cfRule type="expression" priority="38" id="{2831C399-1A56-4423-8FC6-FE59A7551A93}">
            <xm:f>入力シート!$F$85&lt;$B1068</xm:f>
            <x14:dxf>
              <fill>
                <patternFill>
                  <bgColor theme="1" tint="0.499984740745262"/>
                </patternFill>
              </fill>
            </x14:dxf>
          </x14:cfRule>
          <xm:sqref>J1072 J1070 J1068 L1068 L1070 L1072 J1075 L1075 L1077 J1077 J1079 L1079</xm:sqref>
        </x14:conditionalFormatting>
        <x14:conditionalFormatting xmlns:xm="http://schemas.microsoft.com/office/excel/2006/main">
          <x14:cfRule type="expression" priority="33" id="{5A01C356-1B71-4329-92F4-19A1E5C55227}">
            <xm:f>入力シート!$F$85&lt;$B1082</xm:f>
            <x14:dxf>
              <fill>
                <patternFill>
                  <bgColor theme="1" tint="0.499984740745262"/>
                </patternFill>
              </fill>
            </x14:dxf>
          </x14:cfRule>
          <xm:sqref>J1086 J1084 J1082 L1082 L1084 L1086 J1089 L1089 L1091 J1091 J1093 L1093</xm:sqref>
        </x14:conditionalFormatting>
        <x14:conditionalFormatting xmlns:xm="http://schemas.microsoft.com/office/excel/2006/main">
          <x14:cfRule type="expression" priority="28" id="{19FE0C90-5AF1-4859-9FFE-1A46E1E04E84}">
            <xm:f>入力シート!$F$85&lt;$B1096</xm:f>
            <x14:dxf>
              <fill>
                <patternFill>
                  <bgColor theme="1" tint="0.499984740745262"/>
                </patternFill>
              </fill>
            </x14:dxf>
          </x14:cfRule>
          <xm:sqref>J1100 J1098 J1096 L1096 L1098 L1100 J1103 L1103 L1105 J1105 J1107 L1107</xm:sqref>
        </x14:conditionalFormatting>
        <x14:conditionalFormatting xmlns:xm="http://schemas.microsoft.com/office/excel/2006/main">
          <x14:cfRule type="expression" priority="23" id="{6A3E3953-B217-4E1F-B35D-A1EF9A4AD88B}">
            <xm:f>入力シート!$F$85&lt;$B1110</xm:f>
            <x14:dxf>
              <fill>
                <patternFill>
                  <bgColor theme="1" tint="0.499984740745262"/>
                </patternFill>
              </fill>
            </x14:dxf>
          </x14:cfRule>
          <xm:sqref>J1114 J1112 J1110 L1110 L1112 L1114 J1117 L1117 L1119 J1119 J1121 L1121</xm:sqref>
        </x14:conditionalFormatting>
        <x14:conditionalFormatting xmlns:xm="http://schemas.microsoft.com/office/excel/2006/main">
          <x14:cfRule type="expression" priority="18" id="{841E123F-76BC-4D68-A923-122B276B7EAB}">
            <xm:f>入力シート!$F$85&lt;$B1124</xm:f>
            <x14:dxf>
              <fill>
                <patternFill>
                  <bgColor theme="1" tint="0.499984740745262"/>
                </patternFill>
              </fill>
            </x14:dxf>
          </x14:cfRule>
          <xm:sqref>J1128 J1126 J1124 L1124 L1126 L1128 J1131 L1131 L1133 J1133 J1135 L1135</xm:sqref>
        </x14:conditionalFormatting>
        <x14:conditionalFormatting xmlns:xm="http://schemas.microsoft.com/office/excel/2006/main">
          <x14:cfRule type="expression" priority="13" id="{839F5CB5-0622-4BCD-A667-6F96C0FA7C80}">
            <xm:f>入力シート!$F$85&lt;$B1138</xm:f>
            <x14:dxf>
              <fill>
                <patternFill>
                  <bgColor theme="1" tint="0.499984740745262"/>
                </patternFill>
              </fill>
            </x14:dxf>
          </x14:cfRule>
          <xm:sqref>J1142 J1140 J1138 L1138 L1140 L1142 J1145 L1145 L1147 J1147 J1149 L1149</xm:sqref>
        </x14:conditionalFormatting>
        <x14:conditionalFormatting xmlns:xm="http://schemas.microsoft.com/office/excel/2006/main">
          <x14:cfRule type="expression" priority="9" id="{706FF6B2-3478-4DB1-81B6-A98653C754E1}">
            <xm:f>入力シート!$F$85&lt;$B733</xm:f>
            <x14:dxf>
              <fill>
                <patternFill>
                  <bgColor theme="1" tint="0.499984740745262"/>
                </patternFill>
              </fill>
            </x14:dxf>
          </x14:cfRule>
          <xm:sqref>H733 F733 H737 F737 F741 H741</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D8BBB472-421E-4AA1-B921-4C3B6C7E1443}">
          <x14:formula1>
            <xm:f>プルダウン!$K$2:$K$5</xm:f>
          </x14:formula1>
          <xm:sqref>F23:H23 F25:H25 F27:H27 F29:H29 F31:H31 F33:H33 F35:H35 F37:H37 F39:H39 F41:H41 F43:H43 F45:H45 F47:H47 F49:H49 F51:H51 F53:H53 F55:H55 F57:H57 F59:H59 F61:H61 F63:H63 F65:H65 F67:H67 F69:H69 F71:H71 F73:H73 F75:H75 F77:H77 F79:H79 F81:H81 F83:H83 F85:H85 F87:H87 F89:H89 F91:H91 F93:H93 F95:H95 F97:H97 F99:H99 F101:H101 F103:H103 F105:H105 F107:H107 F109:H109 F111:H111 F113:H113 F115:H115 F117:H117 F119:H119</xm:sqref>
        </x14:dataValidation>
        <x14:dataValidation type="list" allowBlank="1" showInputMessage="1" xr:uid="{9C0DCC63-FBAE-42CD-85BC-5698CC5777A3}">
          <x14:formula1>
            <xm:f>プルダウン!$M$2:$M$63</xm:f>
          </x14:formula1>
          <xm:sqref>N117:P117 N119:P119 N25:P25 N27:P27 N29:P29 N31:P31 N33:P33 N35:P35 N37:P37 N39:P39 N41:P41 N43:P43 N45:P45 N47:P47 N49:P49 N51:P51 N53:P53 N55:P55 N57:P57 N59:P59 N61:P61 N63:P63 N65:P65 N67:P67 N69:P69 N71:P71 N73:P73 N75:P75 N77:P77 N79:P79 N81:P81 N83:P83 N85:P85 N87:P87 N89:P89 N91:P91 N93:P93 N95:P95 N97:P97 N99:P99 N101:P101 N103:P103 N105:P105 N107:P107 N109:P109 N111:P111 N113:P113 N115:P115</xm:sqref>
        </x14:dataValidation>
        <x14:dataValidation type="list" allowBlank="1" showInputMessage="1" showErrorMessage="1" xr:uid="{DD2EEEEB-E07F-4CB9-9FD8-79448AFDBC3C}">
          <x14:formula1>
            <xm:f>プルダウン!$C$2:$C$48</xm:f>
          </x14:formula1>
          <xm:sqref>AB25 AB27 AB29 AB31 AB107 AB109 AB111 AB103 AB23 AB35 AB37 AB39 AB41 AB33 AB45 AB47 AB49 AB51 AB43 AB55 AB57 AB59 AB61 AB53 AB65 AB67 AB69 AB71 AB63 AB75 AB77 AB79 AB81 AB73 AB85 AB87 AB89 AB91 AB83 AB95 AB97 AB99 AB101 AB93 AB105 AB115 AB117 AB119 AB113</xm:sqref>
        </x14:dataValidation>
        <x14:dataValidation type="list" allowBlank="1" showInputMessage="1" showErrorMessage="1" xr:uid="{7D833E46-5C9D-44BD-95D3-7E621D6ED477}">
          <x14:formula1>
            <xm:f>プルダウン!$W$2:$W$3</xm:f>
          </x14:formula1>
          <xm:sqref>H148 H152 H156 H161 H165 H169 H681 H685 H689 H772 H776 H780 H213 H217 H221 H239 H243 H247 H174 H707 H711 H178 H182 H715 H720 H724 H746 H750 H754 H187 H191 H195 H200 H204 H208 H226 H252 H230 H234 H256 H260 H265 H269 H273 H278 H282 H286 H291 H295 H299 H304 H308 H312 H317 H321 H325 H330 H334 H338 H343 H655 H347 H351 H728 H659 H663 H356 H360 H364 H369 H603 H373 H377 H607 H611 H616 H629 H620 H624 H633 H637 H668 H694 H672 H676 H698 H702 H382 H386 H390 H395 H399 H403 H473 H477 H481 H499 H503 H507 H408 H412 H416 H421 H425 H429 H434 H438 H442 H447 H451 H455 H460 H464 H468 H486 H512 H490 H494 H516 H520 H525 H529 H533 H538 H542 H546 H551 H555 H559 H564 H568 H572 H577 H581 H585 H590 H594 H598 H642 H646 H650 H759 H763 H767 H733 H737 H741</xm:sqref>
        </x14:dataValidation>
        <x14:dataValidation type="list" imeMode="disabled" allowBlank="1" showInputMessage="1" showErrorMessage="1" xr:uid="{71165074-0497-4EF3-A3D8-A52107CCBDB9}">
          <x14:formula1>
            <xm:f>補助対象機器一覧20220831!$A$2:$A$119</xm:f>
          </x14:formula1>
          <xm:sqref>F148 F741 F737 F733 F767 F763 F759 F650 F646 F642 F598 F594 F590 F585 F581 F577 F572 F568 F564 F559 F555 F551 F546 F542 F538 F533 F529 F525 F520 F516 F494 F490 F512 F486 F468 F464 F460 F455 F451 F447 F442 F438 F434 F429 F425 F421 F416 F412 F408 F507 F503 F499 F481 F477 F473 F403 F399 F395 F390 F386 F382 F702 F698 F676 F672 F694 F668 F637 F633 F624 F620 F629 F616 F611 F607 F377 F373 F603 F369 F364 F360 F356 F663 F659 F728 F351 F347 F655 F343 F338 F334 F330 F325 F321 F317 F312 F308 F304 F299 F295 F291 F286 F282 F278 F273 F269 F265 F260 F256 F234 F230 F252 F226 F208 F204 F200 F195 F191 F187 F754 F750 F746 F724 F720 F715 F182 F178 F711 F707 F174 F247 F243 F239 F221 F217 F213 F780 F776 F772 F689 F685 F681 F169 F165 F161 F156 F152</xm:sqref>
        </x14:dataValidation>
        <x14:dataValidation type="list" allowBlank="1" showInputMessage="1" showErrorMessage="1" xr:uid="{5F401A45-4ECF-4EA4-8194-B0030CEBE4E1}">
          <x14:formula1>
            <xm:f>プルダウン!$Y$2:$Y$3</xm:f>
          </x14:formula1>
          <xm:sqref>F1110 F1112 F1114 F809 F811 F813 F816 F818 F820 F823 F825 F827 F1096 F1098 F1100 F1117 F1119 F1121 F1124 F1126 F1128 F1131 F1133 F1135 F830 F832 F834 F837 F839 F841 F844 F846 F848 F851 F853 F855 F858 F860 F862 F865 F867 F869 F872 F874 F876 F879 F881 F883 F886 F888 F890 F893 F895 F897 F900 F902 F904 F907 F909 F911 F914 F916 F918 F921 F923 F925 F928 F930 F932 F935 F937 F939 F942 F944 F946 F949 F951 F953 F956 F958 F960 F963 F965 F967 F970 F972 F974 F977 F979 F981 F984 F986 F988 F991 F993 F995 F998 F1000 F1002 F1005 F1007 F1009 F1012 F1014 F1016 F1019 F1021 F1023 F1026 F1028 F1030 F1033 F1035 F1037 F1040 F1042 F1044 F1047 F1049 F1051 F1054 F1056 F1058 F1061 F1063 F1065 F1068 F1070 F1072 F1075 F1077 F1079 F1082 F1084 F1086 F1089 F1091 F1093 F1103 F1105 F1107 F1138 F1140 F1142 F1145 F1147 F1149</xm:sqref>
        </x14:dataValidation>
        <x14:dataValidation type="list" allowBlank="1" showInputMessage="1" prompt="プルダウンで選択してください。（該当する名称がない場合は手入力してください。）" xr:uid="{428B155E-D6D2-4A90-8476-9E4182472B83}">
          <x14:formula1>
            <xm:f>プルダウン!$M$2:$M$63</xm:f>
          </x14:formula1>
          <xm:sqref>N23:P23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941D2-A0F1-4F28-9242-5FC3648292B6}">
  <sheetPr codeName="Sheet5">
    <tabColor theme="8" tint="0.59999389629810485"/>
  </sheetPr>
  <dimension ref="A1:AU125"/>
  <sheetViews>
    <sheetView showGridLines="0" topLeftCell="I1" workbookViewId="0">
      <selection activeCell="AK96" sqref="AK96:AM96"/>
    </sheetView>
  </sheetViews>
  <sheetFormatPr defaultRowHeight="12.75" x14ac:dyDescent="0.15"/>
  <cols>
    <col min="1" max="3" width="9" style="58" hidden="1" customWidth="1"/>
    <col min="4" max="4" width="5.625" style="58" hidden="1" customWidth="1"/>
    <col min="5" max="8" width="3.25" style="58" hidden="1" customWidth="1"/>
    <col min="9" max="9" width="0.625" style="58" customWidth="1"/>
    <col min="10" max="12" width="2.5" style="58" customWidth="1"/>
    <col min="13" max="13" width="1.75" style="58" customWidth="1"/>
    <col min="14" max="14" width="3.25" style="58" customWidth="1"/>
    <col min="15" max="19" width="2.5" style="58" customWidth="1"/>
    <col min="20" max="20" width="2.125" style="58" customWidth="1"/>
    <col min="21" max="21" width="0.625" style="58" customWidth="1"/>
    <col min="22" max="28" width="2.5" style="58" customWidth="1"/>
    <col min="29" max="29" width="2.125" style="58" customWidth="1"/>
    <col min="30" max="30" width="0.625" style="58" customWidth="1"/>
    <col min="31" max="36" width="2.5" style="58" customWidth="1"/>
    <col min="37" max="37" width="2.125" style="58" customWidth="1"/>
    <col min="38" max="38" width="0.625" style="58" customWidth="1"/>
    <col min="39" max="44" width="2.5" style="58" customWidth="1"/>
    <col min="45" max="45" width="2.125" style="58" customWidth="1"/>
    <col min="46" max="46" width="0.625" style="58" customWidth="1"/>
    <col min="47" max="47" width="2.5" style="58" customWidth="1"/>
    <col min="48" max="48" width="0.625" style="58" customWidth="1"/>
    <col min="49" max="16384" width="9" style="58"/>
  </cols>
  <sheetData>
    <row r="1" spans="10:47" x14ac:dyDescent="0.15">
      <c r="J1" s="58" t="s">
        <v>223</v>
      </c>
    </row>
    <row r="2" spans="10:47" ht="17.100000000000001" customHeight="1" x14ac:dyDescent="0.15">
      <c r="AN2" s="59" t="s">
        <v>224</v>
      </c>
      <c r="AO2" s="434" t="str">
        <f>中間シート!G4</f>
        <v/>
      </c>
      <c r="AP2" s="434"/>
      <c r="AQ2" s="434"/>
      <c r="AR2" s="434"/>
      <c r="AS2" s="434"/>
      <c r="AT2" s="434"/>
      <c r="AU2" s="59" t="s">
        <v>225</v>
      </c>
    </row>
    <row r="3" spans="10:47" ht="17.100000000000001" customHeight="1" x14ac:dyDescent="0.15">
      <c r="AJ3" s="60" t="s">
        <v>226</v>
      </c>
      <c r="AK3" s="409" t="str">
        <f>IF(中間シート!F5&lt;&gt;0,4,"")</f>
        <v/>
      </c>
      <c r="AL3" s="409"/>
      <c r="AM3" s="409"/>
      <c r="AN3" s="59" t="s">
        <v>227</v>
      </c>
      <c r="AO3" s="415" t="str">
        <f>IF(中間シート!F5&lt;&gt;0,中間シート!F5,"")</f>
        <v/>
      </c>
      <c r="AP3" s="415"/>
      <c r="AQ3" s="58" t="s">
        <v>228</v>
      </c>
      <c r="AR3" s="416" t="str">
        <f>IF(中間シート!F5&lt;&gt;0,中間シート!F5,"")</f>
        <v/>
      </c>
      <c r="AS3" s="416"/>
      <c r="AT3" s="416"/>
      <c r="AU3" s="59" t="s">
        <v>229</v>
      </c>
    </row>
    <row r="4" spans="10:47" x14ac:dyDescent="0.15">
      <c r="J4" s="58" t="s">
        <v>230</v>
      </c>
    </row>
    <row r="5" spans="10:47" x14ac:dyDescent="0.15">
      <c r="J5" s="58" t="s">
        <v>231</v>
      </c>
    </row>
    <row r="6" spans="10:47" x14ac:dyDescent="0.15">
      <c r="J6" s="138" t="s">
        <v>232</v>
      </c>
    </row>
    <row r="7" spans="10:47" x14ac:dyDescent="0.15">
      <c r="J7" s="58" t="s">
        <v>233</v>
      </c>
    </row>
    <row r="8" spans="10:47" ht="17.100000000000001" customHeight="1" x14ac:dyDescent="0.15">
      <c r="Z8" s="60" t="s">
        <v>234</v>
      </c>
      <c r="AA8" s="58" t="s">
        <v>235</v>
      </c>
      <c r="AF8" s="443" t="str">
        <f>中間シート!F8&amp;中間シート!F9</f>
        <v/>
      </c>
      <c r="AG8" s="443"/>
      <c r="AH8" s="443"/>
      <c r="AI8" s="443"/>
      <c r="AJ8" s="443"/>
      <c r="AK8" s="443"/>
      <c r="AL8" s="443"/>
      <c r="AM8" s="443"/>
      <c r="AN8" s="443"/>
      <c r="AO8" s="443"/>
      <c r="AP8" s="443"/>
      <c r="AQ8" s="443"/>
      <c r="AR8" s="443"/>
      <c r="AS8" s="443"/>
      <c r="AT8" s="443"/>
      <c r="AU8" s="443"/>
    </row>
    <row r="9" spans="10:47" ht="17.100000000000001" customHeight="1" x14ac:dyDescent="0.15">
      <c r="AF9" s="443" t="str">
        <f>中間シート!F10&amp;中間シート!F11</f>
        <v/>
      </c>
      <c r="AG9" s="443"/>
      <c r="AH9" s="443"/>
      <c r="AI9" s="443"/>
      <c r="AJ9" s="443"/>
      <c r="AK9" s="443"/>
      <c r="AL9" s="443"/>
      <c r="AM9" s="443"/>
      <c r="AN9" s="443"/>
      <c r="AO9" s="443"/>
      <c r="AP9" s="443"/>
      <c r="AQ9" s="443"/>
      <c r="AR9" s="443"/>
      <c r="AS9" s="443"/>
      <c r="AT9" s="443"/>
      <c r="AU9" s="443"/>
    </row>
    <row r="10" spans="10:47" x14ac:dyDescent="0.15">
      <c r="AA10" s="58" t="s">
        <v>236</v>
      </c>
    </row>
    <row r="11" spans="10:47" ht="17.100000000000001" customHeight="1" x14ac:dyDescent="0.15">
      <c r="AF11" s="450" t="str">
        <f>中間シート!F12</f>
        <v/>
      </c>
      <c r="AG11" s="450"/>
      <c r="AH11" s="450"/>
      <c r="AI11" s="450"/>
      <c r="AJ11" s="450"/>
      <c r="AK11" s="450"/>
      <c r="AL11" s="450"/>
      <c r="AM11" s="450"/>
      <c r="AN11" s="450"/>
      <c r="AO11" s="450"/>
      <c r="AP11" s="450"/>
      <c r="AQ11" s="450"/>
      <c r="AR11" s="450"/>
      <c r="AS11" s="450"/>
      <c r="AT11" s="450"/>
      <c r="AU11" s="450"/>
    </row>
    <row r="12" spans="10:47" ht="17.100000000000001" customHeight="1" x14ac:dyDescent="0.15">
      <c r="AF12" s="450"/>
      <c r="AG12" s="450"/>
      <c r="AH12" s="450"/>
      <c r="AI12" s="450"/>
      <c r="AJ12" s="450"/>
      <c r="AK12" s="450"/>
      <c r="AL12" s="450"/>
      <c r="AM12" s="450"/>
      <c r="AN12" s="450"/>
      <c r="AO12" s="450"/>
      <c r="AP12" s="450"/>
      <c r="AQ12" s="450"/>
      <c r="AR12" s="450"/>
      <c r="AS12" s="450"/>
      <c r="AT12" s="450"/>
      <c r="AU12" s="450"/>
    </row>
    <row r="13" spans="10:47" ht="17.100000000000001" customHeight="1" x14ac:dyDescent="0.15">
      <c r="AA13" s="58" t="s">
        <v>237</v>
      </c>
      <c r="AF13" s="443" t="str">
        <f>IF(中間シート!F13&lt;&gt;"",中間シート!F13&amp;"　"&amp;中間シート!F14&amp;"　"&amp;中間シート!F15,中間シート!F14&amp;"　"&amp;中間シート!F15)</f>
        <v>　</v>
      </c>
      <c r="AG13" s="443"/>
      <c r="AH13" s="443"/>
      <c r="AI13" s="443"/>
      <c r="AJ13" s="443"/>
      <c r="AK13" s="443"/>
      <c r="AL13" s="443"/>
      <c r="AM13" s="443"/>
      <c r="AN13" s="443"/>
      <c r="AO13" s="443"/>
      <c r="AP13" s="443"/>
      <c r="AQ13" s="443"/>
      <c r="AR13" s="443"/>
      <c r="AS13" s="443"/>
      <c r="AT13" s="443"/>
      <c r="AU13" s="443"/>
    </row>
    <row r="15" spans="10:47" ht="17.100000000000001" customHeight="1" x14ac:dyDescent="0.15">
      <c r="K15" s="58" t="s">
        <v>238</v>
      </c>
      <c r="M15" s="409" t="str">
        <f>IF(OR(中間シート!F14&lt;&gt;"",中間シート!F15&lt;&gt;""),4,"")</f>
        <v/>
      </c>
      <c r="N15" s="409"/>
      <c r="O15" s="58" t="s">
        <v>239</v>
      </c>
    </row>
    <row r="16" spans="10:47" ht="17.100000000000001" customHeight="1" x14ac:dyDescent="0.15">
      <c r="K16" s="58" t="s">
        <v>240</v>
      </c>
    </row>
    <row r="17" spans="10:47" ht="17.100000000000001" customHeight="1" x14ac:dyDescent="0.15">
      <c r="K17" s="58" t="s">
        <v>241</v>
      </c>
    </row>
    <row r="19" spans="10:47" x14ac:dyDescent="0.15">
      <c r="J19" s="413" t="s">
        <v>242</v>
      </c>
      <c r="K19" s="413"/>
      <c r="L19" s="413"/>
      <c r="M19" s="413"/>
      <c r="N19" s="413"/>
      <c r="O19" s="413"/>
      <c r="P19" s="413"/>
      <c r="Q19" s="413"/>
      <c r="R19" s="413"/>
      <c r="S19" s="413"/>
      <c r="T19" s="413"/>
      <c r="U19" s="413"/>
      <c r="V19" s="413"/>
      <c r="W19" s="413"/>
      <c r="X19" s="413"/>
      <c r="Y19" s="413"/>
      <c r="Z19" s="413"/>
      <c r="AA19" s="413"/>
      <c r="AB19" s="413"/>
      <c r="AC19" s="413"/>
      <c r="AD19" s="413"/>
      <c r="AE19" s="413"/>
      <c r="AF19" s="413"/>
      <c r="AG19" s="413"/>
      <c r="AH19" s="413"/>
      <c r="AI19" s="413"/>
      <c r="AJ19" s="413"/>
      <c r="AK19" s="413"/>
      <c r="AL19" s="413"/>
      <c r="AM19" s="413"/>
      <c r="AN19" s="413"/>
      <c r="AO19" s="413"/>
      <c r="AP19" s="413"/>
      <c r="AQ19" s="413"/>
      <c r="AR19" s="413"/>
      <c r="AS19" s="413"/>
      <c r="AT19" s="413"/>
      <c r="AU19" s="413"/>
    </row>
    <row r="20" spans="10:47" x14ac:dyDescent="0.15">
      <c r="J20" s="413"/>
      <c r="K20" s="413"/>
      <c r="L20" s="413"/>
      <c r="M20" s="413"/>
      <c r="N20" s="413"/>
      <c r="O20" s="413"/>
      <c r="P20" s="413"/>
      <c r="Q20" s="413"/>
      <c r="R20" s="413"/>
      <c r="S20" s="413"/>
      <c r="T20" s="413"/>
      <c r="U20" s="413"/>
      <c r="V20" s="413"/>
      <c r="W20" s="413"/>
      <c r="X20" s="413"/>
      <c r="Y20" s="413"/>
      <c r="Z20" s="413"/>
      <c r="AA20" s="413"/>
      <c r="AB20" s="413"/>
      <c r="AC20" s="413"/>
      <c r="AD20" s="413"/>
      <c r="AE20" s="413"/>
      <c r="AF20" s="413"/>
      <c r="AG20" s="413"/>
      <c r="AH20" s="413"/>
      <c r="AI20" s="413"/>
      <c r="AJ20" s="413"/>
      <c r="AK20" s="413"/>
      <c r="AL20" s="413"/>
      <c r="AM20" s="413"/>
      <c r="AN20" s="413"/>
      <c r="AO20" s="413"/>
      <c r="AP20" s="413"/>
      <c r="AQ20" s="413"/>
      <c r="AR20" s="413"/>
      <c r="AS20" s="413"/>
      <c r="AT20" s="413"/>
      <c r="AU20" s="413"/>
    </row>
    <row r="21" spans="10:47" x14ac:dyDescent="0.15">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3"/>
      <c r="AU21" s="413"/>
    </row>
    <row r="22" spans="10:47" x14ac:dyDescent="0.15">
      <c r="J22" s="413"/>
      <c r="K22" s="413"/>
      <c r="L22" s="413"/>
      <c r="M22" s="413"/>
      <c r="N22" s="413"/>
      <c r="O22" s="413"/>
      <c r="P22" s="413"/>
      <c r="Q22" s="413"/>
      <c r="R22" s="413"/>
      <c r="S22" s="413"/>
      <c r="T22" s="413"/>
      <c r="U22" s="413"/>
      <c r="V22" s="413"/>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row>
    <row r="23" spans="10:47" x14ac:dyDescent="0.15">
      <c r="J23" s="413"/>
      <c r="K23" s="413"/>
      <c r="L23" s="413"/>
      <c r="M23" s="413"/>
      <c r="N23" s="413"/>
      <c r="O23" s="413"/>
      <c r="P23" s="413"/>
      <c r="Q23" s="413"/>
      <c r="R23" s="413"/>
      <c r="S23" s="413"/>
      <c r="T23" s="413"/>
      <c r="U23" s="413"/>
      <c r="V23" s="413"/>
      <c r="W23" s="413"/>
      <c r="X23" s="413"/>
      <c r="Y23" s="413"/>
      <c r="Z23" s="413"/>
      <c r="AA23" s="413"/>
      <c r="AB23" s="413"/>
      <c r="AC23" s="413"/>
      <c r="AD23" s="413"/>
      <c r="AE23" s="413"/>
      <c r="AF23" s="413"/>
      <c r="AG23" s="413"/>
      <c r="AH23" s="413"/>
      <c r="AI23" s="413"/>
      <c r="AJ23" s="413"/>
      <c r="AK23" s="413"/>
      <c r="AL23" s="413"/>
      <c r="AM23" s="413"/>
      <c r="AN23" s="413"/>
      <c r="AO23" s="413"/>
      <c r="AP23" s="413"/>
      <c r="AQ23" s="413"/>
      <c r="AR23" s="413"/>
      <c r="AS23" s="413"/>
      <c r="AT23" s="413"/>
      <c r="AU23" s="413"/>
    </row>
    <row r="25" spans="10:47" x14ac:dyDescent="0.15">
      <c r="J25" s="414" t="s">
        <v>243</v>
      </c>
      <c r="K25" s="414"/>
      <c r="L25" s="414"/>
      <c r="M25" s="414"/>
      <c r="N25" s="414"/>
      <c r="O25" s="414"/>
      <c r="P25" s="414"/>
      <c r="Q25" s="414"/>
      <c r="R25" s="414"/>
      <c r="S25" s="414"/>
      <c r="T25" s="414"/>
      <c r="U25" s="414"/>
      <c r="V25" s="414"/>
      <c r="W25" s="414"/>
      <c r="X25" s="414"/>
      <c r="Y25" s="414"/>
      <c r="Z25" s="414"/>
      <c r="AA25" s="414"/>
      <c r="AB25" s="414"/>
      <c r="AC25" s="414"/>
      <c r="AD25" s="414"/>
      <c r="AE25" s="414"/>
      <c r="AF25" s="414"/>
      <c r="AG25" s="414"/>
      <c r="AH25" s="414"/>
      <c r="AI25" s="414"/>
      <c r="AJ25" s="414"/>
      <c r="AK25" s="414"/>
      <c r="AL25" s="414"/>
      <c r="AM25" s="414"/>
      <c r="AN25" s="414"/>
      <c r="AO25" s="414"/>
      <c r="AP25" s="414"/>
      <c r="AQ25" s="414"/>
      <c r="AR25" s="414"/>
      <c r="AS25" s="414"/>
      <c r="AT25" s="414"/>
      <c r="AU25" s="414"/>
    </row>
    <row r="26" spans="10:47" x14ac:dyDescent="0.15">
      <c r="J26" s="58" t="s">
        <v>244</v>
      </c>
    </row>
    <row r="27" spans="10:47" ht="17.100000000000001" customHeight="1" x14ac:dyDescent="0.15">
      <c r="J27" s="409" t="str">
        <f>IF(中間シート!F3&lt;&gt;0,IF(中間シート!F3=1,中間シート!F12,IF(中間シート!F3=2,中間シート!F14&amp;"　"&amp;中間シート!F15))&amp;"のスキャンツール導入事業","")</f>
        <v/>
      </c>
      <c r="K27" s="409"/>
      <c r="L27" s="409"/>
      <c r="M27" s="409"/>
      <c r="N27" s="409"/>
      <c r="O27" s="409"/>
      <c r="P27" s="409"/>
      <c r="Q27" s="409"/>
      <c r="R27" s="409"/>
      <c r="S27" s="409"/>
      <c r="T27" s="409"/>
      <c r="U27" s="409"/>
      <c r="V27" s="409"/>
      <c r="W27" s="409"/>
      <c r="X27" s="409"/>
      <c r="Y27" s="409"/>
      <c r="Z27" s="409"/>
      <c r="AA27" s="409"/>
      <c r="AB27" s="409"/>
      <c r="AC27" s="409"/>
      <c r="AD27" s="409"/>
      <c r="AE27" s="409"/>
      <c r="AF27" s="409"/>
      <c r="AG27" s="409"/>
      <c r="AH27" s="409"/>
      <c r="AI27" s="409"/>
      <c r="AJ27" s="409"/>
      <c r="AK27" s="409"/>
      <c r="AL27" s="409"/>
      <c r="AM27" s="409"/>
      <c r="AN27" s="409"/>
      <c r="AO27" s="409"/>
      <c r="AP27" s="409"/>
      <c r="AQ27" s="409"/>
      <c r="AR27" s="409"/>
      <c r="AS27" s="409"/>
      <c r="AT27" s="409"/>
      <c r="AU27" s="409"/>
    </row>
    <row r="28" spans="10:47" x14ac:dyDescent="0.15">
      <c r="J28" s="58" t="s">
        <v>245</v>
      </c>
    </row>
    <row r="29" spans="10:47" ht="17.100000000000001" customHeight="1" x14ac:dyDescent="0.15">
      <c r="J29" s="58" t="s">
        <v>246</v>
      </c>
      <c r="X29" s="451" t="str">
        <f>IF(N74&lt;&gt;0,N74,"")</f>
        <v/>
      </c>
      <c r="Y29" s="451"/>
      <c r="Z29" s="451"/>
      <c r="AA29" s="451"/>
      <c r="AB29" s="451"/>
      <c r="AC29" s="451"/>
      <c r="AD29" s="451"/>
      <c r="AE29" s="451"/>
      <c r="AF29" s="451"/>
      <c r="AG29" s="451"/>
      <c r="AH29" s="451"/>
      <c r="AI29" s="139"/>
      <c r="AJ29" s="139"/>
      <c r="AM29" s="58" t="s">
        <v>247</v>
      </c>
    </row>
    <row r="30" spans="10:47" ht="17.100000000000001" customHeight="1" x14ac:dyDescent="0.15">
      <c r="J30" s="58" t="s">
        <v>248</v>
      </c>
      <c r="X30" s="451" t="str">
        <f>IF(W74&lt;&gt;0,W74,"")</f>
        <v/>
      </c>
      <c r="Y30" s="451"/>
      <c r="Z30" s="451"/>
      <c r="AA30" s="451"/>
      <c r="AB30" s="451"/>
      <c r="AC30" s="451"/>
      <c r="AD30" s="451"/>
      <c r="AE30" s="451"/>
      <c r="AF30" s="451"/>
      <c r="AG30" s="451"/>
      <c r="AH30" s="451"/>
      <c r="AI30" s="139"/>
      <c r="AJ30" s="139"/>
      <c r="AM30" s="58" t="s">
        <v>247</v>
      </c>
    </row>
    <row r="32" spans="10:47" x14ac:dyDescent="0.15">
      <c r="J32" s="58" t="s">
        <v>249</v>
      </c>
    </row>
    <row r="33" spans="10:47" x14ac:dyDescent="0.15">
      <c r="K33" s="58" t="s">
        <v>250</v>
      </c>
    </row>
    <row r="35" spans="10:47" x14ac:dyDescent="0.15">
      <c r="J35" s="58" t="s">
        <v>251</v>
      </c>
    </row>
    <row r="36" spans="10:47" ht="17.100000000000001" customHeight="1" x14ac:dyDescent="0.15">
      <c r="J36" s="58" t="s">
        <v>252</v>
      </c>
      <c r="V36" s="417" t="s">
        <v>253</v>
      </c>
      <c r="W36" s="417"/>
      <c r="X36" s="417"/>
      <c r="Y36" s="417"/>
      <c r="Z36" s="417"/>
      <c r="AA36" s="417"/>
      <c r="AB36" s="417"/>
      <c r="AC36" s="417"/>
      <c r="AD36" s="417"/>
      <c r="AE36" s="417"/>
      <c r="AF36" s="417"/>
      <c r="AG36" s="417"/>
    </row>
    <row r="37" spans="10:47" ht="17.100000000000001" customHeight="1" x14ac:dyDescent="0.15">
      <c r="J37" s="58" t="s">
        <v>254</v>
      </c>
      <c r="V37" s="417" t="s">
        <v>226</v>
      </c>
      <c r="W37" s="417"/>
      <c r="X37" s="409" t="str">
        <f>IF(中間シート!F6&lt;&gt;0,4,"")</f>
        <v/>
      </c>
      <c r="Y37" s="409"/>
      <c r="Z37" s="59" t="s">
        <v>227</v>
      </c>
      <c r="AA37" s="415" t="str">
        <f>IF(中間シート!F6&lt;&gt;0,中間シート!F6,"")</f>
        <v/>
      </c>
      <c r="AB37" s="415"/>
      <c r="AC37" s="58" t="s">
        <v>228</v>
      </c>
      <c r="AE37" s="416" t="str">
        <f>IF(中間シート!F6&lt;&gt;0,中間シート!F6,"")</f>
        <v/>
      </c>
      <c r="AF37" s="416"/>
      <c r="AG37" s="59" t="s">
        <v>229</v>
      </c>
    </row>
    <row r="38" spans="10:47" ht="13.5" x14ac:dyDescent="0.15">
      <c r="J38" s="61"/>
      <c r="K38" s="61"/>
    </row>
    <row r="39" spans="10:47" x14ac:dyDescent="0.15">
      <c r="J39" s="62" t="s">
        <v>255</v>
      </c>
      <c r="K39" s="62"/>
    </row>
    <row r="40" spans="10:47" ht="12.75" customHeight="1" x14ac:dyDescent="0.15">
      <c r="J40" s="63" t="s">
        <v>256</v>
      </c>
      <c r="K40" s="63"/>
      <c r="L40" s="410" t="s">
        <v>257</v>
      </c>
      <c r="M40" s="410"/>
      <c r="N40" s="410"/>
      <c r="O40" s="410"/>
      <c r="P40" s="410"/>
      <c r="Q40" s="410"/>
      <c r="R40" s="410"/>
      <c r="S40" s="410"/>
      <c r="T40" s="410"/>
      <c r="U40" s="410"/>
      <c r="V40" s="410"/>
      <c r="W40" s="410"/>
      <c r="X40" s="410"/>
      <c r="Y40" s="410"/>
      <c r="Z40" s="410"/>
      <c r="AA40" s="410"/>
      <c r="AB40" s="410"/>
      <c r="AC40" s="410"/>
      <c r="AD40" s="410"/>
      <c r="AE40" s="410"/>
      <c r="AF40" s="410"/>
      <c r="AG40" s="410"/>
      <c r="AH40" s="410"/>
      <c r="AI40" s="410"/>
      <c r="AJ40" s="410"/>
      <c r="AK40" s="410"/>
      <c r="AL40" s="410"/>
      <c r="AM40" s="410"/>
      <c r="AN40" s="410"/>
      <c r="AO40" s="410"/>
      <c r="AP40" s="410"/>
      <c r="AQ40" s="410"/>
      <c r="AR40" s="410"/>
      <c r="AS40" s="410"/>
      <c r="AT40" s="410"/>
      <c r="AU40" s="410"/>
    </row>
    <row r="41" spans="10:47" x14ac:dyDescent="0.15">
      <c r="J41" s="63"/>
      <c r="K41" s="63"/>
      <c r="L41" s="410"/>
      <c r="M41" s="410"/>
      <c r="N41" s="410"/>
      <c r="O41" s="410"/>
      <c r="P41" s="410"/>
      <c r="Q41" s="410"/>
      <c r="R41" s="410"/>
      <c r="S41" s="410"/>
      <c r="T41" s="410"/>
      <c r="U41" s="410"/>
      <c r="V41" s="410"/>
      <c r="W41" s="410"/>
      <c r="X41" s="410"/>
      <c r="Y41" s="410"/>
      <c r="Z41" s="410"/>
      <c r="AA41" s="410"/>
      <c r="AB41" s="410"/>
      <c r="AC41" s="410"/>
      <c r="AD41" s="410"/>
      <c r="AE41" s="410"/>
      <c r="AF41" s="410"/>
      <c r="AG41" s="410"/>
      <c r="AH41" s="410"/>
      <c r="AI41" s="410"/>
      <c r="AJ41" s="410"/>
      <c r="AK41" s="410"/>
      <c r="AL41" s="410"/>
      <c r="AM41" s="410"/>
      <c r="AN41" s="410"/>
      <c r="AO41" s="410"/>
      <c r="AP41" s="410"/>
      <c r="AQ41" s="410"/>
      <c r="AR41" s="410"/>
      <c r="AS41" s="410"/>
      <c r="AT41" s="410"/>
      <c r="AU41" s="410"/>
    </row>
    <row r="42" spans="10:47" x14ac:dyDescent="0.15">
      <c r="J42" s="63"/>
      <c r="K42" s="63"/>
      <c r="L42" s="410"/>
      <c r="M42" s="410"/>
      <c r="N42" s="410"/>
      <c r="O42" s="410"/>
      <c r="P42" s="410"/>
      <c r="Q42" s="410"/>
      <c r="R42" s="410"/>
      <c r="S42" s="410"/>
      <c r="T42" s="410"/>
      <c r="U42" s="410"/>
      <c r="V42" s="410"/>
      <c r="W42" s="410"/>
      <c r="X42" s="410"/>
      <c r="Y42" s="410"/>
      <c r="Z42" s="410"/>
      <c r="AA42" s="410"/>
      <c r="AB42" s="410"/>
      <c r="AC42" s="410"/>
      <c r="AD42" s="410"/>
      <c r="AE42" s="410"/>
      <c r="AF42" s="410"/>
      <c r="AG42" s="410"/>
      <c r="AH42" s="410"/>
      <c r="AI42" s="410"/>
      <c r="AJ42" s="410"/>
      <c r="AK42" s="410"/>
      <c r="AL42" s="410"/>
      <c r="AM42" s="410"/>
      <c r="AN42" s="410"/>
      <c r="AO42" s="410"/>
      <c r="AP42" s="410"/>
      <c r="AQ42" s="410"/>
      <c r="AR42" s="410"/>
      <c r="AS42" s="410"/>
      <c r="AT42" s="410"/>
      <c r="AU42" s="410"/>
    </row>
    <row r="43" spans="10:47" x14ac:dyDescent="0.15">
      <c r="J43" s="63" t="s">
        <v>258</v>
      </c>
      <c r="K43" s="63"/>
      <c r="L43" s="411" t="s">
        <v>259</v>
      </c>
      <c r="M43" s="411"/>
      <c r="N43" s="411"/>
      <c r="O43" s="411"/>
      <c r="P43" s="411"/>
      <c r="Q43" s="411"/>
      <c r="R43" s="411"/>
      <c r="S43" s="411"/>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row>
    <row r="44" spans="10:47" x14ac:dyDescent="0.15">
      <c r="J44" s="63"/>
      <c r="K44" s="63"/>
      <c r="L44" s="411"/>
      <c r="M44" s="411"/>
      <c r="N44" s="411"/>
      <c r="O44" s="411"/>
      <c r="P44" s="411"/>
      <c r="Q44" s="411"/>
      <c r="R44" s="411"/>
      <c r="S44" s="411"/>
      <c r="T44" s="411"/>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row>
    <row r="45" spans="10:47" x14ac:dyDescent="0.15">
      <c r="J45" s="63"/>
      <c r="K45" s="63"/>
      <c r="L45" s="411"/>
      <c r="M45" s="411"/>
      <c r="N45" s="411"/>
      <c r="O45" s="411"/>
      <c r="P45" s="411"/>
      <c r="Q45" s="411"/>
      <c r="R45" s="411"/>
      <c r="S45" s="411"/>
      <c r="T45" s="411"/>
      <c r="U45" s="411"/>
      <c r="V45" s="411"/>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row>
    <row r="46" spans="10:47" x14ac:dyDescent="0.15">
      <c r="J46" s="63" t="s">
        <v>260</v>
      </c>
      <c r="K46" s="63"/>
      <c r="L46" s="140" t="s">
        <v>261</v>
      </c>
      <c r="M46" s="140"/>
      <c r="N46" s="140"/>
    </row>
    <row r="47" spans="10:47" x14ac:dyDescent="0.15">
      <c r="J47" s="63" t="s">
        <v>262</v>
      </c>
      <c r="K47" s="63"/>
      <c r="L47" s="140" t="s">
        <v>263</v>
      </c>
      <c r="M47" s="140"/>
      <c r="N47" s="140"/>
    </row>
    <row r="48" spans="10:47" ht="13.5" x14ac:dyDescent="0.15">
      <c r="J48" s="64"/>
      <c r="K48" s="64"/>
    </row>
    <row r="49" spans="1:47" x14ac:dyDescent="0.15">
      <c r="J49" s="63" t="s">
        <v>264</v>
      </c>
      <c r="K49" s="63"/>
    </row>
    <row r="51" spans="1:47" x14ac:dyDescent="0.15">
      <c r="J51" s="58" t="s">
        <v>265</v>
      </c>
    </row>
    <row r="53" spans="1:47" x14ac:dyDescent="0.15">
      <c r="J53" s="58" t="s">
        <v>266</v>
      </c>
    </row>
    <row r="54" spans="1:47" ht="16.5" customHeight="1" x14ac:dyDescent="0.15">
      <c r="J54" s="412" t="s">
        <v>267</v>
      </c>
      <c r="K54" s="412"/>
      <c r="L54" s="412"/>
      <c r="M54" s="412"/>
      <c r="N54" s="419" t="s">
        <v>268</v>
      </c>
      <c r="O54" s="419"/>
      <c r="P54" s="419"/>
      <c r="Q54" s="419"/>
      <c r="R54" s="419"/>
      <c r="S54" s="418" t="s">
        <v>269</v>
      </c>
      <c r="T54" s="418"/>
      <c r="U54" s="418"/>
      <c r="V54" s="418"/>
      <c r="W54" s="418"/>
      <c r="X54" s="418"/>
      <c r="Y54" s="418"/>
      <c r="Z54" s="418"/>
      <c r="AA54" s="418"/>
      <c r="AB54" s="418"/>
      <c r="AC54" s="412" t="s">
        <v>270</v>
      </c>
      <c r="AD54" s="412"/>
      <c r="AE54" s="412"/>
      <c r="AF54" s="412"/>
      <c r="AG54" s="412"/>
      <c r="AH54" s="412"/>
      <c r="AI54" s="412"/>
      <c r="AJ54" s="412"/>
      <c r="AK54" s="412"/>
      <c r="AL54" s="412"/>
      <c r="AM54" s="412"/>
      <c r="AN54" s="412"/>
      <c r="AO54" s="412"/>
      <c r="AP54" s="412"/>
      <c r="AQ54" s="412"/>
      <c r="AR54" s="412"/>
      <c r="AS54" s="412"/>
      <c r="AT54" s="412"/>
      <c r="AU54" s="412"/>
    </row>
    <row r="55" spans="1:47" ht="16.5" customHeight="1" x14ac:dyDescent="0.15">
      <c r="J55" s="412"/>
      <c r="K55" s="412"/>
      <c r="L55" s="412"/>
      <c r="M55" s="412"/>
      <c r="N55" s="419"/>
      <c r="O55" s="419"/>
      <c r="P55" s="419"/>
      <c r="Q55" s="419"/>
      <c r="R55" s="419"/>
      <c r="S55" s="418"/>
      <c r="T55" s="418"/>
      <c r="U55" s="418"/>
      <c r="V55" s="418"/>
      <c r="W55" s="418"/>
      <c r="X55" s="418"/>
      <c r="Y55" s="418"/>
      <c r="Z55" s="418"/>
      <c r="AA55" s="418"/>
      <c r="AB55" s="418"/>
      <c r="AC55" s="412"/>
      <c r="AD55" s="412"/>
      <c r="AE55" s="412"/>
      <c r="AF55" s="412"/>
      <c r="AG55" s="412"/>
      <c r="AH55" s="412"/>
      <c r="AI55" s="412"/>
      <c r="AJ55" s="412"/>
      <c r="AK55" s="412"/>
      <c r="AL55" s="412"/>
      <c r="AM55" s="412"/>
      <c r="AN55" s="412"/>
      <c r="AO55" s="412"/>
      <c r="AP55" s="412"/>
      <c r="AQ55" s="412"/>
      <c r="AR55" s="412"/>
      <c r="AS55" s="412"/>
      <c r="AT55" s="412"/>
      <c r="AU55" s="412"/>
    </row>
    <row r="56" spans="1:47" ht="16.5" customHeight="1" x14ac:dyDescent="0.15">
      <c r="J56" s="412"/>
      <c r="K56" s="412"/>
      <c r="L56" s="412"/>
      <c r="M56" s="412"/>
      <c r="N56" s="419"/>
      <c r="O56" s="419"/>
      <c r="P56" s="419"/>
      <c r="Q56" s="419"/>
      <c r="R56" s="419"/>
      <c r="S56" s="418"/>
      <c r="T56" s="418"/>
      <c r="U56" s="418"/>
      <c r="V56" s="418"/>
      <c r="W56" s="418"/>
      <c r="X56" s="418"/>
      <c r="Y56" s="418"/>
      <c r="Z56" s="418"/>
      <c r="AA56" s="418"/>
      <c r="AB56" s="418"/>
      <c r="AC56" s="412"/>
      <c r="AD56" s="412"/>
      <c r="AE56" s="412"/>
      <c r="AF56" s="412"/>
      <c r="AG56" s="412"/>
      <c r="AH56" s="412"/>
      <c r="AI56" s="412"/>
      <c r="AJ56" s="412"/>
      <c r="AK56" s="412"/>
      <c r="AL56" s="412"/>
      <c r="AM56" s="412"/>
      <c r="AN56" s="412"/>
      <c r="AO56" s="412"/>
      <c r="AP56" s="412"/>
      <c r="AQ56" s="412"/>
      <c r="AR56" s="412"/>
      <c r="AS56" s="412"/>
      <c r="AT56" s="412"/>
      <c r="AU56" s="412"/>
    </row>
    <row r="57" spans="1:47" ht="16.5" customHeight="1" x14ac:dyDescent="0.15">
      <c r="J57" s="412"/>
      <c r="K57" s="412"/>
      <c r="L57" s="412"/>
      <c r="M57" s="412"/>
      <c r="N57" s="419"/>
      <c r="O57" s="419"/>
      <c r="P57" s="419"/>
      <c r="Q57" s="419"/>
      <c r="R57" s="419"/>
      <c r="S57" s="418"/>
      <c r="T57" s="418"/>
      <c r="U57" s="418"/>
      <c r="V57" s="418"/>
      <c r="W57" s="418"/>
      <c r="X57" s="418"/>
      <c r="Y57" s="418"/>
      <c r="Z57" s="418"/>
      <c r="AA57" s="418"/>
      <c r="AB57" s="418"/>
      <c r="AC57" s="412"/>
      <c r="AD57" s="412"/>
      <c r="AE57" s="412"/>
      <c r="AF57" s="412"/>
      <c r="AG57" s="412"/>
      <c r="AH57" s="412"/>
      <c r="AI57" s="412"/>
      <c r="AJ57" s="412"/>
      <c r="AK57" s="412"/>
      <c r="AL57" s="412"/>
      <c r="AM57" s="412"/>
      <c r="AN57" s="412"/>
      <c r="AO57" s="412"/>
      <c r="AP57" s="412"/>
      <c r="AQ57" s="412"/>
      <c r="AR57" s="412"/>
      <c r="AS57" s="412"/>
      <c r="AT57" s="412"/>
      <c r="AU57" s="412"/>
    </row>
    <row r="58" spans="1:47" ht="16.5" customHeight="1" x14ac:dyDescent="0.15">
      <c r="J58" s="412"/>
      <c r="K58" s="412"/>
      <c r="L58" s="412"/>
      <c r="M58" s="412"/>
      <c r="N58" s="419"/>
      <c r="O58" s="419"/>
      <c r="P58" s="419"/>
      <c r="Q58" s="419"/>
      <c r="R58" s="419"/>
      <c r="S58" s="418"/>
      <c r="T58" s="418"/>
      <c r="U58" s="418"/>
      <c r="V58" s="418"/>
      <c r="W58" s="418"/>
      <c r="X58" s="418"/>
      <c r="Y58" s="418"/>
      <c r="Z58" s="418"/>
      <c r="AA58" s="418"/>
      <c r="AB58" s="418"/>
      <c r="AC58" s="412"/>
      <c r="AD58" s="412"/>
      <c r="AE58" s="412"/>
      <c r="AF58" s="412"/>
      <c r="AG58" s="412"/>
      <c r="AH58" s="412"/>
      <c r="AI58" s="412"/>
      <c r="AJ58" s="412"/>
      <c r="AK58" s="412"/>
      <c r="AL58" s="412"/>
      <c r="AM58" s="412"/>
      <c r="AN58" s="412"/>
      <c r="AO58" s="412"/>
      <c r="AP58" s="412"/>
      <c r="AQ58" s="412"/>
      <c r="AR58" s="412"/>
      <c r="AS58" s="412"/>
      <c r="AT58" s="412"/>
      <c r="AU58" s="412"/>
    </row>
    <row r="59" spans="1:47" ht="17.100000000000001" customHeight="1" x14ac:dyDescent="0.15">
      <c r="G59" s="58">
        <v>1</v>
      </c>
      <c r="H59" s="58">
        <v>1</v>
      </c>
      <c r="J59" s="412" t="s">
        <v>271</v>
      </c>
      <c r="K59" s="412"/>
      <c r="L59" s="412"/>
      <c r="M59" s="412"/>
      <c r="N59" s="425" t="str">
        <f>中間シート!G62</f>
        <v/>
      </c>
      <c r="O59" s="425"/>
      <c r="P59" s="425"/>
      <c r="Q59" s="425"/>
      <c r="R59" s="425"/>
      <c r="S59" s="425" t="str">
        <f>IF(H59=1,中間シート!G64,"")</f>
        <v/>
      </c>
      <c r="T59" s="425"/>
      <c r="U59" s="425"/>
      <c r="V59" s="425"/>
      <c r="W59" s="425"/>
      <c r="X59" s="425"/>
      <c r="Y59" s="425"/>
      <c r="Z59" s="425"/>
      <c r="AA59" s="425"/>
      <c r="AB59" s="425"/>
      <c r="AC59" s="141" t="s">
        <v>272</v>
      </c>
      <c r="AD59" s="449" t="str">
        <f>IF(H59=1,IF(AND(中間シート!G65&lt;&gt;"",中間シート!H65&lt;&gt;""),中間シート!G65&amp;"-"&amp;中間シート!H65,""),"")</f>
        <v/>
      </c>
      <c r="AE59" s="449"/>
      <c r="AF59" s="449"/>
      <c r="AG59" s="420" t="str">
        <f>IF(H59=1,中間シート!G66&amp;中間シート!G67&amp;中間シート!G68&amp;中間シート!G69,"")</f>
        <v/>
      </c>
      <c r="AH59" s="420"/>
      <c r="AI59" s="420"/>
      <c r="AJ59" s="420"/>
      <c r="AK59" s="420"/>
      <c r="AL59" s="420"/>
      <c r="AM59" s="420"/>
      <c r="AN59" s="420"/>
      <c r="AO59" s="420"/>
      <c r="AP59" s="420"/>
      <c r="AQ59" s="420"/>
      <c r="AR59" s="420"/>
      <c r="AS59" s="420"/>
      <c r="AT59" s="420"/>
      <c r="AU59" s="421"/>
    </row>
    <row r="60" spans="1:47" ht="17.100000000000001" customHeight="1" x14ac:dyDescent="0.15">
      <c r="G60" s="58">
        <v>2</v>
      </c>
      <c r="H60" s="58">
        <f>IF(G60&lt;=中間シート!$G$60,1,0)</f>
        <v>0</v>
      </c>
      <c r="J60" s="412" t="s">
        <v>273</v>
      </c>
      <c r="K60" s="412"/>
      <c r="L60" s="412"/>
      <c r="M60" s="412"/>
      <c r="N60" s="425" t="str">
        <f>IF(H60=1,中間シート!G71,"")</f>
        <v/>
      </c>
      <c r="O60" s="425"/>
      <c r="P60" s="425"/>
      <c r="Q60" s="425"/>
      <c r="R60" s="425"/>
      <c r="S60" s="425" t="str">
        <f>IF(H60=1,中間シート!G73,"")</f>
        <v/>
      </c>
      <c r="T60" s="425"/>
      <c r="U60" s="425"/>
      <c r="V60" s="425"/>
      <c r="W60" s="425"/>
      <c r="X60" s="425"/>
      <c r="Y60" s="425"/>
      <c r="Z60" s="425"/>
      <c r="AA60" s="425"/>
      <c r="AB60" s="425"/>
      <c r="AC60" s="141" t="s">
        <v>272</v>
      </c>
      <c r="AD60" s="449" t="str">
        <f>IF(H60=1,IF(AND(中間シート!G74&lt;&gt;"",中間シート!H74&lt;&gt;""),中間シート!G74&amp;"-"&amp;中間シート!H74,""),"")</f>
        <v/>
      </c>
      <c r="AE60" s="449"/>
      <c r="AF60" s="449"/>
      <c r="AG60" s="420" t="str">
        <f>IF(H60=1,中間シート!G75&amp;中間シート!G76&amp;中間シート!G77&amp;中間シート!G78,"")</f>
        <v/>
      </c>
      <c r="AH60" s="420"/>
      <c r="AI60" s="420"/>
      <c r="AJ60" s="420"/>
      <c r="AK60" s="420"/>
      <c r="AL60" s="420"/>
      <c r="AM60" s="420"/>
      <c r="AN60" s="420"/>
      <c r="AO60" s="420"/>
      <c r="AP60" s="420"/>
      <c r="AQ60" s="420"/>
      <c r="AR60" s="420"/>
      <c r="AS60" s="420"/>
      <c r="AT60" s="420"/>
      <c r="AU60" s="421"/>
    </row>
    <row r="62" spans="1:47" x14ac:dyDescent="0.15">
      <c r="J62" s="65" t="s">
        <v>274</v>
      </c>
    </row>
    <row r="63" spans="1:47" ht="16.5" customHeight="1" x14ac:dyDescent="0.15">
      <c r="A63" s="58" t="s">
        <v>275</v>
      </c>
      <c r="B63" s="58" t="s">
        <v>276</v>
      </c>
      <c r="C63" s="58" t="s">
        <v>277</v>
      </c>
      <c r="D63" s="58" t="s">
        <v>278</v>
      </c>
      <c r="E63" s="58">
        <v>1</v>
      </c>
      <c r="F63" s="58">
        <v>2</v>
      </c>
      <c r="G63" s="58">
        <v>3</v>
      </c>
      <c r="H63" s="58">
        <v>4</v>
      </c>
      <c r="J63" s="412" t="s">
        <v>279</v>
      </c>
      <c r="K63" s="412"/>
      <c r="L63" s="412"/>
      <c r="M63" s="412"/>
      <c r="N63" s="412" t="s">
        <v>280</v>
      </c>
      <c r="O63" s="412"/>
      <c r="P63" s="412"/>
      <c r="Q63" s="412"/>
      <c r="R63" s="412"/>
      <c r="S63" s="412"/>
      <c r="T63" s="412"/>
      <c r="U63" s="412"/>
      <c r="V63" s="412"/>
      <c r="W63" s="412" t="s">
        <v>281</v>
      </c>
      <c r="X63" s="412"/>
      <c r="Y63" s="412"/>
      <c r="Z63" s="412"/>
      <c r="AA63" s="412"/>
      <c r="AB63" s="412"/>
      <c r="AC63" s="412"/>
      <c r="AD63" s="412"/>
      <c r="AE63" s="412"/>
      <c r="AF63" s="412" t="s">
        <v>282</v>
      </c>
      <c r="AG63" s="412"/>
      <c r="AH63" s="412"/>
      <c r="AI63" s="412"/>
      <c r="AJ63" s="412"/>
      <c r="AK63" s="412"/>
      <c r="AL63" s="412"/>
      <c r="AM63" s="412"/>
      <c r="AN63" s="412" t="s">
        <v>283</v>
      </c>
      <c r="AO63" s="412"/>
      <c r="AP63" s="412"/>
      <c r="AQ63" s="412"/>
      <c r="AR63" s="412"/>
      <c r="AS63" s="412"/>
      <c r="AT63" s="412"/>
      <c r="AU63" s="412"/>
    </row>
    <row r="64" spans="1:47" ht="16.5" customHeight="1" x14ac:dyDescent="0.15">
      <c r="A64" s="58">
        <f>中間シート!AI514</f>
        <v>9999</v>
      </c>
      <c r="B64" s="58" t="str">
        <f>中間シート!AK514</f>
        <v>事業場99</v>
      </c>
      <c r="C64" s="58" t="e">
        <f>中間シート!AJ514</f>
        <v>#N/A</v>
      </c>
      <c r="D64" s="58" t="str">
        <f>VLOOKUP($A64,中間シート!$D$514:$K$663,4)</f>
        <v/>
      </c>
      <c r="E64" s="58" t="str">
        <f>VLOOKUP($A64,中間シート!$D$514:$K$663,5)</f>
        <v/>
      </c>
      <c r="F64" s="58" t="str">
        <f>VLOOKUP($A64,中間シート!$D$514:$K$663,6)</f>
        <v/>
      </c>
      <c r="G64" s="58" t="str">
        <f>VLOOKUP($A64,中間シート!$D$514:$K$663,7)</f>
        <v/>
      </c>
      <c r="H64" s="58" t="str">
        <f>VLOOKUP($A64,中間シート!$D$514:$K$663,8)</f>
        <v/>
      </c>
      <c r="J64" s="412" t="s">
        <v>271</v>
      </c>
      <c r="K64" s="412"/>
      <c r="L64" s="412"/>
      <c r="M64" s="412"/>
      <c r="N64" s="422" t="str">
        <f>IF($A64&lt;&gt;9999,IF($C64=2,VLOOKUP($A64,中間シート!$D$514:$T$663,14,FALSE),VLOOKUP($A64,中間シート!$D$514:$T$663,9,FALSE)),"")</f>
        <v/>
      </c>
      <c r="O64" s="423"/>
      <c r="P64" s="423"/>
      <c r="Q64" s="423"/>
      <c r="R64" s="423"/>
      <c r="S64" s="423"/>
      <c r="T64" s="424"/>
      <c r="U64" s="422" t="str">
        <f>IF($A64&lt;&gt;9999,IF($C64=2,"",E64),"")</f>
        <v/>
      </c>
      <c r="V64" s="424"/>
      <c r="W64" s="422" t="str">
        <f>IF($A64&lt;&gt;9999,IF($C64=2,VLOOKUP($A64,中間シート!$D$514:$T$663,15,FALSE),VLOOKUP($A64,中間シート!$D$514:$T$663,10,FALSE)),"")</f>
        <v/>
      </c>
      <c r="X64" s="423"/>
      <c r="Y64" s="423"/>
      <c r="Z64" s="423"/>
      <c r="AA64" s="423"/>
      <c r="AB64" s="423"/>
      <c r="AC64" s="424"/>
      <c r="AD64" s="422" t="str">
        <f>IF($A64&lt;&gt;9999,IF($C64=2,"",F64),"")</f>
        <v/>
      </c>
      <c r="AE64" s="424"/>
      <c r="AF64" s="422" t="str">
        <f>IF($A64&lt;&gt;9999,IF($C64=2,VLOOKUP($A64,中間シート!$D$514:$T$663,16,FALSE),VLOOKUP($A64,中間シート!$D$514:$T$663,11,FALSE)),"")</f>
        <v/>
      </c>
      <c r="AG64" s="423"/>
      <c r="AH64" s="423"/>
      <c r="AI64" s="423"/>
      <c r="AJ64" s="423"/>
      <c r="AK64" s="424"/>
      <c r="AL64" s="422" t="str">
        <f>IF($A64&lt;&gt;9999,IF($C64=2,"",G64),"")</f>
        <v/>
      </c>
      <c r="AM64" s="424"/>
      <c r="AN64" s="422" t="str">
        <f>IF($A64&lt;&gt;9999,IF($C64=2,VLOOKUP($A64,中間シート!$D$514:$T$663,17,FALSE),VLOOKUP($A64,中間シート!$D$514:$T$663,12,FALSE)),"")</f>
        <v/>
      </c>
      <c r="AO64" s="423"/>
      <c r="AP64" s="423"/>
      <c r="AQ64" s="423"/>
      <c r="AR64" s="423"/>
      <c r="AS64" s="424"/>
      <c r="AT64" s="422" t="str">
        <f>IF($A64&lt;&gt;9999,IF($C64=2,"",H64),"")</f>
        <v/>
      </c>
      <c r="AU64" s="424"/>
    </row>
    <row r="65" spans="1:47" ht="16.5" customHeight="1" x14ac:dyDescent="0.15">
      <c r="A65" s="58">
        <f>中間シート!AI515</f>
        <v>9999</v>
      </c>
      <c r="B65" s="58" t="str">
        <f>中間シート!AK515</f>
        <v>事業場99</v>
      </c>
      <c r="C65" s="58" t="e">
        <f>中間シート!AJ515</f>
        <v>#N/A</v>
      </c>
      <c r="D65" s="58" t="str">
        <f>VLOOKUP($A65,中間シート!$D$514:$K$663,4)</f>
        <v/>
      </c>
      <c r="E65" s="58" t="str">
        <f>VLOOKUP($A65,中間シート!$D$514:$K$663,5)</f>
        <v/>
      </c>
      <c r="F65" s="58" t="str">
        <f>VLOOKUP($A65,中間シート!$D$514:$K$663,6)</f>
        <v/>
      </c>
      <c r="G65" s="58" t="str">
        <f>VLOOKUP($A65,中間シート!$D$514:$K$663,7)</f>
        <v/>
      </c>
      <c r="H65" s="58" t="str">
        <f>VLOOKUP($A65,中間シート!$D$514:$K$663,8)</f>
        <v/>
      </c>
      <c r="J65" s="412" t="str">
        <f>IF(B65&lt;&gt;"事業場2","事業場2",B65)</f>
        <v>事業場2</v>
      </c>
      <c r="K65" s="412"/>
      <c r="L65" s="412"/>
      <c r="M65" s="412"/>
      <c r="N65" s="422" t="str">
        <f>IF($A65&lt;&gt;9999,IF($C65=2,VLOOKUP($A65,中間シート!$D$514:$T$663,14,FALSE),VLOOKUP($A65,中間シート!$D$514:$T$663,9,FALSE)),"")</f>
        <v/>
      </c>
      <c r="O65" s="423"/>
      <c r="P65" s="423"/>
      <c r="Q65" s="423"/>
      <c r="R65" s="423"/>
      <c r="S65" s="423"/>
      <c r="T65" s="424"/>
      <c r="U65" s="422" t="str">
        <f>IF($A65&lt;&gt;9999,IF($C65=2,"",E65),"")</f>
        <v/>
      </c>
      <c r="V65" s="424"/>
      <c r="W65" s="422" t="str">
        <f>IF($A65&lt;&gt;9999,IF($C65=2,VLOOKUP($A65,中間シート!$D$514:$T$663,15,FALSE),VLOOKUP($A65,中間シート!$D$514:$T$663,10,FALSE)),"")</f>
        <v/>
      </c>
      <c r="X65" s="423"/>
      <c r="Y65" s="423"/>
      <c r="Z65" s="423"/>
      <c r="AA65" s="423"/>
      <c r="AB65" s="423"/>
      <c r="AC65" s="424"/>
      <c r="AD65" s="422" t="str">
        <f>IF($A65&lt;&gt;9999,IF($C65=2,"",F65),"")</f>
        <v/>
      </c>
      <c r="AE65" s="424"/>
      <c r="AF65" s="422" t="str">
        <f>IF($A65&lt;&gt;9999,IF($C65=2,VLOOKUP($A65,中間シート!$D$514:$T$663,16,FALSE),VLOOKUP($A65,中間シート!$D$514:$T$663,11,FALSE)),"")</f>
        <v/>
      </c>
      <c r="AG65" s="423"/>
      <c r="AH65" s="423"/>
      <c r="AI65" s="423"/>
      <c r="AJ65" s="423"/>
      <c r="AK65" s="424"/>
      <c r="AL65" s="422" t="str">
        <f>IF($A65&lt;&gt;9999,IF($C65=2,"",G65),"")</f>
        <v/>
      </c>
      <c r="AM65" s="424"/>
      <c r="AN65" s="422" t="str">
        <f>IF($A65&lt;&gt;9999,IF($C65=2,VLOOKUP($A65,中間シート!$D$514:$T$663,17,FALSE),VLOOKUP($A65,中間シート!$D$514:$T$663,12,FALSE)),"")</f>
        <v/>
      </c>
      <c r="AO65" s="423"/>
      <c r="AP65" s="423"/>
      <c r="AQ65" s="423"/>
      <c r="AR65" s="423"/>
      <c r="AS65" s="424"/>
      <c r="AT65" s="422" t="str">
        <f>IF($A65&lt;&gt;9999,IF($C65=2,"",H65),"")</f>
        <v/>
      </c>
      <c r="AU65" s="424"/>
    </row>
    <row r="66" spans="1:47" x14ac:dyDescent="0.15">
      <c r="J66" s="140" t="s">
        <v>284</v>
      </c>
      <c r="K66" s="140"/>
      <c r="L66" s="410" t="s">
        <v>285</v>
      </c>
      <c r="M66" s="410"/>
      <c r="N66" s="410"/>
      <c r="O66" s="410"/>
      <c r="P66" s="410"/>
      <c r="Q66" s="410"/>
      <c r="R66" s="410"/>
      <c r="S66" s="410"/>
      <c r="T66" s="410"/>
      <c r="U66" s="410"/>
      <c r="V66" s="410"/>
      <c r="W66" s="410"/>
      <c r="X66" s="410"/>
      <c r="Y66" s="410"/>
      <c r="Z66" s="410"/>
      <c r="AA66" s="410"/>
      <c r="AB66" s="410"/>
      <c r="AC66" s="410"/>
      <c r="AD66" s="410"/>
      <c r="AE66" s="410"/>
      <c r="AF66" s="410"/>
      <c r="AG66" s="410"/>
      <c r="AH66" s="410"/>
      <c r="AI66" s="410"/>
      <c r="AJ66" s="410"/>
      <c r="AK66" s="410"/>
      <c r="AL66" s="410"/>
      <c r="AM66" s="410"/>
      <c r="AN66" s="410"/>
      <c r="AO66" s="410"/>
      <c r="AP66" s="410"/>
      <c r="AQ66" s="410"/>
      <c r="AR66" s="410"/>
      <c r="AS66" s="410"/>
      <c r="AT66" s="410"/>
      <c r="AU66" s="410"/>
    </row>
    <row r="67" spans="1:47" x14ac:dyDescent="0.15">
      <c r="J67" s="140"/>
      <c r="K67" s="140"/>
      <c r="L67" s="410"/>
      <c r="M67" s="410"/>
      <c r="N67" s="410"/>
      <c r="O67" s="410"/>
      <c r="P67" s="410"/>
      <c r="Q67" s="410"/>
      <c r="R67" s="410"/>
      <c r="S67" s="410"/>
      <c r="T67" s="410"/>
      <c r="U67" s="410"/>
      <c r="V67" s="410"/>
      <c r="W67" s="410"/>
      <c r="X67" s="410"/>
      <c r="Y67" s="410"/>
      <c r="Z67" s="410"/>
      <c r="AA67" s="410"/>
      <c r="AB67" s="410"/>
      <c r="AC67" s="410"/>
      <c r="AD67" s="410"/>
      <c r="AE67" s="410"/>
      <c r="AF67" s="410"/>
      <c r="AG67" s="410"/>
      <c r="AH67" s="410"/>
      <c r="AI67" s="410"/>
      <c r="AJ67" s="410"/>
      <c r="AK67" s="410"/>
      <c r="AL67" s="410"/>
      <c r="AM67" s="410"/>
      <c r="AN67" s="410"/>
      <c r="AO67" s="410"/>
      <c r="AP67" s="410"/>
      <c r="AQ67" s="410"/>
      <c r="AR67" s="410"/>
      <c r="AS67" s="410"/>
      <c r="AT67" s="410"/>
      <c r="AU67" s="410"/>
    </row>
    <row r="69" spans="1:47" x14ac:dyDescent="0.15">
      <c r="J69" s="65" t="s">
        <v>286</v>
      </c>
    </row>
    <row r="70" spans="1:47" ht="13.5" customHeight="1" x14ac:dyDescent="0.15">
      <c r="AU70" s="60" t="s">
        <v>287</v>
      </c>
    </row>
    <row r="71" spans="1:47" ht="30.75" customHeight="1" x14ac:dyDescent="0.15">
      <c r="J71" s="412" t="s">
        <v>288</v>
      </c>
      <c r="K71" s="412"/>
      <c r="L71" s="412"/>
      <c r="M71" s="412"/>
      <c r="N71" s="419" t="s">
        <v>86</v>
      </c>
      <c r="O71" s="412"/>
      <c r="P71" s="412"/>
      <c r="Q71" s="412"/>
      <c r="R71" s="412"/>
      <c r="S71" s="412"/>
      <c r="T71" s="412"/>
      <c r="U71" s="412"/>
      <c r="V71" s="412"/>
      <c r="W71" s="412" t="s">
        <v>289</v>
      </c>
      <c r="X71" s="412"/>
      <c r="Y71" s="412"/>
      <c r="Z71" s="412"/>
      <c r="AA71" s="412"/>
      <c r="AB71" s="412"/>
      <c r="AC71" s="412"/>
      <c r="AD71" s="412"/>
      <c r="AE71" s="412"/>
      <c r="AF71" s="427" t="s">
        <v>91</v>
      </c>
      <c r="AG71" s="428"/>
      <c r="AH71" s="428"/>
      <c r="AI71" s="428"/>
      <c r="AJ71" s="428"/>
      <c r="AK71" s="428"/>
      <c r="AL71" s="429"/>
      <c r="AM71" s="412" t="s">
        <v>92</v>
      </c>
      <c r="AN71" s="412"/>
      <c r="AO71" s="412"/>
      <c r="AP71" s="412"/>
      <c r="AQ71" s="412"/>
      <c r="AR71" s="412"/>
      <c r="AS71" s="412"/>
      <c r="AT71" s="412"/>
      <c r="AU71" s="412"/>
    </row>
    <row r="72" spans="1:47" ht="16.5" customHeight="1" x14ac:dyDescent="0.15">
      <c r="J72" s="412" t="s">
        <v>271</v>
      </c>
      <c r="K72" s="412"/>
      <c r="L72" s="412"/>
      <c r="M72" s="412"/>
      <c r="N72" s="426" t="str">
        <f>IF(中間シート!D820&lt;&gt;0,中間シート!D820,"")</f>
        <v/>
      </c>
      <c r="O72" s="426"/>
      <c r="P72" s="426"/>
      <c r="Q72" s="426"/>
      <c r="R72" s="426"/>
      <c r="S72" s="426"/>
      <c r="T72" s="426"/>
      <c r="U72" s="426"/>
      <c r="V72" s="426"/>
      <c r="W72" s="426" t="str">
        <f>IF(中間シート!G820&lt;&gt;0,中間シート!G820,"")</f>
        <v/>
      </c>
      <c r="X72" s="426"/>
      <c r="Y72" s="426"/>
      <c r="Z72" s="426"/>
      <c r="AA72" s="426"/>
      <c r="AB72" s="426"/>
      <c r="AC72" s="426"/>
      <c r="AD72" s="426"/>
      <c r="AE72" s="426"/>
      <c r="AF72" s="427" t="s">
        <v>290</v>
      </c>
      <c r="AG72" s="428"/>
      <c r="AH72" s="428"/>
      <c r="AI72" s="428"/>
      <c r="AJ72" s="428"/>
      <c r="AK72" s="428"/>
      <c r="AL72" s="429"/>
      <c r="AM72" s="426" t="str">
        <f>IF(中間シート!H820&lt;&gt;0,中間シート!H820,"")</f>
        <v/>
      </c>
      <c r="AN72" s="426"/>
      <c r="AO72" s="426"/>
      <c r="AP72" s="426"/>
      <c r="AQ72" s="426"/>
      <c r="AR72" s="426"/>
      <c r="AS72" s="426"/>
      <c r="AT72" s="426"/>
      <c r="AU72" s="426"/>
    </row>
    <row r="73" spans="1:47" ht="16.5" customHeight="1" x14ac:dyDescent="0.15">
      <c r="J73" s="412" t="s">
        <v>273</v>
      </c>
      <c r="K73" s="412"/>
      <c r="L73" s="412"/>
      <c r="M73" s="412"/>
      <c r="N73" s="426" t="str">
        <f>IF(中間シート!D821&lt;&gt;0,中間シート!D821,"")</f>
        <v/>
      </c>
      <c r="O73" s="426"/>
      <c r="P73" s="426"/>
      <c r="Q73" s="426"/>
      <c r="R73" s="426"/>
      <c r="S73" s="426"/>
      <c r="T73" s="426"/>
      <c r="U73" s="426"/>
      <c r="V73" s="426"/>
      <c r="W73" s="426" t="str">
        <f>IF(中間シート!G821&lt;&gt;0,中間シート!G821,"")</f>
        <v/>
      </c>
      <c r="X73" s="426"/>
      <c r="Y73" s="426"/>
      <c r="Z73" s="426"/>
      <c r="AA73" s="426"/>
      <c r="AB73" s="426"/>
      <c r="AC73" s="426"/>
      <c r="AD73" s="426"/>
      <c r="AE73" s="426"/>
      <c r="AF73" s="427" t="s">
        <v>290</v>
      </c>
      <c r="AG73" s="428"/>
      <c r="AH73" s="428"/>
      <c r="AI73" s="428"/>
      <c r="AJ73" s="428"/>
      <c r="AK73" s="428"/>
      <c r="AL73" s="429"/>
      <c r="AM73" s="426" t="str">
        <f>IF(中間シート!H821&lt;&gt;0,中間シート!H821,"")</f>
        <v/>
      </c>
      <c r="AN73" s="426"/>
      <c r="AO73" s="426"/>
      <c r="AP73" s="426"/>
      <c r="AQ73" s="426"/>
      <c r="AR73" s="426"/>
      <c r="AS73" s="426"/>
      <c r="AT73" s="426"/>
      <c r="AU73" s="426"/>
    </row>
    <row r="74" spans="1:47" ht="16.5" customHeight="1" x14ac:dyDescent="0.15">
      <c r="J74" s="412" t="s">
        <v>291</v>
      </c>
      <c r="K74" s="412"/>
      <c r="L74" s="412"/>
      <c r="M74" s="412"/>
      <c r="N74" s="426" t="str">
        <f>IF(N72&lt;&gt;"",SUM(N72:V73),"")</f>
        <v/>
      </c>
      <c r="O74" s="426"/>
      <c r="P74" s="426"/>
      <c r="Q74" s="426"/>
      <c r="R74" s="426"/>
      <c r="S74" s="426"/>
      <c r="T74" s="426"/>
      <c r="U74" s="426"/>
      <c r="V74" s="426"/>
      <c r="W74" s="426" t="str">
        <f>IF(W72&lt;&gt;"",SUM(W72:AE73),"")</f>
        <v/>
      </c>
      <c r="X74" s="426"/>
      <c r="Y74" s="426"/>
      <c r="Z74" s="426"/>
      <c r="AA74" s="426"/>
      <c r="AB74" s="426"/>
      <c r="AC74" s="426"/>
      <c r="AD74" s="426"/>
      <c r="AE74" s="426"/>
      <c r="AF74" s="427"/>
      <c r="AG74" s="428"/>
      <c r="AH74" s="428"/>
      <c r="AI74" s="428"/>
      <c r="AJ74" s="428"/>
      <c r="AK74" s="428"/>
      <c r="AL74" s="429"/>
      <c r="AM74" s="426" t="str">
        <f>IF(AM72&lt;&gt;"",SUM(AM72:AU73),"")</f>
        <v/>
      </c>
      <c r="AN74" s="426"/>
      <c r="AO74" s="426"/>
      <c r="AP74" s="426"/>
      <c r="AQ74" s="426"/>
      <c r="AR74" s="426"/>
      <c r="AS74" s="426"/>
      <c r="AT74" s="426"/>
      <c r="AU74" s="426"/>
    </row>
    <row r="75" spans="1:47" x14ac:dyDescent="0.15">
      <c r="J75" s="140" t="s">
        <v>292</v>
      </c>
      <c r="K75" s="140"/>
      <c r="L75" s="140"/>
    </row>
    <row r="76" spans="1:47" x14ac:dyDescent="0.15">
      <c r="J76" s="143" t="s">
        <v>293</v>
      </c>
      <c r="K76" s="140"/>
      <c r="L76" s="140" t="s">
        <v>294</v>
      </c>
    </row>
    <row r="77" spans="1:47" x14ac:dyDescent="0.15">
      <c r="J77" s="143" t="s">
        <v>258</v>
      </c>
      <c r="K77" s="140"/>
      <c r="L77" s="140" t="s">
        <v>295</v>
      </c>
    </row>
    <row r="78" spans="1:47" x14ac:dyDescent="0.15">
      <c r="L78" s="140" t="s">
        <v>296</v>
      </c>
    </row>
    <row r="79" spans="1:47" x14ac:dyDescent="0.15">
      <c r="J79" s="143" t="s">
        <v>260</v>
      </c>
      <c r="K79" s="140"/>
      <c r="L79" s="140" t="s">
        <v>297</v>
      </c>
    </row>
    <row r="80" spans="1:47" x14ac:dyDescent="0.15">
      <c r="K80" s="140"/>
      <c r="L80" s="140" t="s">
        <v>298</v>
      </c>
    </row>
    <row r="82" spans="10:47" x14ac:dyDescent="0.15">
      <c r="J82" s="58" t="s">
        <v>299</v>
      </c>
    </row>
    <row r="83" spans="10:47" ht="16.5" customHeight="1" x14ac:dyDescent="0.15">
      <c r="J83" s="427" t="s">
        <v>300</v>
      </c>
      <c r="K83" s="428"/>
      <c r="L83" s="428"/>
      <c r="M83" s="428"/>
      <c r="N83" s="428"/>
      <c r="O83" s="428"/>
      <c r="P83" s="428"/>
      <c r="Q83" s="428"/>
      <c r="R83" s="428"/>
      <c r="S83" s="428"/>
      <c r="T83" s="428"/>
      <c r="U83" s="429"/>
      <c r="V83" s="412" t="s">
        <v>301</v>
      </c>
      <c r="W83" s="412"/>
      <c r="X83" s="412"/>
      <c r="Y83" s="412"/>
      <c r="Z83" s="412"/>
      <c r="AA83" s="412"/>
      <c r="AB83" s="412"/>
      <c r="AC83" s="412"/>
      <c r="AD83" s="412"/>
      <c r="AE83" s="412"/>
      <c r="AF83" s="412" t="s">
        <v>302</v>
      </c>
      <c r="AG83" s="412"/>
      <c r="AH83" s="412"/>
      <c r="AI83" s="412"/>
      <c r="AJ83" s="412"/>
      <c r="AK83" s="412"/>
      <c r="AL83" s="412"/>
      <c r="AM83" s="412"/>
      <c r="AN83" s="412"/>
      <c r="AO83" s="412"/>
      <c r="AP83" s="412"/>
      <c r="AQ83" s="412"/>
      <c r="AR83" s="412"/>
      <c r="AS83" s="412"/>
      <c r="AT83" s="412"/>
      <c r="AU83" s="412"/>
    </row>
    <row r="84" spans="10:47" ht="16.5" customHeight="1" x14ac:dyDescent="0.15">
      <c r="J84" s="430" t="str">
        <f>中間シート!F21&amp;" "&amp;中間シート!F22</f>
        <v xml:space="preserve"> </v>
      </c>
      <c r="K84" s="431"/>
      <c r="L84" s="431"/>
      <c r="M84" s="431"/>
      <c r="N84" s="431"/>
      <c r="O84" s="431"/>
      <c r="P84" s="431"/>
      <c r="Q84" s="431"/>
      <c r="R84" s="431"/>
      <c r="S84" s="431"/>
      <c r="T84" s="431"/>
      <c r="U84" s="432"/>
      <c r="V84" s="425" t="str">
        <f>中間シート!F23&amp;" "&amp;中間シート!F24</f>
        <v xml:space="preserve"> </v>
      </c>
      <c r="W84" s="425"/>
      <c r="X84" s="425"/>
      <c r="Y84" s="425"/>
      <c r="Z84" s="425"/>
      <c r="AA84" s="425"/>
      <c r="AB84" s="425"/>
      <c r="AC84" s="425"/>
      <c r="AD84" s="425"/>
      <c r="AE84" s="425"/>
      <c r="AF84" s="407" t="s">
        <v>303</v>
      </c>
      <c r="AG84" s="408"/>
      <c r="AH84" s="408"/>
      <c r="AI84" s="408"/>
      <c r="AJ84" s="441" t="str">
        <f>IF(中間シート!F25&amp;中間シート!G25&amp;中間シート!H25&lt;&gt;"",中間シート!F25&amp;"-"&amp;中間シート!G25&amp;"-"&amp;中間シート!H25,"")</f>
        <v/>
      </c>
      <c r="AK84" s="441"/>
      <c r="AL84" s="441"/>
      <c r="AM84" s="441"/>
      <c r="AN84" s="441"/>
      <c r="AO84" s="441"/>
      <c r="AP84" s="441"/>
      <c r="AQ84" s="441"/>
      <c r="AR84" s="441"/>
      <c r="AS84" s="441"/>
      <c r="AT84" s="441"/>
      <c r="AU84" s="442"/>
    </row>
    <row r="85" spans="10:47" ht="16.5" hidden="1" customHeight="1" x14ac:dyDescent="0.15">
      <c r="J85" s="433"/>
      <c r="K85" s="434"/>
      <c r="L85" s="434"/>
      <c r="M85" s="434"/>
      <c r="N85" s="434"/>
      <c r="O85" s="434"/>
      <c r="P85" s="434"/>
      <c r="Q85" s="434"/>
      <c r="R85" s="434"/>
      <c r="S85" s="434"/>
      <c r="T85" s="434"/>
      <c r="U85" s="435"/>
      <c r="V85" s="425"/>
      <c r="W85" s="425"/>
      <c r="X85" s="425"/>
      <c r="Y85" s="425"/>
      <c r="Z85" s="425"/>
      <c r="AA85" s="425"/>
      <c r="AB85" s="425"/>
      <c r="AC85" s="425"/>
      <c r="AD85" s="425"/>
      <c r="AE85" s="425"/>
      <c r="AF85" s="405" t="s">
        <v>304</v>
      </c>
      <c r="AG85" s="406"/>
      <c r="AH85" s="406"/>
      <c r="AI85" s="406"/>
      <c r="AJ85" s="443" t="str">
        <f>IF(中間シート!F26&amp;中間シート!G26&amp;中間シート!H26&lt;&gt;"",中間シート!F26&amp;"-"&amp;中間シート!G26&amp;"-"&amp;中間シート!H26,"")</f>
        <v>01-2345-6789</v>
      </c>
      <c r="AK85" s="443"/>
      <c r="AL85" s="443"/>
      <c r="AM85" s="443"/>
      <c r="AN85" s="443"/>
      <c r="AO85" s="443"/>
      <c r="AP85" s="443"/>
      <c r="AQ85" s="443"/>
      <c r="AR85" s="443"/>
      <c r="AS85" s="443"/>
      <c r="AT85" s="443"/>
      <c r="AU85" s="444"/>
    </row>
    <row r="86" spans="10:47" ht="33" customHeight="1" x14ac:dyDescent="0.15">
      <c r="J86" s="436"/>
      <c r="K86" s="437"/>
      <c r="L86" s="437"/>
      <c r="M86" s="437"/>
      <c r="N86" s="437"/>
      <c r="O86" s="437"/>
      <c r="P86" s="437"/>
      <c r="Q86" s="437"/>
      <c r="R86" s="437"/>
      <c r="S86" s="437"/>
      <c r="T86" s="437"/>
      <c r="U86" s="438"/>
      <c r="V86" s="425"/>
      <c r="W86" s="425"/>
      <c r="X86" s="425"/>
      <c r="Y86" s="425"/>
      <c r="Z86" s="425"/>
      <c r="AA86" s="425"/>
      <c r="AB86" s="425"/>
      <c r="AC86" s="425"/>
      <c r="AD86" s="425"/>
      <c r="AE86" s="425"/>
      <c r="AF86" s="403" t="s">
        <v>305</v>
      </c>
      <c r="AG86" s="404"/>
      <c r="AH86" s="404"/>
      <c r="AI86" s="404"/>
      <c r="AJ86" s="439" t="str">
        <f>IF(中間シート!F27&amp;中間シート!G27&lt;&gt;"",中間シート!F27&amp;"@"&amp;中間シート!G27,"")</f>
        <v/>
      </c>
      <c r="AK86" s="439"/>
      <c r="AL86" s="439"/>
      <c r="AM86" s="439"/>
      <c r="AN86" s="439"/>
      <c r="AO86" s="439"/>
      <c r="AP86" s="439"/>
      <c r="AQ86" s="439"/>
      <c r="AR86" s="439"/>
      <c r="AS86" s="439"/>
      <c r="AT86" s="439"/>
      <c r="AU86" s="440"/>
    </row>
    <row r="87" spans="10:47" hidden="1" x14ac:dyDescent="0.15"/>
    <row r="88" spans="10:47" hidden="1" x14ac:dyDescent="0.15">
      <c r="J88" s="58" t="s">
        <v>306</v>
      </c>
    </row>
    <row r="89" spans="10:47" ht="16.5" hidden="1" customHeight="1" x14ac:dyDescent="0.15">
      <c r="J89" s="427" t="s">
        <v>307</v>
      </c>
      <c r="K89" s="428"/>
      <c r="L89" s="428"/>
      <c r="M89" s="428"/>
      <c r="N89" s="428"/>
      <c r="O89" s="428"/>
      <c r="P89" s="428"/>
      <c r="Q89" s="428"/>
      <c r="R89" s="428"/>
      <c r="S89" s="428"/>
      <c r="T89" s="428"/>
      <c r="U89" s="428"/>
      <c r="V89" s="428"/>
      <c r="W89" s="428"/>
      <c r="X89" s="428"/>
      <c r="Y89" s="428"/>
      <c r="Z89" s="428"/>
      <c r="AA89" s="428"/>
      <c r="AB89" s="428"/>
      <c r="AC89" s="428"/>
      <c r="AD89" s="428"/>
      <c r="AE89" s="428"/>
      <c r="AF89" s="428"/>
      <c r="AG89" s="428"/>
      <c r="AH89" s="428"/>
      <c r="AI89" s="428"/>
      <c r="AJ89" s="428"/>
      <c r="AK89" s="428"/>
      <c r="AL89" s="428"/>
      <c r="AM89" s="428"/>
      <c r="AN89" s="428"/>
      <c r="AO89" s="428"/>
      <c r="AP89" s="428"/>
      <c r="AQ89" s="428"/>
      <c r="AR89" s="428"/>
      <c r="AS89" s="428"/>
      <c r="AT89" s="428"/>
      <c r="AU89" s="429"/>
    </row>
    <row r="90" spans="10:47" ht="16.5" hidden="1" customHeight="1" x14ac:dyDescent="0.15">
      <c r="J90" s="144" t="s">
        <v>308</v>
      </c>
      <c r="K90" s="434" t="str">
        <f>IF(AND(中間シート!F29&lt;&gt;"",中間シート!G29&lt;&gt;""),中間シート!F29&amp;"-"&amp;中間シート!G29,"")</f>
        <v>999-8889</v>
      </c>
      <c r="L90" s="434"/>
      <c r="M90" s="434"/>
      <c r="N90" s="434"/>
      <c r="O90" s="434"/>
      <c r="P90" s="434" t="str">
        <f>中間シート!F30&amp;中間シート!F31&amp;中間シート!F32&amp;中間シート!F33</f>
        <v>神奈川県ｄ００７ＵＵＵｓｏｕｈｕｄ００８ＵＵＵｓｏｕｈｕｄ００９ＵＵＵｓｏｕｈｕ</v>
      </c>
      <c r="Q90" s="434"/>
      <c r="R90" s="434"/>
      <c r="S90" s="434"/>
      <c r="T90" s="434"/>
      <c r="U90" s="434"/>
      <c r="V90" s="434"/>
      <c r="W90" s="434"/>
      <c r="X90" s="434"/>
      <c r="Y90" s="434"/>
      <c r="Z90" s="434"/>
      <c r="AA90" s="434"/>
      <c r="AB90" s="434"/>
      <c r="AC90" s="434"/>
      <c r="AD90" s="434"/>
      <c r="AE90" s="434"/>
      <c r="AF90" s="434"/>
      <c r="AG90" s="434"/>
      <c r="AH90" s="434"/>
      <c r="AI90" s="434"/>
      <c r="AJ90" s="434"/>
      <c r="AK90" s="434"/>
      <c r="AL90" s="434"/>
      <c r="AM90" s="434"/>
      <c r="AN90" s="434"/>
      <c r="AO90" s="434"/>
      <c r="AP90" s="434"/>
      <c r="AQ90" s="434"/>
      <c r="AR90" s="434"/>
      <c r="AS90" s="434"/>
      <c r="AT90" s="434"/>
      <c r="AU90" s="435"/>
    </row>
    <row r="91" spans="10:47" ht="16.5" hidden="1" customHeight="1" x14ac:dyDescent="0.15">
      <c r="J91" s="145" t="s">
        <v>309</v>
      </c>
      <c r="K91" s="146"/>
      <c r="L91" s="146"/>
      <c r="M91" s="146"/>
      <c r="N91" s="146"/>
      <c r="O91" s="146"/>
      <c r="P91" s="437"/>
      <c r="Q91" s="437"/>
      <c r="R91" s="437"/>
      <c r="S91" s="437"/>
      <c r="T91" s="437"/>
      <c r="U91" s="437"/>
      <c r="V91" s="437"/>
      <c r="W91" s="437"/>
      <c r="X91" s="437"/>
      <c r="Y91" s="437"/>
      <c r="Z91" s="437"/>
      <c r="AA91" s="437"/>
      <c r="AB91" s="437"/>
      <c r="AC91" s="437"/>
      <c r="AD91" s="437"/>
      <c r="AE91" s="437"/>
      <c r="AF91" s="437"/>
      <c r="AG91" s="437"/>
      <c r="AH91" s="437"/>
      <c r="AI91" s="437"/>
      <c r="AJ91" s="437"/>
      <c r="AK91" s="437"/>
      <c r="AL91" s="437"/>
      <c r="AM91" s="437"/>
      <c r="AN91" s="437"/>
      <c r="AO91" s="437"/>
      <c r="AP91" s="437"/>
      <c r="AQ91" s="437"/>
      <c r="AR91" s="437"/>
      <c r="AS91" s="437"/>
      <c r="AT91" s="437"/>
      <c r="AU91" s="438"/>
    </row>
    <row r="92" spans="10:47" ht="16.5" hidden="1" customHeight="1" x14ac:dyDescent="0.15">
      <c r="J92" s="412" t="s">
        <v>129</v>
      </c>
      <c r="K92" s="412"/>
      <c r="L92" s="412"/>
      <c r="M92" s="412"/>
      <c r="N92" s="412"/>
      <c r="O92" s="412"/>
      <c r="P92" s="412"/>
      <c r="Q92" s="412"/>
      <c r="R92" s="412"/>
      <c r="S92" s="412"/>
      <c r="T92" s="412" t="s">
        <v>300</v>
      </c>
      <c r="U92" s="412"/>
      <c r="V92" s="412"/>
      <c r="W92" s="412"/>
      <c r="X92" s="412"/>
      <c r="Y92" s="412"/>
      <c r="Z92" s="412"/>
      <c r="AA92" s="412"/>
      <c r="AB92" s="412"/>
      <c r="AC92" s="412"/>
      <c r="AD92" s="412"/>
      <c r="AE92" s="412"/>
      <c r="AF92" s="412"/>
      <c r="AG92" s="412"/>
      <c r="AH92" s="412"/>
      <c r="AI92" s="412"/>
      <c r="AJ92" s="412" t="s">
        <v>301</v>
      </c>
      <c r="AK92" s="412"/>
      <c r="AL92" s="412"/>
      <c r="AM92" s="412"/>
      <c r="AN92" s="412"/>
      <c r="AO92" s="412"/>
      <c r="AP92" s="412"/>
      <c r="AQ92" s="412"/>
      <c r="AR92" s="412"/>
      <c r="AS92" s="412"/>
      <c r="AT92" s="412"/>
      <c r="AU92" s="412"/>
    </row>
    <row r="93" spans="10:47" ht="30" hidden="1" customHeight="1" x14ac:dyDescent="0.15">
      <c r="J93" s="425" t="str">
        <f>中間シート!F34</f>
        <v>ｄ０１０ＵＵＵｓｏｕｈｕ</v>
      </c>
      <c r="K93" s="425"/>
      <c r="L93" s="425"/>
      <c r="M93" s="425"/>
      <c r="N93" s="425"/>
      <c r="O93" s="425"/>
      <c r="P93" s="425"/>
      <c r="Q93" s="425"/>
      <c r="R93" s="425"/>
      <c r="S93" s="425"/>
      <c r="T93" s="425" t="str">
        <f>中間シート!F36&amp;" "&amp;中間シート!F37</f>
        <v>送付先部署 送付先役職</v>
      </c>
      <c r="U93" s="425"/>
      <c r="V93" s="425"/>
      <c r="W93" s="425"/>
      <c r="X93" s="425"/>
      <c r="Y93" s="425"/>
      <c r="Z93" s="425"/>
      <c r="AA93" s="425"/>
      <c r="AB93" s="425"/>
      <c r="AC93" s="425"/>
      <c r="AD93" s="425"/>
      <c r="AE93" s="425"/>
      <c r="AF93" s="425"/>
      <c r="AG93" s="425"/>
      <c r="AH93" s="425"/>
      <c r="AI93" s="425"/>
      <c r="AJ93" s="425" t="str">
        <f>中間シート!F38&amp;" "&amp;中間シート!F39</f>
        <v>送付先姓 送付先名</v>
      </c>
      <c r="AK93" s="425"/>
      <c r="AL93" s="425"/>
      <c r="AM93" s="425"/>
      <c r="AN93" s="425"/>
      <c r="AO93" s="425"/>
      <c r="AP93" s="425"/>
      <c r="AQ93" s="425"/>
      <c r="AR93" s="425"/>
      <c r="AS93" s="425"/>
      <c r="AT93" s="425"/>
      <c r="AU93" s="425"/>
    </row>
    <row r="95" spans="10:47" x14ac:dyDescent="0.15">
      <c r="J95" s="58" t="s">
        <v>310</v>
      </c>
    </row>
    <row r="96" spans="10:47" ht="19.5" x14ac:dyDescent="0.15">
      <c r="AJ96" s="60" t="s">
        <v>226</v>
      </c>
      <c r="AK96" s="409" t="str">
        <f>IF(中間シート!F5&lt;&gt;0,4,"")</f>
        <v/>
      </c>
      <c r="AL96" s="409"/>
      <c r="AM96" s="409"/>
      <c r="AN96" s="59" t="s">
        <v>227</v>
      </c>
      <c r="AO96" s="415" t="str">
        <f>IF(中間シート!F5&lt;&gt;0,中間シート!F5,"")</f>
        <v/>
      </c>
      <c r="AP96" s="415"/>
      <c r="AQ96" s="58" t="s">
        <v>228</v>
      </c>
      <c r="AR96" s="416" t="str">
        <f>IF(中間シート!F5&lt;&gt;0,中間シート!F5,"")</f>
        <v/>
      </c>
      <c r="AS96" s="416"/>
      <c r="AT96" s="416"/>
      <c r="AU96" s="59" t="s">
        <v>229</v>
      </c>
    </row>
    <row r="97" spans="9:47" x14ac:dyDescent="0.15">
      <c r="J97" s="58" t="s">
        <v>311</v>
      </c>
    </row>
    <row r="99" spans="9:47" x14ac:dyDescent="0.15">
      <c r="J99" s="412" t="s">
        <v>312</v>
      </c>
      <c r="K99" s="412"/>
      <c r="L99" s="412"/>
      <c r="M99" s="412"/>
      <c r="N99" s="412"/>
      <c r="O99" s="412"/>
      <c r="P99" s="412"/>
      <c r="Q99" s="412"/>
      <c r="R99" s="412"/>
      <c r="S99" s="412"/>
      <c r="T99" s="412"/>
      <c r="U99" s="412"/>
      <c r="V99" s="412"/>
      <c r="W99" s="412"/>
      <c r="X99" s="412"/>
      <c r="Y99" s="412"/>
      <c r="Z99" s="412"/>
      <c r="AA99" s="412"/>
      <c r="AB99" s="412"/>
      <c r="AC99" s="412"/>
      <c r="AD99" s="412"/>
      <c r="AE99" s="412"/>
      <c r="AF99" s="412"/>
      <c r="AG99" s="412"/>
      <c r="AH99" s="412"/>
      <c r="AI99" s="412"/>
      <c r="AJ99" s="412"/>
      <c r="AK99" s="412"/>
      <c r="AL99" s="412"/>
      <c r="AM99" s="412"/>
      <c r="AN99" s="412"/>
      <c r="AO99" s="412"/>
      <c r="AP99" s="412"/>
      <c r="AQ99" s="412"/>
      <c r="AR99" s="412"/>
      <c r="AS99" s="412"/>
      <c r="AT99" s="412"/>
      <c r="AU99" s="412"/>
    </row>
    <row r="100" spans="9:47" ht="30" customHeight="1" x14ac:dyDescent="0.15">
      <c r="J100" s="425" t="str">
        <f>中間シート!F12</f>
        <v/>
      </c>
      <c r="K100" s="425"/>
      <c r="L100" s="425"/>
      <c r="M100" s="425"/>
      <c r="N100" s="425"/>
      <c r="O100" s="425"/>
      <c r="P100" s="425"/>
      <c r="Q100" s="425"/>
      <c r="R100" s="425"/>
      <c r="S100" s="425"/>
      <c r="T100" s="425"/>
      <c r="U100" s="425"/>
      <c r="V100" s="425"/>
      <c r="W100" s="425"/>
      <c r="X100" s="425"/>
      <c r="Y100" s="425"/>
      <c r="Z100" s="425"/>
      <c r="AA100" s="425"/>
      <c r="AB100" s="425"/>
      <c r="AC100" s="425"/>
      <c r="AD100" s="425"/>
      <c r="AE100" s="425"/>
      <c r="AF100" s="425"/>
      <c r="AG100" s="425"/>
      <c r="AH100" s="425"/>
      <c r="AI100" s="425"/>
      <c r="AJ100" s="425"/>
      <c r="AK100" s="425"/>
      <c r="AL100" s="425"/>
      <c r="AM100" s="425"/>
      <c r="AN100" s="425"/>
      <c r="AO100" s="425"/>
      <c r="AP100" s="425"/>
      <c r="AQ100" s="425"/>
      <c r="AR100" s="425"/>
      <c r="AS100" s="425"/>
      <c r="AT100" s="425"/>
      <c r="AU100" s="425"/>
    </row>
    <row r="102" spans="9:47" ht="30" customHeight="1" x14ac:dyDescent="0.15">
      <c r="J102" s="412" t="s">
        <v>38</v>
      </c>
      <c r="K102" s="412"/>
      <c r="L102" s="412"/>
      <c r="M102" s="412"/>
      <c r="N102" s="412"/>
      <c r="O102" s="412"/>
      <c r="P102" s="412" t="s">
        <v>313</v>
      </c>
      <c r="Q102" s="412"/>
      <c r="R102" s="412"/>
      <c r="S102" s="412"/>
      <c r="T102" s="412"/>
      <c r="U102" s="412"/>
      <c r="V102" s="412"/>
      <c r="W102" s="412"/>
      <c r="X102" s="412"/>
      <c r="Y102" s="412" t="s">
        <v>314</v>
      </c>
      <c r="Z102" s="412"/>
      <c r="AA102" s="412"/>
      <c r="AB102" s="412"/>
      <c r="AC102" s="412"/>
      <c r="AD102" s="412"/>
      <c r="AE102" s="412"/>
      <c r="AF102" s="412"/>
      <c r="AG102" s="412"/>
      <c r="AH102" s="412"/>
      <c r="AI102" s="412" t="s">
        <v>44</v>
      </c>
      <c r="AJ102" s="412"/>
      <c r="AK102" s="412"/>
      <c r="AL102" s="412"/>
      <c r="AM102" s="412"/>
      <c r="AN102" s="412"/>
      <c r="AO102" s="412"/>
      <c r="AP102" s="412"/>
      <c r="AQ102" s="412"/>
      <c r="AR102" s="412" t="s">
        <v>315</v>
      </c>
      <c r="AS102" s="412"/>
      <c r="AT102" s="412"/>
      <c r="AU102" s="412"/>
    </row>
    <row r="103" spans="9:47" ht="30" customHeight="1" x14ac:dyDescent="0.15">
      <c r="J103" s="412"/>
      <c r="K103" s="412"/>
      <c r="L103" s="412"/>
      <c r="M103" s="412"/>
      <c r="N103" s="412"/>
      <c r="O103" s="412"/>
      <c r="P103" s="412"/>
      <c r="Q103" s="412"/>
      <c r="R103" s="412"/>
      <c r="S103" s="412"/>
      <c r="T103" s="412"/>
      <c r="U103" s="412"/>
      <c r="V103" s="412"/>
      <c r="W103" s="412"/>
      <c r="X103" s="412"/>
      <c r="Y103" s="412"/>
      <c r="Z103" s="412"/>
      <c r="AA103" s="412"/>
      <c r="AB103" s="412"/>
      <c r="AC103" s="412"/>
      <c r="AD103" s="412"/>
      <c r="AE103" s="412"/>
      <c r="AF103" s="412"/>
      <c r="AG103" s="412"/>
      <c r="AH103" s="412"/>
      <c r="AI103" s="419" t="s">
        <v>316</v>
      </c>
      <c r="AJ103" s="412"/>
      <c r="AK103" s="412" t="s">
        <v>317</v>
      </c>
      <c r="AL103" s="412"/>
      <c r="AM103" s="412"/>
      <c r="AN103" s="412" t="s">
        <v>318</v>
      </c>
      <c r="AO103" s="412"/>
      <c r="AP103" s="412" t="s">
        <v>319</v>
      </c>
      <c r="AQ103" s="412"/>
      <c r="AR103" s="412"/>
      <c r="AS103" s="412"/>
      <c r="AT103" s="412"/>
      <c r="AU103" s="412"/>
    </row>
    <row r="104" spans="9:47" ht="30" customHeight="1" x14ac:dyDescent="0.15">
      <c r="J104" s="425" t="str">
        <f>中間シート!E43</f>
        <v/>
      </c>
      <c r="K104" s="425"/>
      <c r="L104" s="425"/>
      <c r="M104" s="425"/>
      <c r="N104" s="425"/>
      <c r="O104" s="425"/>
      <c r="P104" s="425" t="str">
        <f>中間シート!F43&amp;"　"&amp;中間シート!G43</f>
        <v>　</v>
      </c>
      <c r="Q104" s="425"/>
      <c r="R104" s="425"/>
      <c r="S104" s="425"/>
      <c r="T104" s="425"/>
      <c r="U104" s="425"/>
      <c r="V104" s="425"/>
      <c r="W104" s="425"/>
      <c r="X104" s="425"/>
      <c r="Y104" s="425" t="str">
        <f>中間シート!H43&amp;"　"&amp;中間シート!I43</f>
        <v>　</v>
      </c>
      <c r="Z104" s="425"/>
      <c r="AA104" s="425"/>
      <c r="AB104" s="425"/>
      <c r="AC104" s="425"/>
      <c r="AD104" s="425"/>
      <c r="AE104" s="425"/>
      <c r="AF104" s="425"/>
      <c r="AG104" s="425"/>
      <c r="AH104" s="425"/>
      <c r="AI104" s="445" t="str">
        <f>IF(1&lt;中間シート!$J43,中間シート!$J43,"")</f>
        <v/>
      </c>
      <c r="AJ104" s="445"/>
      <c r="AK104" s="446" t="str">
        <f>IF(1&lt;中間シート!$J43,中間シート!$J43,"")</f>
        <v/>
      </c>
      <c r="AL104" s="446"/>
      <c r="AM104" s="446"/>
      <c r="AN104" s="447" t="str">
        <f>IF(1&lt;中間シート!$J43,中間シート!$J43,"")</f>
        <v/>
      </c>
      <c r="AO104" s="447"/>
      <c r="AP104" s="448" t="str">
        <f>IF(1&lt;中間シート!$J43,中間シート!$J43,"")</f>
        <v/>
      </c>
      <c r="AQ104" s="448"/>
      <c r="AR104" s="425" t="str">
        <f>IF(中間シート!K43="男","M",IF(中間シート!K43="女","F",""))</f>
        <v/>
      </c>
      <c r="AS104" s="425"/>
      <c r="AT104" s="425"/>
      <c r="AU104" s="425"/>
    </row>
    <row r="105" spans="9:47" ht="30" customHeight="1" x14ac:dyDescent="0.15">
      <c r="I105" s="147"/>
      <c r="J105" s="425" t="str">
        <f>IF(中間シート!$D44=1,中間シート!E44,"")</f>
        <v/>
      </c>
      <c r="K105" s="425"/>
      <c r="L105" s="425"/>
      <c r="M105" s="425"/>
      <c r="N105" s="425"/>
      <c r="O105" s="425"/>
      <c r="P105" s="425" t="str">
        <f>IF(中間シート!$D44=1,中間シート!F44&amp;"　"&amp;中間シート!G44,"")</f>
        <v/>
      </c>
      <c r="Q105" s="425"/>
      <c r="R105" s="425"/>
      <c r="S105" s="425"/>
      <c r="T105" s="425"/>
      <c r="U105" s="425"/>
      <c r="V105" s="425"/>
      <c r="W105" s="425"/>
      <c r="X105" s="425"/>
      <c r="Y105" s="425" t="str">
        <f>IF(中間シート!$D44=1,中間シート!H44&amp;"　"&amp;中間シート!I44,"")</f>
        <v/>
      </c>
      <c r="Z105" s="425"/>
      <c r="AA105" s="425"/>
      <c r="AB105" s="425"/>
      <c r="AC105" s="425"/>
      <c r="AD105" s="425"/>
      <c r="AE105" s="425"/>
      <c r="AF105" s="425"/>
      <c r="AG105" s="425"/>
      <c r="AH105" s="425"/>
      <c r="AI105" s="445" t="str">
        <f>IF(AND(中間シート!$D44=1,1&lt;中間シート!$J44),中間シート!$J44,"")</f>
        <v/>
      </c>
      <c r="AJ105" s="445"/>
      <c r="AK105" s="446" t="str">
        <f>IF(AND(中間シート!$D44=1,1&lt;中間シート!$J44),中間シート!$J44,"")</f>
        <v/>
      </c>
      <c r="AL105" s="446"/>
      <c r="AM105" s="446"/>
      <c r="AN105" s="447" t="str">
        <f>IF(AND(中間シート!$D44=1,1&lt;中間シート!$J44),中間シート!$J44,"")</f>
        <v/>
      </c>
      <c r="AO105" s="447"/>
      <c r="AP105" s="448" t="str">
        <f>IF(AND(中間シート!$D44=1,1&lt;中間シート!$J44),中間シート!$J44,"")</f>
        <v/>
      </c>
      <c r="AQ105" s="448"/>
      <c r="AR105" s="425" t="str">
        <f>IF(中間シート!$D44=1,IF(中間シート!K44="男","M",IF(中間シート!K44="女","F","")),"")</f>
        <v/>
      </c>
      <c r="AS105" s="425"/>
      <c r="AT105" s="425"/>
      <c r="AU105" s="425"/>
    </row>
    <row r="106" spans="9:47" ht="30" customHeight="1" x14ac:dyDescent="0.15">
      <c r="I106" s="147"/>
      <c r="J106" s="425" t="str">
        <f>IF(中間シート!$D45=1,中間シート!E45,"")</f>
        <v/>
      </c>
      <c r="K106" s="425"/>
      <c r="L106" s="425"/>
      <c r="M106" s="425"/>
      <c r="N106" s="425"/>
      <c r="O106" s="425"/>
      <c r="P106" s="425" t="str">
        <f>IF(中間シート!$D45=1,中間シート!F45&amp;"　"&amp;中間シート!G45,"")</f>
        <v/>
      </c>
      <c r="Q106" s="425"/>
      <c r="R106" s="425"/>
      <c r="S106" s="425"/>
      <c r="T106" s="425"/>
      <c r="U106" s="425"/>
      <c r="V106" s="425"/>
      <c r="W106" s="425"/>
      <c r="X106" s="425"/>
      <c r="Y106" s="425" t="str">
        <f>IF(中間シート!$D45=1,中間シート!H45&amp;"　"&amp;中間シート!I45,"")</f>
        <v/>
      </c>
      <c r="Z106" s="425"/>
      <c r="AA106" s="425"/>
      <c r="AB106" s="425"/>
      <c r="AC106" s="425"/>
      <c r="AD106" s="425"/>
      <c r="AE106" s="425"/>
      <c r="AF106" s="425"/>
      <c r="AG106" s="425"/>
      <c r="AH106" s="425"/>
      <c r="AI106" s="445" t="str">
        <f>IF(AND(中間シート!$D45=1,1&lt;中間シート!$J45),中間シート!$J45,"")</f>
        <v/>
      </c>
      <c r="AJ106" s="445"/>
      <c r="AK106" s="446" t="str">
        <f>IF(AND(中間シート!$D45=1,1&lt;中間シート!$J45),中間シート!$J45,"")</f>
        <v/>
      </c>
      <c r="AL106" s="446"/>
      <c r="AM106" s="446"/>
      <c r="AN106" s="447" t="str">
        <f>IF(AND(中間シート!$D45=1,1&lt;中間シート!$J45),中間シート!$J45,"")</f>
        <v/>
      </c>
      <c r="AO106" s="447"/>
      <c r="AP106" s="448" t="str">
        <f>IF(AND(中間シート!$D45=1,1&lt;中間シート!$J45),中間シート!$J45,"")</f>
        <v/>
      </c>
      <c r="AQ106" s="448"/>
      <c r="AR106" s="425" t="str">
        <f>IF(中間シート!$D45=1,IF(中間シート!K45="男","M",IF(中間シート!K45="女","F","")),"")</f>
        <v/>
      </c>
      <c r="AS106" s="425"/>
      <c r="AT106" s="425"/>
      <c r="AU106" s="425"/>
    </row>
    <row r="107" spans="9:47" ht="30" customHeight="1" x14ac:dyDescent="0.15">
      <c r="I107" s="147"/>
      <c r="J107" s="425" t="str">
        <f>IF(中間シート!$D46=1,中間シート!E46,"")</f>
        <v/>
      </c>
      <c r="K107" s="425"/>
      <c r="L107" s="425"/>
      <c r="M107" s="425"/>
      <c r="N107" s="425"/>
      <c r="O107" s="425"/>
      <c r="P107" s="425" t="str">
        <f>IF(中間シート!$D46=1,中間シート!F46&amp;"　"&amp;中間シート!G46,"")</f>
        <v/>
      </c>
      <c r="Q107" s="425"/>
      <c r="R107" s="425"/>
      <c r="S107" s="425"/>
      <c r="T107" s="425"/>
      <c r="U107" s="425"/>
      <c r="V107" s="425"/>
      <c r="W107" s="425"/>
      <c r="X107" s="425"/>
      <c r="Y107" s="425" t="str">
        <f>IF(中間シート!$D46=1,中間シート!H46&amp;"　"&amp;中間シート!I46,"")</f>
        <v/>
      </c>
      <c r="Z107" s="425"/>
      <c r="AA107" s="425"/>
      <c r="AB107" s="425"/>
      <c r="AC107" s="425"/>
      <c r="AD107" s="425"/>
      <c r="AE107" s="425"/>
      <c r="AF107" s="425"/>
      <c r="AG107" s="425"/>
      <c r="AH107" s="425"/>
      <c r="AI107" s="445" t="str">
        <f>IF(AND(中間シート!$D46=1,1&lt;中間シート!$J46),中間シート!$J46,"")</f>
        <v/>
      </c>
      <c r="AJ107" s="445"/>
      <c r="AK107" s="446" t="str">
        <f>IF(AND(中間シート!$D46=1,1&lt;中間シート!$J46),中間シート!$J46,"")</f>
        <v/>
      </c>
      <c r="AL107" s="446"/>
      <c r="AM107" s="446"/>
      <c r="AN107" s="447" t="str">
        <f>IF(AND(中間シート!$D46=1,1&lt;中間シート!$J46),中間シート!$J46,"")</f>
        <v/>
      </c>
      <c r="AO107" s="447"/>
      <c r="AP107" s="448" t="str">
        <f>IF(AND(中間シート!$D46=1,1&lt;中間シート!$J46),中間シート!$J46,"")</f>
        <v/>
      </c>
      <c r="AQ107" s="448"/>
      <c r="AR107" s="425" t="str">
        <f>IF(中間シート!$D46=1,IF(中間シート!K46="男","M",IF(中間シート!K46="女","F","")),"")</f>
        <v/>
      </c>
      <c r="AS107" s="425"/>
      <c r="AT107" s="425"/>
      <c r="AU107" s="425"/>
    </row>
    <row r="108" spans="9:47" ht="30" customHeight="1" x14ac:dyDescent="0.15">
      <c r="I108" s="147"/>
      <c r="J108" s="425" t="str">
        <f>IF(中間シート!$D47=1,中間シート!E47,"")</f>
        <v/>
      </c>
      <c r="K108" s="425"/>
      <c r="L108" s="425"/>
      <c r="M108" s="425"/>
      <c r="N108" s="425"/>
      <c r="O108" s="425"/>
      <c r="P108" s="425" t="str">
        <f>IF(中間シート!$D47=1,中間シート!F47&amp;"　"&amp;中間シート!G47,"")</f>
        <v/>
      </c>
      <c r="Q108" s="425"/>
      <c r="R108" s="425"/>
      <c r="S108" s="425"/>
      <c r="T108" s="425"/>
      <c r="U108" s="425"/>
      <c r="V108" s="425"/>
      <c r="W108" s="425"/>
      <c r="X108" s="425"/>
      <c r="Y108" s="425" t="str">
        <f>IF(中間シート!$D47=1,中間シート!H47&amp;"　"&amp;中間シート!I47,"")</f>
        <v/>
      </c>
      <c r="Z108" s="425"/>
      <c r="AA108" s="425"/>
      <c r="AB108" s="425"/>
      <c r="AC108" s="425"/>
      <c r="AD108" s="425"/>
      <c r="AE108" s="425"/>
      <c r="AF108" s="425"/>
      <c r="AG108" s="425"/>
      <c r="AH108" s="425"/>
      <c r="AI108" s="445" t="str">
        <f>IF(AND(中間シート!$D47=1,1&lt;中間シート!$J47),中間シート!$J47,"")</f>
        <v/>
      </c>
      <c r="AJ108" s="445"/>
      <c r="AK108" s="446" t="str">
        <f>IF(AND(中間シート!$D47=1,1&lt;中間シート!$J47),中間シート!$J47,"")</f>
        <v/>
      </c>
      <c r="AL108" s="446"/>
      <c r="AM108" s="446"/>
      <c r="AN108" s="447" t="str">
        <f>IF(AND(中間シート!$D47=1,1&lt;中間シート!$J47),中間シート!$J47,"")</f>
        <v/>
      </c>
      <c r="AO108" s="447"/>
      <c r="AP108" s="448" t="str">
        <f>IF(AND(中間シート!$D47=1,1&lt;中間シート!$J47),中間シート!$J47,"")</f>
        <v/>
      </c>
      <c r="AQ108" s="448"/>
      <c r="AR108" s="425" t="str">
        <f>IF(中間シート!$D47=1,IF(中間シート!K47="男","M",IF(中間シート!K47="女","F","")),"")</f>
        <v/>
      </c>
      <c r="AS108" s="425"/>
      <c r="AT108" s="425"/>
      <c r="AU108" s="425"/>
    </row>
    <row r="109" spans="9:47" ht="30" customHeight="1" x14ac:dyDescent="0.15">
      <c r="I109" s="147"/>
      <c r="J109" s="425" t="str">
        <f>IF(中間シート!$D48=1,中間シート!E48,"")</f>
        <v/>
      </c>
      <c r="K109" s="425"/>
      <c r="L109" s="425"/>
      <c r="M109" s="425"/>
      <c r="N109" s="425"/>
      <c r="O109" s="425"/>
      <c r="P109" s="425" t="str">
        <f>IF(中間シート!$D48=1,中間シート!F48&amp;"　"&amp;中間シート!G48,"")</f>
        <v/>
      </c>
      <c r="Q109" s="425"/>
      <c r="R109" s="425"/>
      <c r="S109" s="425"/>
      <c r="T109" s="425"/>
      <c r="U109" s="425"/>
      <c r="V109" s="425"/>
      <c r="W109" s="425"/>
      <c r="X109" s="425"/>
      <c r="Y109" s="425" t="str">
        <f>IF(中間シート!$D48=1,中間シート!H48&amp;"　"&amp;中間シート!I48,"")</f>
        <v/>
      </c>
      <c r="Z109" s="425"/>
      <c r="AA109" s="425"/>
      <c r="AB109" s="425"/>
      <c r="AC109" s="425"/>
      <c r="AD109" s="425"/>
      <c r="AE109" s="425"/>
      <c r="AF109" s="425"/>
      <c r="AG109" s="425"/>
      <c r="AH109" s="425"/>
      <c r="AI109" s="445" t="str">
        <f>IF(AND(中間シート!$D48=1,1&lt;中間シート!$J48),中間シート!$J48,"")</f>
        <v/>
      </c>
      <c r="AJ109" s="445"/>
      <c r="AK109" s="446" t="str">
        <f>IF(AND(中間シート!$D48=1,1&lt;中間シート!$J48),中間シート!$J48,"")</f>
        <v/>
      </c>
      <c r="AL109" s="446"/>
      <c r="AM109" s="446"/>
      <c r="AN109" s="447" t="str">
        <f>IF(AND(中間シート!$D48=1,1&lt;中間シート!$J48),中間シート!$J48,"")</f>
        <v/>
      </c>
      <c r="AO109" s="447"/>
      <c r="AP109" s="448" t="str">
        <f>IF(AND(中間シート!$D48=1,1&lt;中間シート!$J48),中間シート!$J48,"")</f>
        <v/>
      </c>
      <c r="AQ109" s="448"/>
      <c r="AR109" s="425" t="str">
        <f>IF(中間シート!$D48=1,IF(中間シート!K48="男","M",IF(中間シート!K48="女","F","")),"")</f>
        <v/>
      </c>
      <c r="AS109" s="425"/>
      <c r="AT109" s="425"/>
      <c r="AU109" s="425"/>
    </row>
    <row r="110" spans="9:47" ht="30" customHeight="1" x14ac:dyDescent="0.15">
      <c r="I110" s="147"/>
      <c r="J110" s="425" t="str">
        <f>IF(中間シート!$D49=1,中間シート!E49,"")</f>
        <v/>
      </c>
      <c r="K110" s="425"/>
      <c r="L110" s="425"/>
      <c r="M110" s="425"/>
      <c r="N110" s="425"/>
      <c r="O110" s="425"/>
      <c r="P110" s="425" t="str">
        <f>IF(中間シート!$D49=1,中間シート!F49&amp;"　"&amp;中間シート!G49,"")</f>
        <v/>
      </c>
      <c r="Q110" s="425"/>
      <c r="R110" s="425"/>
      <c r="S110" s="425"/>
      <c r="T110" s="425"/>
      <c r="U110" s="425"/>
      <c r="V110" s="425"/>
      <c r="W110" s="425"/>
      <c r="X110" s="425"/>
      <c r="Y110" s="425" t="str">
        <f>IF(中間シート!$D49=1,中間シート!H49&amp;"　"&amp;中間シート!I49,"")</f>
        <v/>
      </c>
      <c r="Z110" s="425"/>
      <c r="AA110" s="425"/>
      <c r="AB110" s="425"/>
      <c r="AC110" s="425"/>
      <c r="AD110" s="425"/>
      <c r="AE110" s="425"/>
      <c r="AF110" s="425"/>
      <c r="AG110" s="425"/>
      <c r="AH110" s="425"/>
      <c r="AI110" s="445" t="str">
        <f>IF(AND(中間シート!$D49=1,1&lt;中間シート!$J49),中間シート!$J49,"")</f>
        <v/>
      </c>
      <c r="AJ110" s="445"/>
      <c r="AK110" s="446" t="str">
        <f>IF(AND(中間シート!$D49=1,1&lt;中間シート!$J49),中間シート!$J49,"")</f>
        <v/>
      </c>
      <c r="AL110" s="446"/>
      <c r="AM110" s="446"/>
      <c r="AN110" s="447" t="str">
        <f>IF(AND(中間シート!$D49=1,1&lt;中間シート!$J49),中間シート!$J49,"")</f>
        <v/>
      </c>
      <c r="AO110" s="447"/>
      <c r="AP110" s="448" t="str">
        <f>IF(AND(中間シート!$D49=1,1&lt;中間シート!$J49),中間シート!$J49,"")</f>
        <v/>
      </c>
      <c r="AQ110" s="448"/>
      <c r="AR110" s="425" t="str">
        <f>IF(中間シート!$D49=1,IF(中間シート!K49="男","M",IF(中間シート!K49="女","F","")),"")</f>
        <v/>
      </c>
      <c r="AS110" s="425"/>
      <c r="AT110" s="425"/>
      <c r="AU110" s="425"/>
    </row>
    <row r="111" spans="9:47" ht="30" customHeight="1" x14ac:dyDescent="0.15">
      <c r="I111" s="147"/>
      <c r="J111" s="425" t="str">
        <f>IF(中間シート!$D50=1,中間シート!E50,"")</f>
        <v/>
      </c>
      <c r="K111" s="425"/>
      <c r="L111" s="425"/>
      <c r="M111" s="425"/>
      <c r="N111" s="425"/>
      <c r="O111" s="425"/>
      <c r="P111" s="425" t="str">
        <f>IF(中間シート!$D50=1,中間シート!F50&amp;"　"&amp;中間シート!G50,"")</f>
        <v/>
      </c>
      <c r="Q111" s="425"/>
      <c r="R111" s="425"/>
      <c r="S111" s="425"/>
      <c r="T111" s="425"/>
      <c r="U111" s="425"/>
      <c r="V111" s="425"/>
      <c r="W111" s="425"/>
      <c r="X111" s="425"/>
      <c r="Y111" s="425" t="str">
        <f>IF(中間シート!$D50=1,中間シート!H50&amp;"　"&amp;中間シート!I50,"")</f>
        <v/>
      </c>
      <c r="Z111" s="425"/>
      <c r="AA111" s="425"/>
      <c r="AB111" s="425"/>
      <c r="AC111" s="425"/>
      <c r="AD111" s="425"/>
      <c r="AE111" s="425"/>
      <c r="AF111" s="425"/>
      <c r="AG111" s="425"/>
      <c r="AH111" s="425"/>
      <c r="AI111" s="445" t="str">
        <f>IF(AND(中間シート!$D50=1,1&lt;中間シート!$J50),中間シート!$J50,"")</f>
        <v/>
      </c>
      <c r="AJ111" s="445"/>
      <c r="AK111" s="446" t="str">
        <f>IF(AND(中間シート!$D50=1,1&lt;中間シート!$J50),中間シート!$J50,"")</f>
        <v/>
      </c>
      <c r="AL111" s="446"/>
      <c r="AM111" s="446"/>
      <c r="AN111" s="447" t="str">
        <f>IF(AND(中間シート!$D50=1,1&lt;中間シート!$J50),中間シート!$J50,"")</f>
        <v/>
      </c>
      <c r="AO111" s="447"/>
      <c r="AP111" s="448" t="str">
        <f>IF(AND(中間シート!$D50=1,1&lt;中間シート!$J50),中間シート!$J50,"")</f>
        <v/>
      </c>
      <c r="AQ111" s="448"/>
      <c r="AR111" s="425" t="str">
        <f>IF(中間シート!$D50=1,IF(中間シート!K50="男","M",IF(中間シート!K50="女","F","")),"")</f>
        <v/>
      </c>
      <c r="AS111" s="425"/>
      <c r="AT111" s="425"/>
      <c r="AU111" s="425"/>
    </row>
    <row r="112" spans="9:47" ht="30" customHeight="1" x14ac:dyDescent="0.15">
      <c r="I112" s="147"/>
      <c r="J112" s="425" t="str">
        <f>IF(中間シート!$D51=1,中間シート!E51,"")</f>
        <v/>
      </c>
      <c r="K112" s="425"/>
      <c r="L112" s="425"/>
      <c r="M112" s="425"/>
      <c r="N112" s="425"/>
      <c r="O112" s="425"/>
      <c r="P112" s="425" t="str">
        <f>IF(中間シート!$D51=1,中間シート!F51&amp;"　"&amp;中間シート!G51,"")</f>
        <v/>
      </c>
      <c r="Q112" s="425"/>
      <c r="R112" s="425"/>
      <c r="S112" s="425"/>
      <c r="T112" s="425"/>
      <c r="U112" s="425"/>
      <c r="V112" s="425"/>
      <c r="W112" s="425"/>
      <c r="X112" s="425"/>
      <c r="Y112" s="425" t="str">
        <f>IF(中間シート!$D51=1,中間シート!H51&amp;"　"&amp;中間シート!I51,"")</f>
        <v/>
      </c>
      <c r="Z112" s="425"/>
      <c r="AA112" s="425"/>
      <c r="AB112" s="425"/>
      <c r="AC112" s="425"/>
      <c r="AD112" s="425"/>
      <c r="AE112" s="425"/>
      <c r="AF112" s="425"/>
      <c r="AG112" s="425"/>
      <c r="AH112" s="425"/>
      <c r="AI112" s="445" t="str">
        <f>IF(AND(中間シート!$D51=1,1&lt;中間シート!$J51),中間シート!$J51,"")</f>
        <v/>
      </c>
      <c r="AJ112" s="445"/>
      <c r="AK112" s="446" t="str">
        <f>IF(AND(中間シート!$D51=1,1&lt;中間シート!$J51),中間シート!$J51,"")</f>
        <v/>
      </c>
      <c r="AL112" s="446"/>
      <c r="AM112" s="446"/>
      <c r="AN112" s="447" t="str">
        <f>IF(AND(中間シート!$D51=1,1&lt;中間シート!$J51),中間シート!$J51,"")</f>
        <v/>
      </c>
      <c r="AO112" s="447"/>
      <c r="AP112" s="448" t="str">
        <f>IF(AND(中間シート!$D51=1,1&lt;中間シート!$J51),中間シート!$J51,"")</f>
        <v/>
      </c>
      <c r="AQ112" s="448"/>
      <c r="AR112" s="425" t="str">
        <f>IF(中間シート!$D51=1,IF(中間シート!K51="男","M",IF(中間シート!K51="女","F","")),"")</f>
        <v/>
      </c>
      <c r="AS112" s="425"/>
      <c r="AT112" s="425"/>
      <c r="AU112" s="425"/>
    </row>
    <row r="113" spans="9:47" ht="30" customHeight="1" x14ac:dyDescent="0.15">
      <c r="I113" s="147"/>
      <c r="J113" s="425" t="str">
        <f>IF(中間シート!$D52=1,中間シート!E52,"")</f>
        <v/>
      </c>
      <c r="K113" s="425"/>
      <c r="L113" s="425"/>
      <c r="M113" s="425"/>
      <c r="N113" s="425"/>
      <c r="O113" s="425"/>
      <c r="P113" s="425" t="str">
        <f>IF(中間シート!$D52=1,中間シート!F52&amp;"　"&amp;中間シート!G52,"")</f>
        <v/>
      </c>
      <c r="Q113" s="425"/>
      <c r="R113" s="425"/>
      <c r="S113" s="425"/>
      <c r="T113" s="425"/>
      <c r="U113" s="425"/>
      <c r="V113" s="425"/>
      <c r="W113" s="425"/>
      <c r="X113" s="425"/>
      <c r="Y113" s="425" t="str">
        <f>IF(中間シート!$D52=1,中間シート!H52&amp;"　"&amp;中間シート!I52,"")</f>
        <v/>
      </c>
      <c r="Z113" s="425"/>
      <c r="AA113" s="425"/>
      <c r="AB113" s="425"/>
      <c r="AC113" s="425"/>
      <c r="AD113" s="425"/>
      <c r="AE113" s="425"/>
      <c r="AF113" s="425"/>
      <c r="AG113" s="425"/>
      <c r="AH113" s="425"/>
      <c r="AI113" s="445" t="str">
        <f>IF(AND(中間シート!$D52=1,1&lt;中間シート!$J52),中間シート!$J52,"")</f>
        <v/>
      </c>
      <c r="AJ113" s="445"/>
      <c r="AK113" s="446" t="str">
        <f>IF(AND(中間シート!$D52=1,1&lt;中間シート!$J52),中間シート!$J52,"")</f>
        <v/>
      </c>
      <c r="AL113" s="446"/>
      <c r="AM113" s="446"/>
      <c r="AN113" s="447" t="str">
        <f>IF(AND(中間シート!$D52=1,1&lt;中間シート!$J52),中間シート!$J52,"")</f>
        <v/>
      </c>
      <c r="AO113" s="447"/>
      <c r="AP113" s="448" t="str">
        <f>IF(AND(中間シート!$D52=1,1&lt;中間シート!$J52),中間シート!$J52,"")</f>
        <v/>
      </c>
      <c r="AQ113" s="448"/>
      <c r="AR113" s="425" t="str">
        <f>IF(中間シート!$D52=1,IF(中間シート!K52="男","M",IF(中間シート!K52="女","F","")),"")</f>
        <v/>
      </c>
      <c r="AS113" s="425"/>
      <c r="AT113" s="425"/>
      <c r="AU113" s="425"/>
    </row>
    <row r="114" spans="9:47" ht="30" customHeight="1" x14ac:dyDescent="0.15">
      <c r="I114" s="147"/>
      <c r="J114" s="425" t="str">
        <f>IF(中間シート!$D53=1,中間シート!E53,"")</f>
        <v/>
      </c>
      <c r="K114" s="425"/>
      <c r="L114" s="425"/>
      <c r="M114" s="425"/>
      <c r="N114" s="425"/>
      <c r="O114" s="425"/>
      <c r="P114" s="425" t="str">
        <f>IF(中間シート!$D53=1,中間シート!F53&amp;"　"&amp;中間シート!G53,"")</f>
        <v/>
      </c>
      <c r="Q114" s="425"/>
      <c r="R114" s="425"/>
      <c r="S114" s="425"/>
      <c r="T114" s="425"/>
      <c r="U114" s="425"/>
      <c r="V114" s="425"/>
      <c r="W114" s="425"/>
      <c r="X114" s="425"/>
      <c r="Y114" s="425" t="str">
        <f>IF(中間シート!$D53=1,中間シート!H53&amp;"　"&amp;中間シート!I53,"")</f>
        <v/>
      </c>
      <c r="Z114" s="425"/>
      <c r="AA114" s="425"/>
      <c r="AB114" s="425"/>
      <c r="AC114" s="425"/>
      <c r="AD114" s="425"/>
      <c r="AE114" s="425"/>
      <c r="AF114" s="425"/>
      <c r="AG114" s="425"/>
      <c r="AH114" s="425"/>
      <c r="AI114" s="445" t="str">
        <f>IF(AND(中間シート!$D53=1,1&lt;中間シート!$J53),中間シート!$J53,"")</f>
        <v/>
      </c>
      <c r="AJ114" s="445"/>
      <c r="AK114" s="446" t="str">
        <f>IF(AND(中間シート!$D53=1,1&lt;中間シート!$J53),中間シート!$J53,"")</f>
        <v/>
      </c>
      <c r="AL114" s="446"/>
      <c r="AM114" s="446"/>
      <c r="AN114" s="447" t="str">
        <f>IF(AND(中間シート!$D53=1,1&lt;中間シート!$J53),中間シート!$J53,"")</f>
        <v/>
      </c>
      <c r="AO114" s="447"/>
      <c r="AP114" s="448" t="str">
        <f>IF(AND(中間シート!$D53=1,1&lt;中間シート!$J53),中間シート!$J53,"")</f>
        <v/>
      </c>
      <c r="AQ114" s="448"/>
      <c r="AR114" s="425" t="str">
        <f>IF(中間シート!$D53=1,IF(中間シート!K53="男","M",IF(中間シート!K53="女","F","")),"")</f>
        <v/>
      </c>
      <c r="AS114" s="425"/>
      <c r="AT114" s="425"/>
      <c r="AU114" s="425"/>
    </row>
    <row r="115" spans="9:47" ht="30" customHeight="1" x14ac:dyDescent="0.15">
      <c r="I115" s="147"/>
      <c r="J115" s="425" t="str">
        <f>IF(中間シート!$D54=1,中間シート!E54,"")</f>
        <v/>
      </c>
      <c r="K115" s="425"/>
      <c r="L115" s="425"/>
      <c r="M115" s="425"/>
      <c r="N115" s="425"/>
      <c r="O115" s="425"/>
      <c r="P115" s="425" t="str">
        <f>IF(中間シート!$D54=1,中間シート!F54&amp;"　"&amp;中間シート!G54,"")</f>
        <v/>
      </c>
      <c r="Q115" s="425"/>
      <c r="R115" s="425"/>
      <c r="S115" s="425"/>
      <c r="T115" s="425"/>
      <c r="U115" s="425"/>
      <c r="V115" s="425"/>
      <c r="W115" s="425"/>
      <c r="X115" s="425"/>
      <c r="Y115" s="425" t="str">
        <f>IF(中間シート!$D54=1,中間シート!H54&amp;"　"&amp;中間シート!I54,"")</f>
        <v/>
      </c>
      <c r="Z115" s="425"/>
      <c r="AA115" s="425"/>
      <c r="AB115" s="425"/>
      <c r="AC115" s="425"/>
      <c r="AD115" s="425"/>
      <c r="AE115" s="425"/>
      <c r="AF115" s="425"/>
      <c r="AG115" s="425"/>
      <c r="AH115" s="425"/>
      <c r="AI115" s="445" t="str">
        <f>IF(AND(中間シート!$D54=1,1&lt;中間シート!$J54),中間シート!$J54,"")</f>
        <v/>
      </c>
      <c r="AJ115" s="445"/>
      <c r="AK115" s="446" t="str">
        <f>IF(AND(中間シート!$D54=1,1&lt;中間シート!$J54),中間シート!$J54,"")</f>
        <v/>
      </c>
      <c r="AL115" s="446"/>
      <c r="AM115" s="446"/>
      <c r="AN115" s="447" t="str">
        <f>IF(AND(中間シート!$D54=1,1&lt;中間シート!$J54),中間シート!$J54,"")</f>
        <v/>
      </c>
      <c r="AO115" s="447"/>
      <c r="AP115" s="448" t="str">
        <f>IF(AND(中間シート!$D54=1,1&lt;中間シート!$J54),中間シート!$J54,"")</f>
        <v/>
      </c>
      <c r="AQ115" s="448"/>
      <c r="AR115" s="425" t="str">
        <f>IF(中間シート!$D54=1,IF(中間シート!K54="男","M",IF(中間シート!K54="女","F","")),"")</f>
        <v/>
      </c>
      <c r="AS115" s="425"/>
      <c r="AT115" s="425"/>
      <c r="AU115" s="425"/>
    </row>
    <row r="116" spans="9:47" ht="30" customHeight="1" x14ac:dyDescent="0.15">
      <c r="I116" s="147"/>
      <c r="J116" s="425" t="str">
        <f>IF(中間シート!$D55=1,中間シート!E55,"")</f>
        <v/>
      </c>
      <c r="K116" s="425"/>
      <c r="L116" s="425"/>
      <c r="M116" s="425"/>
      <c r="N116" s="425"/>
      <c r="O116" s="425"/>
      <c r="P116" s="425" t="str">
        <f>IF(中間シート!$D55=1,中間シート!F55&amp;"　"&amp;中間シート!G55,"")</f>
        <v/>
      </c>
      <c r="Q116" s="425"/>
      <c r="R116" s="425"/>
      <c r="S116" s="425"/>
      <c r="T116" s="425"/>
      <c r="U116" s="425"/>
      <c r="V116" s="425"/>
      <c r="W116" s="425"/>
      <c r="X116" s="425"/>
      <c r="Y116" s="425" t="str">
        <f>IF(中間シート!$D55=1,中間シート!H55&amp;"　"&amp;中間シート!I55,"")</f>
        <v/>
      </c>
      <c r="Z116" s="425"/>
      <c r="AA116" s="425"/>
      <c r="AB116" s="425"/>
      <c r="AC116" s="425"/>
      <c r="AD116" s="425"/>
      <c r="AE116" s="425"/>
      <c r="AF116" s="425"/>
      <c r="AG116" s="425"/>
      <c r="AH116" s="425"/>
      <c r="AI116" s="445" t="str">
        <f>IF(AND(中間シート!$D55=1,1&lt;中間シート!$J55),中間シート!$J55,"")</f>
        <v/>
      </c>
      <c r="AJ116" s="445"/>
      <c r="AK116" s="446" t="str">
        <f>IF(AND(中間シート!$D55=1,1&lt;中間シート!$J55),中間シート!$J55,"")</f>
        <v/>
      </c>
      <c r="AL116" s="446"/>
      <c r="AM116" s="446"/>
      <c r="AN116" s="447" t="str">
        <f>IF(AND(中間シート!$D55=1,1&lt;中間シート!$J55),中間シート!$J55,"")</f>
        <v/>
      </c>
      <c r="AO116" s="447"/>
      <c r="AP116" s="448" t="str">
        <f>IF(AND(中間シート!$D55=1,1&lt;中間シート!$J55),中間シート!$J55,"")</f>
        <v/>
      </c>
      <c r="AQ116" s="448"/>
      <c r="AR116" s="425" t="str">
        <f>IF(中間シート!$D55=1,IF(中間シート!K55="男","M",IF(中間シート!K55="女","F","")),"")</f>
        <v/>
      </c>
      <c r="AS116" s="425"/>
      <c r="AT116" s="425"/>
      <c r="AU116" s="425"/>
    </row>
    <row r="117" spans="9:47" ht="30" customHeight="1" x14ac:dyDescent="0.15">
      <c r="I117" s="147"/>
      <c r="J117" s="425" t="str">
        <f>IF(中間シート!$D56=1,中間シート!E56,"")</f>
        <v/>
      </c>
      <c r="K117" s="425"/>
      <c r="L117" s="425"/>
      <c r="M117" s="425"/>
      <c r="N117" s="425"/>
      <c r="O117" s="425"/>
      <c r="P117" s="425" t="str">
        <f>IF(中間シート!$D56=1,中間シート!F56&amp;"　"&amp;中間シート!G56,"")</f>
        <v/>
      </c>
      <c r="Q117" s="425"/>
      <c r="R117" s="425"/>
      <c r="S117" s="425"/>
      <c r="T117" s="425"/>
      <c r="U117" s="425"/>
      <c r="V117" s="425"/>
      <c r="W117" s="425"/>
      <c r="X117" s="425"/>
      <c r="Y117" s="425" t="str">
        <f>IF(中間シート!$D56=1,中間シート!H56&amp;"　"&amp;中間シート!I56,"")</f>
        <v/>
      </c>
      <c r="Z117" s="425"/>
      <c r="AA117" s="425"/>
      <c r="AB117" s="425"/>
      <c r="AC117" s="425"/>
      <c r="AD117" s="425"/>
      <c r="AE117" s="425"/>
      <c r="AF117" s="425"/>
      <c r="AG117" s="425"/>
      <c r="AH117" s="425"/>
      <c r="AI117" s="445" t="str">
        <f>IF(AND(中間シート!$D56=1,1&lt;中間シート!$J56),中間シート!$J56,"")</f>
        <v/>
      </c>
      <c r="AJ117" s="445"/>
      <c r="AK117" s="446" t="str">
        <f>IF(AND(中間シート!$D56=1,1&lt;中間シート!$J56),中間シート!$J56,"")</f>
        <v/>
      </c>
      <c r="AL117" s="446"/>
      <c r="AM117" s="446"/>
      <c r="AN117" s="447" t="str">
        <f>IF(AND(中間シート!$D56=1,1&lt;中間シート!$J56),中間シート!$J56,"")</f>
        <v/>
      </c>
      <c r="AO117" s="447"/>
      <c r="AP117" s="448" t="str">
        <f>IF(AND(中間シート!$D56=1,1&lt;中間シート!$J56),中間シート!$J56,"")</f>
        <v/>
      </c>
      <c r="AQ117" s="448"/>
      <c r="AR117" s="425" t="str">
        <f>IF(中間シート!$D56=1,IF(中間シート!K56="男","M",IF(中間シート!K56="女","F","")),"")</f>
        <v/>
      </c>
      <c r="AS117" s="425"/>
      <c r="AT117" s="425"/>
      <c r="AU117" s="425"/>
    </row>
    <row r="118" spans="9:47" ht="30" customHeight="1" x14ac:dyDescent="0.15">
      <c r="I118" s="147"/>
      <c r="J118" s="425" t="str">
        <f>IF(中間シート!$D57=1,中間シート!E57,"")</f>
        <v/>
      </c>
      <c r="K118" s="425"/>
      <c r="L118" s="425"/>
      <c r="M118" s="425"/>
      <c r="N118" s="425"/>
      <c r="O118" s="425"/>
      <c r="P118" s="425" t="str">
        <f>IF(中間シート!$D57=1,中間シート!F57&amp;"　"&amp;中間シート!G57,"")</f>
        <v/>
      </c>
      <c r="Q118" s="425"/>
      <c r="R118" s="425"/>
      <c r="S118" s="425"/>
      <c r="T118" s="425"/>
      <c r="U118" s="425"/>
      <c r="V118" s="425"/>
      <c r="W118" s="425"/>
      <c r="X118" s="425"/>
      <c r="Y118" s="425" t="str">
        <f>IF(中間シート!$D57=1,中間シート!H57&amp;"　"&amp;中間シート!I57,"")</f>
        <v/>
      </c>
      <c r="Z118" s="425"/>
      <c r="AA118" s="425"/>
      <c r="AB118" s="425"/>
      <c r="AC118" s="425"/>
      <c r="AD118" s="425"/>
      <c r="AE118" s="425"/>
      <c r="AF118" s="425"/>
      <c r="AG118" s="425"/>
      <c r="AH118" s="425"/>
      <c r="AI118" s="445" t="str">
        <f>IF(AND(中間シート!$D57=1,1&lt;中間シート!$J57),中間シート!$J57,"")</f>
        <v/>
      </c>
      <c r="AJ118" s="445"/>
      <c r="AK118" s="446" t="str">
        <f>IF(AND(中間シート!$D57=1,1&lt;中間シート!$J57),中間シート!$J57,"")</f>
        <v/>
      </c>
      <c r="AL118" s="446"/>
      <c r="AM118" s="446"/>
      <c r="AN118" s="447" t="str">
        <f>IF(AND(中間シート!$D57=1,1&lt;中間シート!$J57),中間シート!$J57,"")</f>
        <v/>
      </c>
      <c r="AO118" s="447"/>
      <c r="AP118" s="448" t="str">
        <f>IF(AND(中間シート!$D57=1,1&lt;中間シート!$J57),中間シート!$J57,"")</f>
        <v/>
      </c>
      <c r="AQ118" s="448"/>
      <c r="AR118" s="425" t="str">
        <f>IF(中間シート!$D57=1,IF(中間シート!K57="男","M",IF(中間シート!K57="女","F","")),"")</f>
        <v/>
      </c>
      <c r="AS118" s="425"/>
      <c r="AT118" s="425"/>
      <c r="AU118" s="425"/>
    </row>
    <row r="120" spans="9:47" x14ac:dyDescent="0.15">
      <c r="J120" s="140" t="s">
        <v>292</v>
      </c>
      <c r="L120" s="411" t="s">
        <v>320</v>
      </c>
      <c r="M120" s="411"/>
      <c r="N120" s="411"/>
      <c r="O120" s="411"/>
      <c r="P120" s="411"/>
      <c r="Q120" s="411"/>
      <c r="R120" s="411"/>
      <c r="S120" s="411"/>
      <c r="T120" s="411"/>
      <c r="U120" s="411"/>
      <c r="V120" s="411"/>
      <c r="W120" s="411"/>
      <c r="X120" s="411"/>
      <c r="Y120" s="411"/>
      <c r="Z120" s="411"/>
      <c r="AA120" s="411"/>
      <c r="AB120" s="411"/>
      <c r="AC120" s="411"/>
      <c r="AD120" s="411"/>
      <c r="AE120" s="411"/>
      <c r="AF120" s="411"/>
      <c r="AG120" s="411"/>
      <c r="AH120" s="411"/>
      <c r="AI120" s="411"/>
      <c r="AJ120" s="411"/>
      <c r="AK120" s="411"/>
      <c r="AL120" s="411"/>
      <c r="AM120" s="411"/>
      <c r="AN120" s="411"/>
      <c r="AO120" s="411"/>
      <c r="AP120" s="411"/>
      <c r="AQ120" s="411"/>
      <c r="AR120" s="411"/>
      <c r="AS120" s="411"/>
      <c r="AT120" s="411"/>
      <c r="AU120" s="411"/>
    </row>
    <row r="121" spans="9:47" x14ac:dyDescent="0.15">
      <c r="L121" s="411"/>
      <c r="M121" s="411"/>
      <c r="N121" s="411"/>
      <c r="O121" s="411"/>
      <c r="P121" s="411"/>
      <c r="Q121" s="411"/>
      <c r="R121" s="411"/>
      <c r="S121" s="411"/>
      <c r="T121" s="411"/>
      <c r="U121" s="411"/>
      <c r="V121" s="411"/>
      <c r="W121" s="411"/>
      <c r="X121" s="411"/>
      <c r="Y121" s="411"/>
      <c r="Z121" s="411"/>
      <c r="AA121" s="411"/>
      <c r="AB121" s="411"/>
      <c r="AC121" s="411"/>
      <c r="AD121" s="411"/>
      <c r="AE121" s="411"/>
      <c r="AF121" s="411"/>
      <c r="AG121" s="411"/>
      <c r="AH121" s="411"/>
      <c r="AI121" s="411"/>
      <c r="AJ121" s="411"/>
      <c r="AK121" s="411"/>
      <c r="AL121" s="411"/>
      <c r="AM121" s="411"/>
      <c r="AN121" s="411"/>
      <c r="AO121" s="411"/>
      <c r="AP121" s="411"/>
      <c r="AQ121" s="411"/>
      <c r="AR121" s="411"/>
      <c r="AS121" s="411"/>
      <c r="AT121" s="411"/>
      <c r="AU121" s="411"/>
    </row>
    <row r="122" spans="9:47" x14ac:dyDescent="0.15">
      <c r="L122" s="411"/>
      <c r="M122" s="411"/>
      <c r="N122" s="411"/>
      <c r="O122" s="411"/>
      <c r="P122" s="411"/>
      <c r="Q122" s="411"/>
      <c r="R122" s="411"/>
      <c r="S122" s="411"/>
      <c r="T122" s="411"/>
      <c r="U122" s="411"/>
      <c r="V122" s="411"/>
      <c r="W122" s="411"/>
      <c r="X122" s="411"/>
      <c r="Y122" s="411"/>
      <c r="Z122" s="411"/>
      <c r="AA122" s="411"/>
      <c r="AB122" s="411"/>
      <c r="AC122" s="411"/>
      <c r="AD122" s="411"/>
      <c r="AE122" s="411"/>
      <c r="AF122" s="411"/>
      <c r="AG122" s="411"/>
      <c r="AH122" s="411"/>
      <c r="AI122" s="411"/>
      <c r="AJ122" s="411"/>
      <c r="AK122" s="411"/>
      <c r="AL122" s="411"/>
      <c r="AM122" s="411"/>
      <c r="AN122" s="411"/>
      <c r="AO122" s="411"/>
      <c r="AP122" s="411"/>
      <c r="AQ122" s="411"/>
      <c r="AR122" s="411"/>
      <c r="AS122" s="411"/>
      <c r="AT122" s="411"/>
      <c r="AU122" s="411"/>
    </row>
    <row r="123" spans="9:47" x14ac:dyDescent="0.15">
      <c r="L123" s="411"/>
      <c r="M123" s="411"/>
      <c r="N123" s="411"/>
      <c r="O123" s="411"/>
      <c r="P123" s="411"/>
      <c r="Q123" s="411"/>
      <c r="R123" s="411"/>
      <c r="S123" s="411"/>
      <c r="T123" s="411"/>
      <c r="U123" s="411"/>
      <c r="V123" s="411"/>
      <c r="W123" s="411"/>
      <c r="X123" s="411"/>
      <c r="Y123" s="411"/>
      <c r="Z123" s="411"/>
      <c r="AA123" s="411"/>
      <c r="AB123" s="411"/>
      <c r="AC123" s="411"/>
      <c r="AD123" s="411"/>
      <c r="AE123" s="411"/>
      <c r="AF123" s="411"/>
      <c r="AG123" s="411"/>
      <c r="AH123" s="411"/>
      <c r="AI123" s="411"/>
      <c r="AJ123" s="411"/>
      <c r="AK123" s="411"/>
      <c r="AL123" s="411"/>
      <c r="AM123" s="411"/>
      <c r="AN123" s="411"/>
      <c r="AO123" s="411"/>
      <c r="AP123" s="411"/>
      <c r="AQ123" s="411"/>
      <c r="AR123" s="411"/>
      <c r="AS123" s="411"/>
      <c r="AT123" s="411"/>
      <c r="AU123" s="411"/>
    </row>
    <row r="124" spans="9:47" x14ac:dyDescent="0.15">
      <c r="L124" s="411"/>
      <c r="M124" s="411"/>
      <c r="N124" s="411"/>
      <c r="O124" s="411"/>
      <c r="P124" s="411"/>
      <c r="Q124" s="411"/>
      <c r="R124" s="411"/>
      <c r="S124" s="411"/>
      <c r="T124" s="411"/>
      <c r="U124" s="411"/>
      <c r="V124" s="411"/>
      <c r="W124" s="411"/>
      <c r="X124" s="411"/>
      <c r="Y124" s="411"/>
      <c r="Z124" s="411"/>
      <c r="AA124" s="411"/>
      <c r="AB124" s="411"/>
      <c r="AC124" s="411"/>
      <c r="AD124" s="411"/>
      <c r="AE124" s="411"/>
      <c r="AF124" s="411"/>
      <c r="AG124" s="411"/>
      <c r="AH124" s="411"/>
      <c r="AI124" s="411"/>
      <c r="AJ124" s="411"/>
      <c r="AK124" s="411"/>
      <c r="AL124" s="411"/>
      <c r="AM124" s="411"/>
      <c r="AN124" s="411"/>
      <c r="AO124" s="411"/>
      <c r="AP124" s="411"/>
      <c r="AQ124" s="411"/>
      <c r="AR124" s="411"/>
      <c r="AS124" s="411"/>
      <c r="AT124" s="411"/>
      <c r="AU124" s="411"/>
    </row>
    <row r="125" spans="9:47" x14ac:dyDescent="0.15">
      <c r="L125" s="411"/>
      <c r="M125" s="411"/>
      <c r="N125" s="411"/>
      <c r="O125" s="411"/>
      <c r="P125" s="411"/>
      <c r="Q125" s="411"/>
      <c r="R125" s="411"/>
      <c r="S125" s="411"/>
      <c r="T125" s="411"/>
      <c r="U125" s="411"/>
      <c r="V125" s="411"/>
      <c r="W125" s="411"/>
      <c r="X125" s="411"/>
      <c r="Y125" s="411"/>
      <c r="Z125" s="411"/>
      <c r="AA125" s="411"/>
      <c r="AB125" s="411"/>
      <c r="AC125" s="411"/>
      <c r="AD125" s="411"/>
      <c r="AE125" s="411"/>
      <c r="AF125" s="411"/>
      <c r="AG125" s="411"/>
      <c r="AH125" s="411"/>
      <c r="AI125" s="411"/>
      <c r="AJ125" s="411"/>
      <c r="AK125" s="411"/>
      <c r="AL125" s="411"/>
      <c r="AM125" s="411"/>
      <c r="AN125" s="411"/>
      <c r="AO125" s="411"/>
      <c r="AP125" s="411"/>
      <c r="AQ125" s="411"/>
      <c r="AR125" s="411"/>
      <c r="AS125" s="411"/>
      <c r="AT125" s="411"/>
      <c r="AU125" s="411"/>
    </row>
  </sheetData>
  <sheetProtection algorithmName="SHA-512" hashValue="CYN7GcAx8VxRbDZigf25YGw+XkOG7YYDgCx48IElCFSb3TTp3JJVuDntJi0hfYjgiWX/VaJA2EH4Zskl5le1ag==" saltValue="vhGyFqR5cG92UmV2M2LLIw==" spinCount="100000" sheet="1" selectLockedCells="1" selectUnlockedCells="1"/>
  <mergeCells count="234">
    <mergeCell ref="V37:W37"/>
    <mergeCell ref="AJ93:AU93"/>
    <mergeCell ref="AJ92:AU92"/>
    <mergeCell ref="T92:AI92"/>
    <mergeCell ref="AR3:AT3"/>
    <mergeCell ref="AO2:AT2"/>
    <mergeCell ref="AD59:AF59"/>
    <mergeCell ref="AD60:AF60"/>
    <mergeCell ref="AT64:AU64"/>
    <mergeCell ref="AT65:AU65"/>
    <mergeCell ref="AF71:AL71"/>
    <mergeCell ref="AF72:AL72"/>
    <mergeCell ref="AF73:AL73"/>
    <mergeCell ref="AK3:AM3"/>
    <mergeCell ref="AF8:AU8"/>
    <mergeCell ref="AF9:AU9"/>
    <mergeCell ref="AF11:AU12"/>
    <mergeCell ref="AO3:AP3"/>
    <mergeCell ref="AF13:AU13"/>
    <mergeCell ref="X29:AH29"/>
    <mergeCell ref="X30:AH30"/>
    <mergeCell ref="AD65:AE65"/>
    <mergeCell ref="AL64:AM64"/>
    <mergeCell ref="AL65:AM65"/>
    <mergeCell ref="V83:AE83"/>
    <mergeCell ref="J72:M72"/>
    <mergeCell ref="J73:M73"/>
    <mergeCell ref="J74:M74"/>
    <mergeCell ref="K90:O90"/>
    <mergeCell ref="P90:AU91"/>
    <mergeCell ref="AR116:AU116"/>
    <mergeCell ref="AR117:AU117"/>
    <mergeCell ref="AR118:AU118"/>
    <mergeCell ref="AR110:AU110"/>
    <mergeCell ref="AR111:AU111"/>
    <mergeCell ref="AR112:AU112"/>
    <mergeCell ref="AR113:AU113"/>
    <mergeCell ref="AR114:AU114"/>
    <mergeCell ref="AR115:AU115"/>
    <mergeCell ref="AI118:AJ118"/>
    <mergeCell ref="AK118:AM118"/>
    <mergeCell ref="AN118:AO118"/>
    <mergeCell ref="AP118:AQ118"/>
    <mergeCell ref="AR104:AU104"/>
    <mergeCell ref="AR105:AU105"/>
    <mergeCell ref="AR106:AU106"/>
    <mergeCell ref="AR107:AU107"/>
    <mergeCell ref="AR108:AU108"/>
    <mergeCell ref="AR109:AU109"/>
    <mergeCell ref="AI116:AJ116"/>
    <mergeCell ref="AK116:AM116"/>
    <mergeCell ref="AN116:AO116"/>
    <mergeCell ref="AP116:AQ116"/>
    <mergeCell ref="AI117:AJ117"/>
    <mergeCell ref="AK117:AM117"/>
    <mergeCell ref="AN117:AO117"/>
    <mergeCell ref="AP117:AQ117"/>
    <mergeCell ref="AI114:AJ114"/>
    <mergeCell ref="AK114:AM114"/>
    <mergeCell ref="AN114:AO114"/>
    <mergeCell ref="AP114:AQ114"/>
    <mergeCell ref="AI115:AJ115"/>
    <mergeCell ref="AK115:AM115"/>
    <mergeCell ref="AN115:AO115"/>
    <mergeCell ref="AP115:AQ115"/>
    <mergeCell ref="AI112:AJ112"/>
    <mergeCell ref="AK112:AM112"/>
    <mergeCell ref="AN112:AO112"/>
    <mergeCell ref="AP112:AQ112"/>
    <mergeCell ref="AI113:AJ113"/>
    <mergeCell ref="AK113:AM113"/>
    <mergeCell ref="AN113:AO113"/>
    <mergeCell ref="AP113:AQ113"/>
    <mergeCell ref="AI110:AJ110"/>
    <mergeCell ref="AK110:AM110"/>
    <mergeCell ref="AN110:AO110"/>
    <mergeCell ref="AP110:AQ110"/>
    <mergeCell ref="AI111:AJ111"/>
    <mergeCell ref="AK111:AM111"/>
    <mergeCell ref="AN111:AO111"/>
    <mergeCell ref="AP111:AQ111"/>
    <mergeCell ref="AP109:AQ109"/>
    <mergeCell ref="AI106:AJ106"/>
    <mergeCell ref="AK106:AM106"/>
    <mergeCell ref="AN106:AO106"/>
    <mergeCell ref="AP106:AQ106"/>
    <mergeCell ref="AI107:AJ107"/>
    <mergeCell ref="AK107:AM107"/>
    <mergeCell ref="AN107:AO107"/>
    <mergeCell ref="AP107:AQ107"/>
    <mergeCell ref="AI104:AJ104"/>
    <mergeCell ref="AK104:AM104"/>
    <mergeCell ref="AN104:AO104"/>
    <mergeCell ref="AP104:AQ104"/>
    <mergeCell ref="AI105:AJ105"/>
    <mergeCell ref="AK105:AM105"/>
    <mergeCell ref="AN105:AO105"/>
    <mergeCell ref="AP105:AQ105"/>
    <mergeCell ref="J118:O118"/>
    <mergeCell ref="P118:X118"/>
    <mergeCell ref="Y118:AH118"/>
    <mergeCell ref="J108:O108"/>
    <mergeCell ref="P108:X108"/>
    <mergeCell ref="Y108:AH108"/>
    <mergeCell ref="J109:O109"/>
    <mergeCell ref="P109:X109"/>
    <mergeCell ref="Y109:AH109"/>
    <mergeCell ref="AI108:AJ108"/>
    <mergeCell ref="AK108:AM108"/>
    <mergeCell ref="AN108:AO108"/>
    <mergeCell ref="AP108:AQ108"/>
    <mergeCell ref="AI109:AJ109"/>
    <mergeCell ref="AK109:AM109"/>
    <mergeCell ref="AN109:AO109"/>
    <mergeCell ref="J102:O103"/>
    <mergeCell ref="P102:X103"/>
    <mergeCell ref="Y102:AH103"/>
    <mergeCell ref="J116:O116"/>
    <mergeCell ref="P116:X116"/>
    <mergeCell ref="Y116:AH116"/>
    <mergeCell ref="J117:O117"/>
    <mergeCell ref="P117:X117"/>
    <mergeCell ref="Y117:AH117"/>
    <mergeCell ref="J114:O114"/>
    <mergeCell ref="P114:X114"/>
    <mergeCell ref="Y114:AH114"/>
    <mergeCell ref="J115:O115"/>
    <mergeCell ref="P115:X115"/>
    <mergeCell ref="Y115:AH115"/>
    <mergeCell ref="J112:O112"/>
    <mergeCell ref="P112:X112"/>
    <mergeCell ref="Y112:AH112"/>
    <mergeCell ref="J113:O113"/>
    <mergeCell ref="P113:X113"/>
    <mergeCell ref="Y113:AH113"/>
    <mergeCell ref="J111:O111"/>
    <mergeCell ref="P111:X111"/>
    <mergeCell ref="Y111:AH111"/>
    <mergeCell ref="AK103:AM103"/>
    <mergeCell ref="AI103:AJ103"/>
    <mergeCell ref="J99:AU99"/>
    <mergeCell ref="J100:AU100"/>
    <mergeCell ref="L120:AU125"/>
    <mergeCell ref="AI102:AQ102"/>
    <mergeCell ref="AR102:AU103"/>
    <mergeCell ref="AP103:AQ103"/>
    <mergeCell ref="AN103:AO103"/>
    <mergeCell ref="J106:O106"/>
    <mergeCell ref="P106:X106"/>
    <mergeCell ref="Y106:AH106"/>
    <mergeCell ref="J107:O107"/>
    <mergeCell ref="P107:X107"/>
    <mergeCell ref="Y107:AH107"/>
    <mergeCell ref="J104:O104"/>
    <mergeCell ref="P104:X104"/>
    <mergeCell ref="Y104:AH104"/>
    <mergeCell ref="J105:O105"/>
    <mergeCell ref="P105:X105"/>
    <mergeCell ref="Y105:AH105"/>
    <mergeCell ref="J110:O110"/>
    <mergeCell ref="P110:X110"/>
    <mergeCell ref="Y110:AH110"/>
    <mergeCell ref="AO96:AP96"/>
    <mergeCell ref="AF63:AM63"/>
    <mergeCell ref="AN63:AU63"/>
    <mergeCell ref="W63:AE63"/>
    <mergeCell ref="N63:V63"/>
    <mergeCell ref="AJ86:AU86"/>
    <mergeCell ref="AJ84:AU84"/>
    <mergeCell ref="AJ85:AU85"/>
    <mergeCell ref="AF83:AU83"/>
    <mergeCell ref="T93:AI93"/>
    <mergeCell ref="J92:S92"/>
    <mergeCell ref="J93:S93"/>
    <mergeCell ref="V84:AE86"/>
    <mergeCell ref="J89:AU89"/>
    <mergeCell ref="J71:M71"/>
    <mergeCell ref="N71:V71"/>
    <mergeCell ref="W71:AE71"/>
    <mergeCell ref="AM71:AU71"/>
    <mergeCell ref="W72:AE72"/>
    <mergeCell ref="N74:V74"/>
    <mergeCell ref="W74:AE74"/>
    <mergeCell ref="AM72:AU72"/>
    <mergeCell ref="AM74:AU74"/>
    <mergeCell ref="N73:V73"/>
    <mergeCell ref="N65:T65"/>
    <mergeCell ref="W64:AC64"/>
    <mergeCell ref="J59:M59"/>
    <mergeCell ref="J60:M60"/>
    <mergeCell ref="N59:R59"/>
    <mergeCell ref="N60:R60"/>
    <mergeCell ref="S59:AB59"/>
    <mergeCell ref="S60:AB60"/>
    <mergeCell ref="AK96:AM96"/>
    <mergeCell ref="AM73:AU73"/>
    <mergeCell ref="W73:AE73"/>
    <mergeCell ref="N72:V72"/>
    <mergeCell ref="AF74:AL74"/>
    <mergeCell ref="J83:U83"/>
    <mergeCell ref="J84:U86"/>
    <mergeCell ref="AR96:AT96"/>
    <mergeCell ref="W65:AC65"/>
    <mergeCell ref="AF64:AK64"/>
    <mergeCell ref="AF65:AK65"/>
    <mergeCell ref="AN64:AS64"/>
    <mergeCell ref="AN65:AS65"/>
    <mergeCell ref="AD64:AE64"/>
    <mergeCell ref="U64:V64"/>
    <mergeCell ref="U65:V65"/>
    <mergeCell ref="AF86:AI86"/>
    <mergeCell ref="AF85:AI85"/>
    <mergeCell ref="AF84:AI84"/>
    <mergeCell ref="M15:N15"/>
    <mergeCell ref="X37:Y37"/>
    <mergeCell ref="L40:AU42"/>
    <mergeCell ref="L43:AU45"/>
    <mergeCell ref="J54:M58"/>
    <mergeCell ref="J19:AU23"/>
    <mergeCell ref="J25:AU25"/>
    <mergeCell ref="AA37:AB37"/>
    <mergeCell ref="AE37:AF37"/>
    <mergeCell ref="V36:AG36"/>
    <mergeCell ref="J27:AU27"/>
    <mergeCell ref="S54:AB58"/>
    <mergeCell ref="N54:R58"/>
    <mergeCell ref="AC54:AU58"/>
    <mergeCell ref="J64:M64"/>
    <mergeCell ref="J65:M65"/>
    <mergeCell ref="J63:M63"/>
    <mergeCell ref="L66:AU67"/>
    <mergeCell ref="AG59:AU59"/>
    <mergeCell ref="AG60:AU60"/>
    <mergeCell ref="N64:T64"/>
  </mergeCells>
  <phoneticPr fontId="4"/>
  <dataValidations count="1">
    <dataValidation imeMode="disabled" allowBlank="1" showInputMessage="1" showErrorMessage="1" sqref="AN3 Z37 AN96" xr:uid="{B1A4CFAE-A883-41C2-8C75-3433E64905FE}"/>
  </dataValidations>
  <pageMargins left="0.98425196850393704" right="0.70866141732283472" top="0.6889763779527559" bottom="0.6889763779527559" header="0.31496062992125984" footer="0.31496062992125984"/>
  <pageSetup paperSize="9" scale="96" fitToWidth="0" fitToHeight="0" orientation="portrait" r:id="rId1"/>
  <rowBreaks count="2" manualBreakCount="2">
    <brk id="50" max="16383" man="1"/>
    <brk id="94"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EA32AE1C-E0EA-4621-87CE-BEB14CFC69B3}">
            <xm:f>NOT(ISERROR(SEARCH("-",AD59)))</xm:f>
            <xm:f>"-"</xm:f>
            <x14:dxf>
              <font>
                <b/>
                <i val="0"/>
              </font>
            </x14:dxf>
          </x14:cfRule>
          <xm:sqref>AD59:AD60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C9D62-D6B0-4E94-93F6-4E5063E0E862}">
  <sheetPr codeName="Sheet6">
    <tabColor theme="7" tint="0.59999389629810485"/>
  </sheetPr>
  <dimension ref="A1:AU170"/>
  <sheetViews>
    <sheetView showGridLines="0" topLeftCell="I1" workbookViewId="0">
      <selection activeCell="AK141" sqref="AK141:AM141"/>
    </sheetView>
  </sheetViews>
  <sheetFormatPr defaultRowHeight="12.75" x14ac:dyDescent="0.15"/>
  <cols>
    <col min="1" max="3" width="9" style="58" hidden="1" customWidth="1"/>
    <col min="4" max="4" width="5.625" style="58" hidden="1" customWidth="1"/>
    <col min="5" max="8" width="3.25" style="58" hidden="1" customWidth="1"/>
    <col min="9" max="9" width="0.625" style="58" customWidth="1"/>
    <col min="10" max="12" width="2.5" style="58" customWidth="1"/>
    <col min="13" max="13" width="1.75" style="58" customWidth="1"/>
    <col min="14" max="14" width="3.25" style="58" customWidth="1"/>
    <col min="15" max="19" width="2.5" style="58" customWidth="1"/>
    <col min="20" max="20" width="2.125" style="58" customWidth="1"/>
    <col min="21" max="21" width="0.625" style="58" customWidth="1"/>
    <col min="22" max="28" width="2.5" style="58" customWidth="1"/>
    <col min="29" max="29" width="2.125" style="58" customWidth="1"/>
    <col min="30" max="30" width="0.625" style="58" customWidth="1"/>
    <col min="31" max="36" width="2.5" style="58" customWidth="1"/>
    <col min="37" max="37" width="2.125" style="58" customWidth="1"/>
    <col min="38" max="38" width="0.625" style="58" customWidth="1"/>
    <col min="39" max="44" width="2.5" style="58" customWidth="1"/>
    <col min="45" max="45" width="2.125" style="58" customWidth="1"/>
    <col min="46" max="46" width="0.625" style="58" customWidth="1"/>
    <col min="47" max="47" width="2.5" style="58" customWidth="1"/>
    <col min="48" max="48" width="0.625" style="58" customWidth="1"/>
    <col min="49" max="16384" width="9" style="58"/>
  </cols>
  <sheetData>
    <row r="1" spans="10:47" x14ac:dyDescent="0.15">
      <c r="J1" s="58" t="s">
        <v>223</v>
      </c>
    </row>
    <row r="2" spans="10:47" ht="17.100000000000001" customHeight="1" x14ac:dyDescent="0.15">
      <c r="AN2" s="59" t="s">
        <v>224</v>
      </c>
      <c r="AO2" s="434" t="str">
        <f>中間シート!G4</f>
        <v/>
      </c>
      <c r="AP2" s="434"/>
      <c r="AQ2" s="434"/>
      <c r="AR2" s="434"/>
      <c r="AS2" s="434"/>
      <c r="AT2" s="434"/>
      <c r="AU2" s="59" t="s">
        <v>225</v>
      </c>
    </row>
    <row r="3" spans="10:47" ht="17.100000000000001" customHeight="1" x14ac:dyDescent="0.15">
      <c r="AJ3" s="60" t="s">
        <v>226</v>
      </c>
      <c r="AK3" s="409" t="str">
        <f>IF(中間シート!F5&lt;&gt;0,4,"")</f>
        <v/>
      </c>
      <c r="AL3" s="409"/>
      <c r="AM3" s="409"/>
      <c r="AN3" s="59" t="s">
        <v>227</v>
      </c>
      <c r="AO3" s="415" t="str">
        <f>IF(中間シート!F5&lt;&gt;0,中間シート!F5,"")</f>
        <v/>
      </c>
      <c r="AP3" s="415"/>
      <c r="AQ3" s="58" t="s">
        <v>228</v>
      </c>
      <c r="AR3" s="416" t="str">
        <f>IF(中間シート!F5&lt;&gt;0,中間シート!F5,"")</f>
        <v/>
      </c>
      <c r="AS3" s="416"/>
      <c r="AT3" s="416"/>
      <c r="AU3" s="59" t="s">
        <v>229</v>
      </c>
    </row>
    <row r="4" spans="10:47" x14ac:dyDescent="0.15">
      <c r="J4" s="58" t="s">
        <v>230</v>
      </c>
    </row>
    <row r="5" spans="10:47" x14ac:dyDescent="0.15">
      <c r="J5" s="58" t="s">
        <v>231</v>
      </c>
    </row>
    <row r="6" spans="10:47" x14ac:dyDescent="0.15">
      <c r="J6" s="138" t="s">
        <v>232</v>
      </c>
    </row>
    <row r="7" spans="10:47" x14ac:dyDescent="0.15">
      <c r="J7" s="58" t="s">
        <v>233</v>
      </c>
    </row>
    <row r="8" spans="10:47" ht="17.100000000000001" customHeight="1" x14ac:dyDescent="0.15">
      <c r="Z8" s="60" t="s">
        <v>234</v>
      </c>
      <c r="AA8" s="58" t="s">
        <v>235</v>
      </c>
      <c r="AF8" s="443" t="str">
        <f>中間シート!F8&amp;中間シート!F9</f>
        <v/>
      </c>
      <c r="AG8" s="443"/>
      <c r="AH8" s="443"/>
      <c r="AI8" s="443"/>
      <c r="AJ8" s="443"/>
      <c r="AK8" s="443"/>
      <c r="AL8" s="443"/>
      <c r="AM8" s="443"/>
      <c r="AN8" s="443"/>
      <c r="AO8" s="443"/>
      <c r="AP8" s="443"/>
      <c r="AQ8" s="443"/>
      <c r="AR8" s="443"/>
      <c r="AS8" s="443"/>
      <c r="AT8" s="443"/>
      <c r="AU8" s="443"/>
    </row>
    <row r="9" spans="10:47" ht="17.100000000000001" customHeight="1" x14ac:dyDescent="0.15">
      <c r="AF9" s="443" t="str">
        <f>中間シート!F10&amp;中間シート!F11</f>
        <v/>
      </c>
      <c r="AG9" s="443"/>
      <c r="AH9" s="443"/>
      <c r="AI9" s="443"/>
      <c r="AJ9" s="443"/>
      <c r="AK9" s="443"/>
      <c r="AL9" s="443"/>
      <c r="AM9" s="443"/>
      <c r="AN9" s="443"/>
      <c r="AO9" s="443"/>
      <c r="AP9" s="443"/>
      <c r="AQ9" s="443"/>
      <c r="AR9" s="443"/>
      <c r="AS9" s="443"/>
      <c r="AT9" s="443"/>
      <c r="AU9" s="443"/>
    </row>
    <row r="10" spans="10:47" x14ac:dyDescent="0.15">
      <c r="AA10" s="58" t="s">
        <v>236</v>
      </c>
    </row>
    <row r="11" spans="10:47" ht="17.100000000000001" customHeight="1" x14ac:dyDescent="0.15">
      <c r="AF11" s="450" t="str">
        <f>中間シート!F12</f>
        <v/>
      </c>
      <c r="AG11" s="450"/>
      <c r="AH11" s="450"/>
      <c r="AI11" s="450"/>
      <c r="AJ11" s="450"/>
      <c r="AK11" s="450"/>
      <c r="AL11" s="450"/>
      <c r="AM11" s="450"/>
      <c r="AN11" s="450"/>
      <c r="AO11" s="450"/>
      <c r="AP11" s="450"/>
      <c r="AQ11" s="450"/>
      <c r="AR11" s="450"/>
      <c r="AS11" s="450"/>
      <c r="AT11" s="450"/>
      <c r="AU11" s="450"/>
    </row>
    <row r="12" spans="10:47" ht="17.100000000000001" customHeight="1" x14ac:dyDescent="0.15">
      <c r="AF12" s="450"/>
      <c r="AG12" s="450"/>
      <c r="AH12" s="450"/>
      <c r="AI12" s="450"/>
      <c r="AJ12" s="450"/>
      <c r="AK12" s="450"/>
      <c r="AL12" s="450"/>
      <c r="AM12" s="450"/>
      <c r="AN12" s="450"/>
      <c r="AO12" s="450"/>
      <c r="AP12" s="450"/>
      <c r="AQ12" s="450"/>
      <c r="AR12" s="450"/>
      <c r="AS12" s="450"/>
      <c r="AT12" s="450"/>
      <c r="AU12" s="450"/>
    </row>
    <row r="13" spans="10:47" ht="17.100000000000001" customHeight="1" x14ac:dyDescent="0.15">
      <c r="AA13" s="58" t="s">
        <v>237</v>
      </c>
      <c r="AF13" s="443" t="str">
        <f>IF(中間シート!F13&lt;&gt;"",中間シート!F13&amp;"　"&amp;中間シート!F14&amp;"　"&amp;中間シート!F15,中間シート!F14&amp;"　"&amp;中間シート!F15)</f>
        <v>　</v>
      </c>
      <c r="AG13" s="443"/>
      <c r="AH13" s="443"/>
      <c r="AI13" s="443"/>
      <c r="AJ13" s="443"/>
      <c r="AK13" s="443"/>
      <c r="AL13" s="443"/>
      <c r="AM13" s="443"/>
      <c r="AN13" s="443"/>
      <c r="AO13" s="443"/>
      <c r="AP13" s="443"/>
      <c r="AQ13" s="443"/>
      <c r="AR13" s="443"/>
      <c r="AS13" s="443"/>
      <c r="AT13" s="443"/>
      <c r="AU13" s="443"/>
    </row>
    <row r="15" spans="10:47" ht="17.100000000000001" customHeight="1" x14ac:dyDescent="0.15">
      <c r="K15" s="58" t="s">
        <v>238</v>
      </c>
      <c r="M15" s="409" t="str">
        <f>IF(OR(中間シート!F14&lt;&gt;"",中間シート!F15&lt;&gt;""),4,"")</f>
        <v/>
      </c>
      <c r="N15" s="409"/>
      <c r="O15" s="58" t="s">
        <v>239</v>
      </c>
    </row>
    <row r="16" spans="10:47" ht="17.100000000000001" customHeight="1" x14ac:dyDescent="0.15">
      <c r="K16" s="58" t="s">
        <v>240</v>
      </c>
    </row>
    <row r="17" spans="10:47" ht="17.100000000000001" customHeight="1" x14ac:dyDescent="0.15">
      <c r="K17" s="58" t="s">
        <v>241</v>
      </c>
    </row>
    <row r="19" spans="10:47" x14ac:dyDescent="0.15">
      <c r="J19" s="413" t="s">
        <v>242</v>
      </c>
      <c r="K19" s="413"/>
      <c r="L19" s="413"/>
      <c r="M19" s="413"/>
      <c r="N19" s="413"/>
      <c r="O19" s="413"/>
      <c r="P19" s="413"/>
      <c r="Q19" s="413"/>
      <c r="R19" s="413"/>
      <c r="S19" s="413"/>
      <c r="T19" s="413"/>
      <c r="U19" s="413"/>
      <c r="V19" s="413"/>
      <c r="W19" s="413"/>
      <c r="X19" s="413"/>
      <c r="Y19" s="413"/>
      <c r="Z19" s="413"/>
      <c r="AA19" s="413"/>
      <c r="AB19" s="413"/>
      <c r="AC19" s="413"/>
      <c r="AD19" s="413"/>
      <c r="AE19" s="413"/>
      <c r="AF19" s="413"/>
      <c r="AG19" s="413"/>
      <c r="AH19" s="413"/>
      <c r="AI19" s="413"/>
      <c r="AJ19" s="413"/>
      <c r="AK19" s="413"/>
      <c r="AL19" s="413"/>
      <c r="AM19" s="413"/>
      <c r="AN19" s="413"/>
      <c r="AO19" s="413"/>
      <c r="AP19" s="413"/>
      <c r="AQ19" s="413"/>
      <c r="AR19" s="413"/>
      <c r="AS19" s="413"/>
      <c r="AT19" s="413"/>
      <c r="AU19" s="413"/>
    </row>
    <row r="20" spans="10:47" x14ac:dyDescent="0.15">
      <c r="J20" s="413"/>
      <c r="K20" s="413"/>
      <c r="L20" s="413"/>
      <c r="M20" s="413"/>
      <c r="N20" s="413"/>
      <c r="O20" s="413"/>
      <c r="P20" s="413"/>
      <c r="Q20" s="413"/>
      <c r="R20" s="413"/>
      <c r="S20" s="413"/>
      <c r="T20" s="413"/>
      <c r="U20" s="413"/>
      <c r="V20" s="413"/>
      <c r="W20" s="413"/>
      <c r="X20" s="413"/>
      <c r="Y20" s="413"/>
      <c r="Z20" s="413"/>
      <c r="AA20" s="413"/>
      <c r="AB20" s="413"/>
      <c r="AC20" s="413"/>
      <c r="AD20" s="413"/>
      <c r="AE20" s="413"/>
      <c r="AF20" s="413"/>
      <c r="AG20" s="413"/>
      <c r="AH20" s="413"/>
      <c r="AI20" s="413"/>
      <c r="AJ20" s="413"/>
      <c r="AK20" s="413"/>
      <c r="AL20" s="413"/>
      <c r="AM20" s="413"/>
      <c r="AN20" s="413"/>
      <c r="AO20" s="413"/>
      <c r="AP20" s="413"/>
      <c r="AQ20" s="413"/>
      <c r="AR20" s="413"/>
      <c r="AS20" s="413"/>
      <c r="AT20" s="413"/>
      <c r="AU20" s="413"/>
    </row>
    <row r="21" spans="10:47" x14ac:dyDescent="0.15">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3"/>
      <c r="AU21" s="413"/>
    </row>
    <row r="22" spans="10:47" x14ac:dyDescent="0.15">
      <c r="J22" s="413"/>
      <c r="K22" s="413"/>
      <c r="L22" s="413"/>
      <c r="M22" s="413"/>
      <c r="N22" s="413"/>
      <c r="O22" s="413"/>
      <c r="P22" s="413"/>
      <c r="Q22" s="413"/>
      <c r="R22" s="413"/>
      <c r="S22" s="413"/>
      <c r="T22" s="413"/>
      <c r="U22" s="413"/>
      <c r="V22" s="413"/>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row>
    <row r="23" spans="10:47" x14ac:dyDescent="0.15">
      <c r="J23" s="413"/>
      <c r="K23" s="413"/>
      <c r="L23" s="413"/>
      <c r="M23" s="413"/>
      <c r="N23" s="413"/>
      <c r="O23" s="413"/>
      <c r="P23" s="413"/>
      <c r="Q23" s="413"/>
      <c r="R23" s="413"/>
      <c r="S23" s="413"/>
      <c r="T23" s="413"/>
      <c r="U23" s="413"/>
      <c r="V23" s="413"/>
      <c r="W23" s="413"/>
      <c r="X23" s="413"/>
      <c r="Y23" s="413"/>
      <c r="Z23" s="413"/>
      <c r="AA23" s="413"/>
      <c r="AB23" s="413"/>
      <c r="AC23" s="413"/>
      <c r="AD23" s="413"/>
      <c r="AE23" s="413"/>
      <c r="AF23" s="413"/>
      <c r="AG23" s="413"/>
      <c r="AH23" s="413"/>
      <c r="AI23" s="413"/>
      <c r="AJ23" s="413"/>
      <c r="AK23" s="413"/>
      <c r="AL23" s="413"/>
      <c r="AM23" s="413"/>
      <c r="AN23" s="413"/>
      <c r="AO23" s="413"/>
      <c r="AP23" s="413"/>
      <c r="AQ23" s="413"/>
      <c r="AR23" s="413"/>
      <c r="AS23" s="413"/>
      <c r="AT23" s="413"/>
      <c r="AU23" s="413"/>
    </row>
    <row r="25" spans="10:47" x14ac:dyDescent="0.15">
      <c r="J25" s="414" t="s">
        <v>243</v>
      </c>
      <c r="K25" s="414"/>
      <c r="L25" s="414"/>
      <c r="M25" s="414"/>
      <c r="N25" s="414"/>
      <c r="O25" s="414"/>
      <c r="P25" s="414"/>
      <c r="Q25" s="414"/>
      <c r="R25" s="414"/>
      <c r="S25" s="414"/>
      <c r="T25" s="414"/>
      <c r="U25" s="414"/>
      <c r="V25" s="414"/>
      <c r="W25" s="414"/>
      <c r="X25" s="414"/>
      <c r="Y25" s="414"/>
      <c r="Z25" s="414"/>
      <c r="AA25" s="414"/>
      <c r="AB25" s="414"/>
      <c r="AC25" s="414"/>
      <c r="AD25" s="414"/>
      <c r="AE25" s="414"/>
      <c r="AF25" s="414"/>
      <c r="AG25" s="414"/>
      <c r="AH25" s="414"/>
      <c r="AI25" s="414"/>
      <c r="AJ25" s="414"/>
      <c r="AK25" s="414"/>
      <c r="AL25" s="414"/>
      <c r="AM25" s="414"/>
      <c r="AN25" s="414"/>
      <c r="AO25" s="414"/>
      <c r="AP25" s="414"/>
      <c r="AQ25" s="414"/>
      <c r="AR25" s="414"/>
      <c r="AS25" s="414"/>
      <c r="AT25" s="414"/>
      <c r="AU25" s="414"/>
    </row>
    <row r="26" spans="10:47" x14ac:dyDescent="0.15">
      <c r="J26" s="58" t="s">
        <v>244</v>
      </c>
    </row>
    <row r="27" spans="10:47" ht="17.100000000000001" customHeight="1" x14ac:dyDescent="0.15">
      <c r="J27" s="409" t="str">
        <f>IF(中間シート!F3&lt;&gt;0,IF(中間シート!F3=1,中間シート!F12,IF(中間シート!F3=2,中間シート!F14&amp;"　"&amp;中間シート!F15))&amp;"のスキャンツール導入事業","")</f>
        <v/>
      </c>
      <c r="K27" s="409"/>
      <c r="L27" s="409"/>
      <c r="M27" s="409"/>
      <c r="N27" s="409"/>
      <c r="O27" s="409"/>
      <c r="P27" s="409"/>
      <c r="Q27" s="409"/>
      <c r="R27" s="409"/>
      <c r="S27" s="409"/>
      <c r="T27" s="409"/>
      <c r="U27" s="409"/>
      <c r="V27" s="409"/>
      <c r="W27" s="409"/>
      <c r="X27" s="409"/>
      <c r="Y27" s="409"/>
      <c r="Z27" s="409"/>
      <c r="AA27" s="409"/>
      <c r="AB27" s="409"/>
      <c r="AC27" s="409"/>
      <c r="AD27" s="409"/>
      <c r="AE27" s="409"/>
      <c r="AF27" s="409"/>
      <c r="AG27" s="409"/>
      <c r="AH27" s="409"/>
      <c r="AI27" s="409"/>
      <c r="AJ27" s="409"/>
      <c r="AK27" s="409"/>
      <c r="AL27" s="409"/>
      <c r="AM27" s="409"/>
      <c r="AN27" s="409"/>
      <c r="AO27" s="409"/>
      <c r="AP27" s="409"/>
      <c r="AQ27" s="409"/>
      <c r="AR27" s="409"/>
      <c r="AS27" s="409"/>
      <c r="AT27" s="409"/>
      <c r="AU27" s="409"/>
    </row>
    <row r="28" spans="10:47" x14ac:dyDescent="0.15">
      <c r="J28" s="58" t="s">
        <v>245</v>
      </c>
    </row>
    <row r="29" spans="10:47" ht="17.100000000000001" customHeight="1" x14ac:dyDescent="0.15">
      <c r="J29" s="58" t="s">
        <v>246</v>
      </c>
      <c r="X29" s="451" t="str">
        <f>IF(N119&lt;&gt;0,N119,"")</f>
        <v/>
      </c>
      <c r="Y29" s="451"/>
      <c r="Z29" s="451"/>
      <c r="AA29" s="451"/>
      <c r="AB29" s="451"/>
      <c r="AC29" s="451"/>
      <c r="AD29" s="451"/>
      <c r="AE29" s="451"/>
      <c r="AF29" s="451"/>
      <c r="AG29" s="451"/>
      <c r="AH29" s="451"/>
      <c r="AI29" s="139"/>
      <c r="AJ29" s="139"/>
      <c r="AM29" s="58" t="s">
        <v>247</v>
      </c>
    </row>
    <row r="30" spans="10:47" ht="17.100000000000001" customHeight="1" x14ac:dyDescent="0.15">
      <c r="J30" s="58" t="s">
        <v>248</v>
      </c>
      <c r="X30" s="451" t="str">
        <f>IF(W119&lt;&gt;0,W119,"")</f>
        <v/>
      </c>
      <c r="Y30" s="451"/>
      <c r="Z30" s="451"/>
      <c r="AA30" s="451"/>
      <c r="AB30" s="451"/>
      <c r="AC30" s="451"/>
      <c r="AD30" s="451"/>
      <c r="AE30" s="451"/>
      <c r="AF30" s="451"/>
      <c r="AG30" s="451"/>
      <c r="AH30" s="451"/>
      <c r="AI30" s="139"/>
      <c r="AJ30" s="139"/>
      <c r="AM30" s="58" t="s">
        <v>247</v>
      </c>
    </row>
    <row r="32" spans="10:47" x14ac:dyDescent="0.15">
      <c r="J32" s="58" t="s">
        <v>249</v>
      </c>
    </row>
    <row r="33" spans="10:47" x14ac:dyDescent="0.15">
      <c r="K33" s="58" t="s">
        <v>250</v>
      </c>
    </row>
    <row r="35" spans="10:47" x14ac:dyDescent="0.15">
      <c r="J35" s="58" t="s">
        <v>251</v>
      </c>
    </row>
    <row r="36" spans="10:47" ht="17.100000000000001" customHeight="1" x14ac:dyDescent="0.15">
      <c r="J36" s="58" t="s">
        <v>252</v>
      </c>
      <c r="V36" s="417" t="s">
        <v>253</v>
      </c>
      <c r="W36" s="417"/>
      <c r="X36" s="417"/>
      <c r="Y36" s="417"/>
      <c r="Z36" s="417"/>
      <c r="AA36" s="417"/>
      <c r="AB36" s="417"/>
      <c r="AC36" s="417"/>
      <c r="AD36" s="417"/>
      <c r="AE36" s="417"/>
      <c r="AF36" s="417"/>
      <c r="AG36" s="417"/>
    </row>
    <row r="37" spans="10:47" ht="17.100000000000001" customHeight="1" x14ac:dyDescent="0.15">
      <c r="J37" s="58" t="s">
        <v>254</v>
      </c>
      <c r="V37" s="417" t="s">
        <v>226</v>
      </c>
      <c r="W37" s="417"/>
      <c r="X37" s="409" t="str">
        <f>IF(中間シート!F6&lt;&gt;0,4,"")</f>
        <v/>
      </c>
      <c r="Y37" s="409"/>
      <c r="Z37" s="59" t="s">
        <v>227</v>
      </c>
      <c r="AA37" s="415" t="str">
        <f>IF(中間シート!F6&lt;&gt;0,中間シート!F6,"")</f>
        <v/>
      </c>
      <c r="AB37" s="415"/>
      <c r="AC37" s="58" t="s">
        <v>228</v>
      </c>
      <c r="AE37" s="416" t="str">
        <f>IF(中間シート!F6&lt;&gt;0,中間シート!F6,"")</f>
        <v/>
      </c>
      <c r="AF37" s="416"/>
      <c r="AG37" s="59" t="s">
        <v>229</v>
      </c>
    </row>
    <row r="38" spans="10:47" ht="13.5" x14ac:dyDescent="0.15">
      <c r="J38" s="61"/>
      <c r="K38" s="61"/>
    </row>
    <row r="39" spans="10:47" x14ac:dyDescent="0.15">
      <c r="J39" s="62" t="s">
        <v>255</v>
      </c>
      <c r="K39" s="62"/>
    </row>
    <row r="40" spans="10:47" ht="12.75" customHeight="1" x14ac:dyDescent="0.15">
      <c r="J40" s="63" t="s">
        <v>256</v>
      </c>
      <c r="K40" s="63"/>
      <c r="L40" s="410" t="s">
        <v>257</v>
      </c>
      <c r="M40" s="410"/>
      <c r="N40" s="410"/>
      <c r="O40" s="410"/>
      <c r="P40" s="410"/>
      <c r="Q40" s="410"/>
      <c r="R40" s="410"/>
      <c r="S40" s="410"/>
      <c r="T40" s="410"/>
      <c r="U40" s="410"/>
      <c r="V40" s="410"/>
      <c r="W40" s="410"/>
      <c r="X40" s="410"/>
      <c r="Y40" s="410"/>
      <c r="Z40" s="410"/>
      <c r="AA40" s="410"/>
      <c r="AB40" s="410"/>
      <c r="AC40" s="410"/>
      <c r="AD40" s="410"/>
      <c r="AE40" s="410"/>
      <c r="AF40" s="410"/>
      <c r="AG40" s="410"/>
      <c r="AH40" s="410"/>
      <c r="AI40" s="410"/>
      <c r="AJ40" s="410"/>
      <c r="AK40" s="410"/>
      <c r="AL40" s="410"/>
      <c r="AM40" s="410"/>
      <c r="AN40" s="410"/>
      <c r="AO40" s="410"/>
      <c r="AP40" s="410"/>
      <c r="AQ40" s="410"/>
      <c r="AR40" s="410"/>
      <c r="AS40" s="410"/>
      <c r="AT40" s="410"/>
      <c r="AU40" s="410"/>
    </row>
    <row r="41" spans="10:47" x14ac:dyDescent="0.15">
      <c r="J41" s="63"/>
      <c r="K41" s="63"/>
      <c r="L41" s="410"/>
      <c r="M41" s="410"/>
      <c r="N41" s="410"/>
      <c r="O41" s="410"/>
      <c r="P41" s="410"/>
      <c r="Q41" s="410"/>
      <c r="R41" s="410"/>
      <c r="S41" s="410"/>
      <c r="T41" s="410"/>
      <c r="U41" s="410"/>
      <c r="V41" s="410"/>
      <c r="W41" s="410"/>
      <c r="X41" s="410"/>
      <c r="Y41" s="410"/>
      <c r="Z41" s="410"/>
      <c r="AA41" s="410"/>
      <c r="AB41" s="410"/>
      <c r="AC41" s="410"/>
      <c r="AD41" s="410"/>
      <c r="AE41" s="410"/>
      <c r="AF41" s="410"/>
      <c r="AG41" s="410"/>
      <c r="AH41" s="410"/>
      <c r="AI41" s="410"/>
      <c r="AJ41" s="410"/>
      <c r="AK41" s="410"/>
      <c r="AL41" s="410"/>
      <c r="AM41" s="410"/>
      <c r="AN41" s="410"/>
      <c r="AO41" s="410"/>
      <c r="AP41" s="410"/>
      <c r="AQ41" s="410"/>
      <c r="AR41" s="410"/>
      <c r="AS41" s="410"/>
      <c r="AT41" s="410"/>
      <c r="AU41" s="410"/>
    </row>
    <row r="42" spans="10:47" x14ac:dyDescent="0.15">
      <c r="J42" s="63"/>
      <c r="K42" s="63"/>
      <c r="L42" s="410"/>
      <c r="M42" s="410"/>
      <c r="N42" s="410"/>
      <c r="O42" s="410"/>
      <c r="P42" s="410"/>
      <c r="Q42" s="410"/>
      <c r="R42" s="410"/>
      <c r="S42" s="410"/>
      <c r="T42" s="410"/>
      <c r="U42" s="410"/>
      <c r="V42" s="410"/>
      <c r="W42" s="410"/>
      <c r="X42" s="410"/>
      <c r="Y42" s="410"/>
      <c r="Z42" s="410"/>
      <c r="AA42" s="410"/>
      <c r="AB42" s="410"/>
      <c r="AC42" s="410"/>
      <c r="AD42" s="410"/>
      <c r="AE42" s="410"/>
      <c r="AF42" s="410"/>
      <c r="AG42" s="410"/>
      <c r="AH42" s="410"/>
      <c r="AI42" s="410"/>
      <c r="AJ42" s="410"/>
      <c r="AK42" s="410"/>
      <c r="AL42" s="410"/>
      <c r="AM42" s="410"/>
      <c r="AN42" s="410"/>
      <c r="AO42" s="410"/>
      <c r="AP42" s="410"/>
      <c r="AQ42" s="410"/>
      <c r="AR42" s="410"/>
      <c r="AS42" s="410"/>
      <c r="AT42" s="410"/>
      <c r="AU42" s="410"/>
    </row>
    <row r="43" spans="10:47" x14ac:dyDescent="0.15">
      <c r="J43" s="63" t="s">
        <v>258</v>
      </c>
      <c r="K43" s="63"/>
      <c r="L43" s="411" t="s">
        <v>259</v>
      </c>
      <c r="M43" s="411"/>
      <c r="N43" s="411"/>
      <c r="O43" s="411"/>
      <c r="P43" s="411"/>
      <c r="Q43" s="411"/>
      <c r="R43" s="411"/>
      <c r="S43" s="411"/>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row>
    <row r="44" spans="10:47" x14ac:dyDescent="0.15">
      <c r="J44" s="63"/>
      <c r="K44" s="63"/>
      <c r="L44" s="411"/>
      <c r="M44" s="411"/>
      <c r="N44" s="411"/>
      <c r="O44" s="411"/>
      <c r="P44" s="411"/>
      <c r="Q44" s="411"/>
      <c r="R44" s="411"/>
      <c r="S44" s="411"/>
      <c r="T44" s="411"/>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row>
    <row r="45" spans="10:47" x14ac:dyDescent="0.15">
      <c r="J45" s="63"/>
      <c r="K45" s="63"/>
      <c r="L45" s="411"/>
      <c r="M45" s="411"/>
      <c r="N45" s="411"/>
      <c r="O45" s="411"/>
      <c r="P45" s="411"/>
      <c r="Q45" s="411"/>
      <c r="R45" s="411"/>
      <c r="S45" s="411"/>
      <c r="T45" s="411"/>
      <c r="U45" s="411"/>
      <c r="V45" s="411"/>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row>
    <row r="46" spans="10:47" x14ac:dyDescent="0.15">
      <c r="J46" s="63" t="s">
        <v>260</v>
      </c>
      <c r="K46" s="63"/>
      <c r="L46" s="140" t="s">
        <v>261</v>
      </c>
      <c r="M46" s="140"/>
      <c r="N46" s="140"/>
    </row>
    <row r="47" spans="10:47" x14ac:dyDescent="0.15">
      <c r="J47" s="63" t="s">
        <v>262</v>
      </c>
      <c r="K47" s="63"/>
      <c r="L47" s="140" t="s">
        <v>263</v>
      </c>
      <c r="M47" s="140"/>
      <c r="N47" s="140"/>
    </row>
    <row r="48" spans="10:47" ht="13.5" x14ac:dyDescent="0.15">
      <c r="J48" s="64"/>
      <c r="K48" s="64"/>
    </row>
    <row r="49" spans="7:47" x14ac:dyDescent="0.15">
      <c r="J49" s="63" t="s">
        <v>264</v>
      </c>
      <c r="K49" s="63"/>
    </row>
    <row r="51" spans="7:47" x14ac:dyDescent="0.15">
      <c r="J51" s="58" t="s">
        <v>265</v>
      </c>
    </row>
    <row r="53" spans="7:47" x14ac:dyDescent="0.15">
      <c r="J53" s="58" t="s">
        <v>266</v>
      </c>
    </row>
    <row r="54" spans="7:47" ht="16.5" customHeight="1" x14ac:dyDescent="0.15">
      <c r="J54" s="412" t="s">
        <v>267</v>
      </c>
      <c r="K54" s="412"/>
      <c r="L54" s="412"/>
      <c r="M54" s="412"/>
      <c r="N54" s="452" t="s">
        <v>268</v>
      </c>
      <c r="O54" s="453"/>
      <c r="P54" s="453"/>
      <c r="Q54" s="453"/>
      <c r="R54" s="454"/>
      <c r="S54" s="418" t="s">
        <v>269</v>
      </c>
      <c r="T54" s="418"/>
      <c r="U54" s="418"/>
      <c r="V54" s="418"/>
      <c r="W54" s="418"/>
      <c r="X54" s="418"/>
      <c r="Y54" s="418"/>
      <c r="Z54" s="418"/>
      <c r="AA54" s="418"/>
      <c r="AB54" s="418"/>
      <c r="AC54" s="412" t="s">
        <v>270</v>
      </c>
      <c r="AD54" s="412"/>
      <c r="AE54" s="412"/>
      <c r="AF54" s="412"/>
      <c r="AG54" s="412"/>
      <c r="AH54" s="412"/>
      <c r="AI54" s="412"/>
      <c r="AJ54" s="412"/>
      <c r="AK54" s="412"/>
      <c r="AL54" s="412"/>
      <c r="AM54" s="412"/>
      <c r="AN54" s="412"/>
      <c r="AO54" s="412"/>
      <c r="AP54" s="412"/>
      <c r="AQ54" s="412"/>
      <c r="AR54" s="412"/>
      <c r="AS54" s="412"/>
      <c r="AT54" s="412"/>
      <c r="AU54" s="412"/>
    </row>
    <row r="55" spans="7:47" ht="16.5" customHeight="1" x14ac:dyDescent="0.15">
      <c r="J55" s="412"/>
      <c r="K55" s="412"/>
      <c r="L55" s="412"/>
      <c r="M55" s="412"/>
      <c r="N55" s="455"/>
      <c r="O55" s="456"/>
      <c r="P55" s="456"/>
      <c r="Q55" s="456"/>
      <c r="R55" s="457"/>
      <c r="S55" s="418"/>
      <c r="T55" s="418"/>
      <c r="U55" s="418"/>
      <c r="V55" s="418"/>
      <c r="W55" s="418"/>
      <c r="X55" s="418"/>
      <c r="Y55" s="418"/>
      <c r="Z55" s="418"/>
      <c r="AA55" s="418"/>
      <c r="AB55" s="418"/>
      <c r="AC55" s="412"/>
      <c r="AD55" s="412"/>
      <c r="AE55" s="412"/>
      <c r="AF55" s="412"/>
      <c r="AG55" s="412"/>
      <c r="AH55" s="412"/>
      <c r="AI55" s="412"/>
      <c r="AJ55" s="412"/>
      <c r="AK55" s="412"/>
      <c r="AL55" s="412"/>
      <c r="AM55" s="412"/>
      <c r="AN55" s="412"/>
      <c r="AO55" s="412"/>
      <c r="AP55" s="412"/>
      <c r="AQ55" s="412"/>
      <c r="AR55" s="412"/>
      <c r="AS55" s="412"/>
      <c r="AT55" s="412"/>
      <c r="AU55" s="412"/>
    </row>
    <row r="56" spans="7:47" ht="16.5" customHeight="1" x14ac:dyDescent="0.15">
      <c r="J56" s="412"/>
      <c r="K56" s="412"/>
      <c r="L56" s="412"/>
      <c r="M56" s="412"/>
      <c r="N56" s="455"/>
      <c r="O56" s="456"/>
      <c r="P56" s="456"/>
      <c r="Q56" s="456"/>
      <c r="R56" s="457"/>
      <c r="S56" s="418"/>
      <c r="T56" s="418"/>
      <c r="U56" s="418"/>
      <c r="V56" s="418"/>
      <c r="W56" s="418"/>
      <c r="X56" s="418"/>
      <c r="Y56" s="418"/>
      <c r="Z56" s="418"/>
      <c r="AA56" s="418"/>
      <c r="AB56" s="418"/>
      <c r="AC56" s="412"/>
      <c r="AD56" s="412"/>
      <c r="AE56" s="412"/>
      <c r="AF56" s="412"/>
      <c r="AG56" s="412"/>
      <c r="AH56" s="412"/>
      <c r="AI56" s="412"/>
      <c r="AJ56" s="412"/>
      <c r="AK56" s="412"/>
      <c r="AL56" s="412"/>
      <c r="AM56" s="412"/>
      <c r="AN56" s="412"/>
      <c r="AO56" s="412"/>
      <c r="AP56" s="412"/>
      <c r="AQ56" s="412"/>
      <c r="AR56" s="412"/>
      <c r="AS56" s="412"/>
      <c r="AT56" s="412"/>
      <c r="AU56" s="412"/>
    </row>
    <row r="57" spans="7:47" ht="16.5" customHeight="1" x14ac:dyDescent="0.15">
      <c r="J57" s="412"/>
      <c r="K57" s="412"/>
      <c r="L57" s="412"/>
      <c r="M57" s="412"/>
      <c r="N57" s="455"/>
      <c r="O57" s="456"/>
      <c r="P57" s="456"/>
      <c r="Q57" s="456"/>
      <c r="R57" s="457"/>
      <c r="S57" s="418"/>
      <c r="T57" s="418"/>
      <c r="U57" s="418"/>
      <c r="V57" s="418"/>
      <c r="W57" s="418"/>
      <c r="X57" s="418"/>
      <c r="Y57" s="418"/>
      <c r="Z57" s="418"/>
      <c r="AA57" s="418"/>
      <c r="AB57" s="418"/>
      <c r="AC57" s="412"/>
      <c r="AD57" s="412"/>
      <c r="AE57" s="412"/>
      <c r="AF57" s="412"/>
      <c r="AG57" s="412"/>
      <c r="AH57" s="412"/>
      <c r="AI57" s="412"/>
      <c r="AJ57" s="412"/>
      <c r="AK57" s="412"/>
      <c r="AL57" s="412"/>
      <c r="AM57" s="412"/>
      <c r="AN57" s="412"/>
      <c r="AO57" s="412"/>
      <c r="AP57" s="412"/>
      <c r="AQ57" s="412"/>
      <c r="AR57" s="412"/>
      <c r="AS57" s="412"/>
      <c r="AT57" s="412"/>
      <c r="AU57" s="412"/>
    </row>
    <row r="58" spans="7:47" ht="16.5" customHeight="1" x14ac:dyDescent="0.15">
      <c r="J58" s="412"/>
      <c r="K58" s="412"/>
      <c r="L58" s="412"/>
      <c r="M58" s="412"/>
      <c r="N58" s="458"/>
      <c r="O58" s="459"/>
      <c r="P58" s="459"/>
      <c r="Q58" s="459"/>
      <c r="R58" s="460"/>
      <c r="S58" s="418"/>
      <c r="T58" s="418"/>
      <c r="U58" s="418"/>
      <c r="V58" s="418"/>
      <c r="W58" s="418"/>
      <c r="X58" s="418"/>
      <c r="Y58" s="418"/>
      <c r="Z58" s="418"/>
      <c r="AA58" s="418"/>
      <c r="AB58" s="418"/>
      <c r="AC58" s="412"/>
      <c r="AD58" s="412"/>
      <c r="AE58" s="412"/>
      <c r="AF58" s="412"/>
      <c r="AG58" s="412"/>
      <c r="AH58" s="412"/>
      <c r="AI58" s="412"/>
      <c r="AJ58" s="412"/>
      <c r="AK58" s="412"/>
      <c r="AL58" s="412"/>
      <c r="AM58" s="412"/>
      <c r="AN58" s="412"/>
      <c r="AO58" s="412"/>
      <c r="AP58" s="412"/>
      <c r="AQ58" s="412"/>
      <c r="AR58" s="412"/>
      <c r="AS58" s="412"/>
      <c r="AT58" s="412"/>
      <c r="AU58" s="412"/>
    </row>
    <row r="59" spans="7:47" ht="17.100000000000001" customHeight="1" x14ac:dyDescent="0.15">
      <c r="G59" s="58">
        <v>1</v>
      </c>
      <c r="H59" s="58">
        <v>1</v>
      </c>
      <c r="J59" s="412" t="s">
        <v>271</v>
      </c>
      <c r="K59" s="412"/>
      <c r="L59" s="412"/>
      <c r="M59" s="412"/>
      <c r="N59" s="425" t="str">
        <f>中間シート!G62</f>
        <v/>
      </c>
      <c r="O59" s="425"/>
      <c r="P59" s="425"/>
      <c r="Q59" s="425"/>
      <c r="R59" s="425"/>
      <c r="S59" s="425" t="str">
        <f>IF(H59=1,中間シート!G64,"")</f>
        <v/>
      </c>
      <c r="T59" s="425"/>
      <c r="U59" s="425"/>
      <c r="V59" s="425"/>
      <c r="W59" s="425"/>
      <c r="X59" s="425"/>
      <c r="Y59" s="425"/>
      <c r="Z59" s="425"/>
      <c r="AA59" s="425"/>
      <c r="AB59" s="425"/>
      <c r="AC59" s="141" t="s">
        <v>272</v>
      </c>
      <c r="AD59" s="449" t="str">
        <f>IF(H59=1,IF(AND(中間シート!G65&lt;&gt;"",中間シート!H65&lt;&gt;""),中間シート!G65&amp;"-"&amp;中間シート!H65,""),"")</f>
        <v/>
      </c>
      <c r="AE59" s="449"/>
      <c r="AF59" s="449"/>
      <c r="AG59" s="420" t="str">
        <f>IF(H59=1,中間シート!G66&amp;中間シート!G67&amp;中間シート!G68&amp;中間シート!G69,"")</f>
        <v/>
      </c>
      <c r="AH59" s="420"/>
      <c r="AI59" s="420"/>
      <c r="AJ59" s="420"/>
      <c r="AK59" s="420"/>
      <c r="AL59" s="420"/>
      <c r="AM59" s="420"/>
      <c r="AN59" s="420"/>
      <c r="AO59" s="420"/>
      <c r="AP59" s="420"/>
      <c r="AQ59" s="420"/>
      <c r="AR59" s="420"/>
      <c r="AS59" s="420"/>
      <c r="AT59" s="420"/>
      <c r="AU59" s="421"/>
    </row>
    <row r="60" spans="7:47" ht="17.100000000000001" customHeight="1" x14ac:dyDescent="0.15">
      <c r="G60" s="58">
        <v>2</v>
      </c>
      <c r="H60" s="58">
        <f>IF(G60&lt;=中間シート!$G$60,1,0)</f>
        <v>0</v>
      </c>
      <c r="J60" s="412" t="s">
        <v>273</v>
      </c>
      <c r="K60" s="412"/>
      <c r="L60" s="412"/>
      <c r="M60" s="412"/>
      <c r="N60" s="425" t="str">
        <f>IF(H60=1,中間シート!G71,"")</f>
        <v/>
      </c>
      <c r="O60" s="425"/>
      <c r="P60" s="425"/>
      <c r="Q60" s="425"/>
      <c r="R60" s="425"/>
      <c r="S60" s="425" t="str">
        <f>IF(H60=1,中間シート!G73,"")</f>
        <v/>
      </c>
      <c r="T60" s="425"/>
      <c r="U60" s="425"/>
      <c r="V60" s="425"/>
      <c r="W60" s="425"/>
      <c r="X60" s="425"/>
      <c r="Y60" s="425"/>
      <c r="Z60" s="425"/>
      <c r="AA60" s="425"/>
      <c r="AB60" s="425"/>
      <c r="AC60" s="141" t="s">
        <v>272</v>
      </c>
      <c r="AD60" s="449" t="str">
        <f>IF(H60=1,IF(AND(中間シート!G74&lt;&gt;"",中間シート!H74&lt;&gt;""),中間シート!G74&amp;"-"&amp;中間シート!H74,""),"")</f>
        <v/>
      </c>
      <c r="AE60" s="449"/>
      <c r="AF60" s="449"/>
      <c r="AG60" s="420" t="str">
        <f>IF(H60=1,中間シート!G75&amp;中間シート!G76&amp;中間シート!G77&amp;中間シート!G78,"")</f>
        <v/>
      </c>
      <c r="AH60" s="420"/>
      <c r="AI60" s="420"/>
      <c r="AJ60" s="420"/>
      <c r="AK60" s="420"/>
      <c r="AL60" s="420"/>
      <c r="AM60" s="420"/>
      <c r="AN60" s="420"/>
      <c r="AO60" s="420"/>
      <c r="AP60" s="420"/>
      <c r="AQ60" s="420"/>
      <c r="AR60" s="420"/>
      <c r="AS60" s="420"/>
      <c r="AT60" s="420"/>
      <c r="AU60" s="421"/>
    </row>
    <row r="61" spans="7:47" ht="17.100000000000001" customHeight="1" x14ac:dyDescent="0.15">
      <c r="G61" s="58">
        <v>3</v>
      </c>
      <c r="H61" s="58">
        <f>IF(G61&lt;=中間シート!$G$60,1,0)</f>
        <v>0</v>
      </c>
      <c r="J61" s="412" t="s">
        <v>321</v>
      </c>
      <c r="K61" s="412"/>
      <c r="L61" s="412"/>
      <c r="M61" s="412"/>
      <c r="N61" s="425" t="str">
        <f>IF(H61=1,中間シート!G80,"")</f>
        <v/>
      </c>
      <c r="O61" s="425"/>
      <c r="P61" s="425"/>
      <c r="Q61" s="425"/>
      <c r="R61" s="425"/>
      <c r="S61" s="425" t="str">
        <f>IF(H61=1,中間シート!G82,"")</f>
        <v/>
      </c>
      <c r="T61" s="425"/>
      <c r="U61" s="425"/>
      <c r="V61" s="425"/>
      <c r="W61" s="425"/>
      <c r="X61" s="425"/>
      <c r="Y61" s="425"/>
      <c r="Z61" s="425"/>
      <c r="AA61" s="425"/>
      <c r="AB61" s="425"/>
      <c r="AC61" s="141" t="s">
        <v>272</v>
      </c>
      <c r="AD61" s="449" t="str">
        <f>IF(H61=1,IF(AND(中間シート!G83&lt;&gt;"",中間シート!H83&lt;&gt;""),中間シート!G83&amp;"-"&amp;中間シート!H83,""),"")</f>
        <v/>
      </c>
      <c r="AE61" s="449"/>
      <c r="AF61" s="449"/>
      <c r="AG61" s="420" t="str">
        <f>IF(H61=1,中間シート!G84&amp;中間シート!G85&amp;中間シート!G86&amp;中間シート!G87,"")</f>
        <v/>
      </c>
      <c r="AH61" s="420"/>
      <c r="AI61" s="420"/>
      <c r="AJ61" s="420"/>
      <c r="AK61" s="420"/>
      <c r="AL61" s="420"/>
      <c r="AM61" s="420"/>
      <c r="AN61" s="420"/>
      <c r="AO61" s="420"/>
      <c r="AP61" s="420"/>
      <c r="AQ61" s="420"/>
      <c r="AR61" s="420"/>
      <c r="AS61" s="420"/>
      <c r="AT61" s="420"/>
      <c r="AU61" s="421"/>
    </row>
    <row r="62" spans="7:47" ht="17.100000000000001" customHeight="1" x14ac:dyDescent="0.15">
      <c r="G62" s="58">
        <v>4</v>
      </c>
      <c r="H62" s="58">
        <f>IF(G62&lt;=中間シート!$G$60,1,0)</f>
        <v>0</v>
      </c>
      <c r="J62" s="412" t="s">
        <v>322</v>
      </c>
      <c r="K62" s="412"/>
      <c r="L62" s="412"/>
      <c r="M62" s="412"/>
      <c r="N62" s="425" t="str">
        <f>IF(H62=1,中間シート!G89,"")</f>
        <v/>
      </c>
      <c r="O62" s="425"/>
      <c r="P62" s="425"/>
      <c r="Q62" s="425"/>
      <c r="R62" s="425"/>
      <c r="S62" s="425" t="str">
        <f>IF(H62=1,中間シート!G91,"")</f>
        <v/>
      </c>
      <c r="T62" s="425"/>
      <c r="U62" s="425"/>
      <c r="V62" s="425"/>
      <c r="W62" s="425"/>
      <c r="X62" s="425"/>
      <c r="Y62" s="425"/>
      <c r="Z62" s="425"/>
      <c r="AA62" s="425"/>
      <c r="AB62" s="425"/>
      <c r="AC62" s="141" t="s">
        <v>272</v>
      </c>
      <c r="AD62" s="449" t="str">
        <f>IF(H62=1,IF(AND(中間シート!G92&lt;&gt;"",中間シート!H92&lt;&gt;""),中間シート!G92&amp;"-"&amp;中間シート!H92,""),"")</f>
        <v/>
      </c>
      <c r="AE62" s="449"/>
      <c r="AF62" s="449"/>
      <c r="AG62" s="420" t="str">
        <f>IF(H62=1,中間シート!G93&amp;中間シート!G94&amp;中間シート!G95&amp;中間シート!G96,"")</f>
        <v/>
      </c>
      <c r="AH62" s="420"/>
      <c r="AI62" s="420"/>
      <c r="AJ62" s="420"/>
      <c r="AK62" s="420"/>
      <c r="AL62" s="420"/>
      <c r="AM62" s="420"/>
      <c r="AN62" s="420"/>
      <c r="AO62" s="420"/>
      <c r="AP62" s="420"/>
      <c r="AQ62" s="420"/>
      <c r="AR62" s="420"/>
      <c r="AS62" s="420"/>
      <c r="AT62" s="420"/>
      <c r="AU62" s="421"/>
    </row>
    <row r="63" spans="7:47" ht="17.100000000000001" customHeight="1" x14ac:dyDescent="0.15">
      <c r="G63" s="58">
        <v>5</v>
      </c>
      <c r="H63" s="58">
        <f>IF(G63&lt;=中間シート!$G$60,1,0)</f>
        <v>0</v>
      </c>
      <c r="J63" s="412" t="s">
        <v>323</v>
      </c>
      <c r="K63" s="412"/>
      <c r="L63" s="412"/>
      <c r="M63" s="412"/>
      <c r="N63" s="425" t="str">
        <f>IF(H63=1,中間シート!G98,"")</f>
        <v/>
      </c>
      <c r="O63" s="425"/>
      <c r="P63" s="425"/>
      <c r="Q63" s="425"/>
      <c r="R63" s="425"/>
      <c r="S63" s="425" t="str">
        <f>IF(H63=1,中間シート!G100,"")</f>
        <v/>
      </c>
      <c r="T63" s="425"/>
      <c r="U63" s="425"/>
      <c r="V63" s="425"/>
      <c r="W63" s="425"/>
      <c r="X63" s="425"/>
      <c r="Y63" s="425"/>
      <c r="Z63" s="425"/>
      <c r="AA63" s="425"/>
      <c r="AB63" s="425"/>
      <c r="AC63" s="141" t="s">
        <v>272</v>
      </c>
      <c r="AD63" s="449" t="str">
        <f>IF(H63=1,IF(AND(中間シート!G101&lt;&gt;"",中間シート!H101&lt;&gt;""),中間シート!G101&amp;"-"&amp;中間シート!H101,""),"")</f>
        <v/>
      </c>
      <c r="AE63" s="449"/>
      <c r="AF63" s="449"/>
      <c r="AG63" s="420" t="str">
        <f>IF(H63=1,中間シート!G102&amp;中間シート!G103&amp;中間シート!G104&amp;中間シート!G105,"")</f>
        <v/>
      </c>
      <c r="AH63" s="420"/>
      <c r="AI63" s="420"/>
      <c r="AJ63" s="420"/>
      <c r="AK63" s="420"/>
      <c r="AL63" s="420"/>
      <c r="AM63" s="420"/>
      <c r="AN63" s="420"/>
      <c r="AO63" s="420"/>
      <c r="AP63" s="420"/>
      <c r="AQ63" s="420"/>
      <c r="AR63" s="420"/>
      <c r="AS63" s="420"/>
      <c r="AT63" s="420"/>
      <c r="AU63" s="421"/>
    </row>
    <row r="64" spans="7:47" ht="17.100000000000001" customHeight="1" x14ac:dyDescent="0.15">
      <c r="G64" s="58">
        <v>6</v>
      </c>
      <c r="H64" s="58">
        <f>IF(G64&lt;=中間シート!$G$60,1,0)</f>
        <v>0</v>
      </c>
      <c r="J64" s="412" t="s">
        <v>324</v>
      </c>
      <c r="K64" s="412"/>
      <c r="L64" s="412"/>
      <c r="M64" s="412"/>
      <c r="N64" s="425" t="str">
        <f>IF(H64=1,中間シート!G107,"")</f>
        <v/>
      </c>
      <c r="O64" s="425"/>
      <c r="P64" s="425"/>
      <c r="Q64" s="425"/>
      <c r="R64" s="425"/>
      <c r="S64" s="425" t="str">
        <f>IF(H64=1,中間シート!G109,"")</f>
        <v/>
      </c>
      <c r="T64" s="425"/>
      <c r="U64" s="425"/>
      <c r="V64" s="425"/>
      <c r="W64" s="425"/>
      <c r="X64" s="425"/>
      <c r="Y64" s="425"/>
      <c r="Z64" s="425"/>
      <c r="AA64" s="425"/>
      <c r="AB64" s="425"/>
      <c r="AC64" s="141" t="s">
        <v>272</v>
      </c>
      <c r="AD64" s="449" t="str">
        <f>IF(H64=1,IF(AND(中間シート!G110&lt;&gt;"",中間シート!H110&lt;&gt;""),中間シート!G110&amp;"-"&amp;中間シート!H110,""),"")</f>
        <v/>
      </c>
      <c r="AE64" s="449"/>
      <c r="AF64" s="449"/>
      <c r="AG64" s="420" t="str">
        <f>IF(H64=1,中間シート!G111&amp;中間シート!G112&amp;中間シート!G113&amp;中間シート!G114,"")</f>
        <v/>
      </c>
      <c r="AH64" s="420"/>
      <c r="AI64" s="420"/>
      <c r="AJ64" s="420"/>
      <c r="AK64" s="420"/>
      <c r="AL64" s="420"/>
      <c r="AM64" s="420"/>
      <c r="AN64" s="420"/>
      <c r="AO64" s="420"/>
      <c r="AP64" s="420"/>
      <c r="AQ64" s="420"/>
      <c r="AR64" s="420"/>
      <c r="AS64" s="420"/>
      <c r="AT64" s="420"/>
      <c r="AU64" s="421"/>
    </row>
    <row r="65" spans="1:47" ht="17.100000000000001" customHeight="1" x14ac:dyDescent="0.15">
      <c r="G65" s="58">
        <v>7</v>
      </c>
      <c r="H65" s="58">
        <f>IF(G65&lt;=中間シート!$G$60,1,0)</f>
        <v>0</v>
      </c>
      <c r="J65" s="412" t="s">
        <v>325</v>
      </c>
      <c r="K65" s="412"/>
      <c r="L65" s="412"/>
      <c r="M65" s="412"/>
      <c r="N65" s="425" t="str">
        <f>IF(H65=1,中間シート!G116,"")</f>
        <v/>
      </c>
      <c r="O65" s="425"/>
      <c r="P65" s="425"/>
      <c r="Q65" s="425"/>
      <c r="R65" s="425"/>
      <c r="S65" s="425" t="str">
        <f>IF(H65=1,中間シート!G118,"")</f>
        <v/>
      </c>
      <c r="T65" s="425"/>
      <c r="U65" s="425"/>
      <c r="V65" s="425"/>
      <c r="W65" s="425"/>
      <c r="X65" s="425"/>
      <c r="Y65" s="425"/>
      <c r="Z65" s="425"/>
      <c r="AA65" s="425"/>
      <c r="AB65" s="425"/>
      <c r="AC65" s="141" t="s">
        <v>272</v>
      </c>
      <c r="AD65" s="449" t="str">
        <f>IF(H65=1,IF(AND(中間シート!G119&lt;&gt;"",中間シート!H119&lt;&gt;""),中間シート!G119&amp;"-"&amp;中間シート!H119,""),"")</f>
        <v/>
      </c>
      <c r="AE65" s="449"/>
      <c r="AF65" s="449"/>
      <c r="AG65" s="420" t="str">
        <f>IF(H65=1,中間シート!G120&amp;中間シート!G121&amp;中間シート!G122&amp;中間シート!G123,"")</f>
        <v/>
      </c>
      <c r="AH65" s="420"/>
      <c r="AI65" s="420"/>
      <c r="AJ65" s="420"/>
      <c r="AK65" s="420"/>
      <c r="AL65" s="420"/>
      <c r="AM65" s="420"/>
      <c r="AN65" s="420"/>
      <c r="AO65" s="420"/>
      <c r="AP65" s="420"/>
      <c r="AQ65" s="420"/>
      <c r="AR65" s="420"/>
      <c r="AS65" s="420"/>
      <c r="AT65" s="420"/>
      <c r="AU65" s="421"/>
    </row>
    <row r="66" spans="1:47" ht="17.100000000000001" customHeight="1" x14ac:dyDescent="0.15">
      <c r="G66" s="58">
        <v>8</v>
      </c>
      <c r="H66" s="58">
        <f>IF(G66&lt;=中間シート!$G$60,1,0)</f>
        <v>0</v>
      </c>
      <c r="J66" s="412" t="s">
        <v>326</v>
      </c>
      <c r="K66" s="412"/>
      <c r="L66" s="412"/>
      <c r="M66" s="412"/>
      <c r="N66" s="425" t="str">
        <f>IF(H66=1,中間シート!G125,"")</f>
        <v/>
      </c>
      <c r="O66" s="425"/>
      <c r="P66" s="425"/>
      <c r="Q66" s="425"/>
      <c r="R66" s="425"/>
      <c r="S66" s="425" t="str">
        <f>IF(H66=1,中間シート!G127,"")</f>
        <v/>
      </c>
      <c r="T66" s="425"/>
      <c r="U66" s="425"/>
      <c r="V66" s="425"/>
      <c r="W66" s="425"/>
      <c r="X66" s="425"/>
      <c r="Y66" s="425"/>
      <c r="Z66" s="425"/>
      <c r="AA66" s="425"/>
      <c r="AB66" s="425"/>
      <c r="AC66" s="141" t="s">
        <v>272</v>
      </c>
      <c r="AD66" s="449" t="str">
        <f>IF(H66=1,IF(AND(中間シート!G128&lt;&gt;"",中間シート!H128&lt;&gt;""),中間シート!G128&amp;"-"&amp;中間シート!H128,""),"")</f>
        <v/>
      </c>
      <c r="AE66" s="449"/>
      <c r="AF66" s="449"/>
      <c r="AG66" s="420" t="str">
        <f>IF(H66=1,中間シート!G129&amp;中間シート!G130&amp;中間シート!G131&amp;中間シート!G132,"")</f>
        <v/>
      </c>
      <c r="AH66" s="420"/>
      <c r="AI66" s="420"/>
      <c r="AJ66" s="420"/>
      <c r="AK66" s="420"/>
      <c r="AL66" s="420"/>
      <c r="AM66" s="420"/>
      <c r="AN66" s="420"/>
      <c r="AO66" s="420"/>
      <c r="AP66" s="420"/>
      <c r="AQ66" s="420"/>
      <c r="AR66" s="420"/>
      <c r="AS66" s="420"/>
      <c r="AT66" s="420"/>
      <c r="AU66" s="421"/>
    </row>
    <row r="67" spans="1:47" ht="17.100000000000001" customHeight="1" x14ac:dyDescent="0.15">
      <c r="G67" s="58">
        <v>9</v>
      </c>
      <c r="H67" s="58">
        <f>IF(G67&lt;=中間シート!$G$60,1,0)</f>
        <v>0</v>
      </c>
      <c r="J67" s="412" t="s">
        <v>327</v>
      </c>
      <c r="K67" s="412"/>
      <c r="L67" s="412"/>
      <c r="M67" s="412"/>
      <c r="N67" s="425" t="str">
        <f>IF(H67=1,中間シート!G134,"")</f>
        <v/>
      </c>
      <c r="O67" s="425"/>
      <c r="P67" s="425"/>
      <c r="Q67" s="425"/>
      <c r="R67" s="425"/>
      <c r="S67" s="425" t="str">
        <f>IF(H67=1,中間シート!G136,"")</f>
        <v/>
      </c>
      <c r="T67" s="425"/>
      <c r="U67" s="425"/>
      <c r="V67" s="425"/>
      <c r="W67" s="425"/>
      <c r="X67" s="425"/>
      <c r="Y67" s="425"/>
      <c r="Z67" s="425"/>
      <c r="AA67" s="425"/>
      <c r="AB67" s="425"/>
      <c r="AC67" s="141" t="s">
        <v>272</v>
      </c>
      <c r="AD67" s="449" t="str">
        <f>IF(H67=1,IF(AND(中間シート!G137&lt;&gt;"",中間シート!H137&lt;&gt;""),中間シート!G137&amp;"-"&amp;中間シート!H137,""),"")</f>
        <v/>
      </c>
      <c r="AE67" s="449"/>
      <c r="AF67" s="449"/>
      <c r="AG67" s="420" t="str">
        <f>IF(H67=1,中間シート!G138&amp;中間シート!G139&amp;中間シート!G140&amp;中間シート!G141,"")</f>
        <v/>
      </c>
      <c r="AH67" s="420"/>
      <c r="AI67" s="420"/>
      <c r="AJ67" s="420"/>
      <c r="AK67" s="420"/>
      <c r="AL67" s="420"/>
      <c r="AM67" s="420"/>
      <c r="AN67" s="420"/>
      <c r="AO67" s="420"/>
      <c r="AP67" s="420"/>
      <c r="AQ67" s="420"/>
      <c r="AR67" s="420"/>
      <c r="AS67" s="420"/>
      <c r="AT67" s="420"/>
      <c r="AU67" s="421"/>
    </row>
    <row r="68" spans="1:47" ht="17.100000000000001" customHeight="1" x14ac:dyDescent="0.15">
      <c r="G68" s="58">
        <v>10</v>
      </c>
      <c r="H68" s="58">
        <f>IF(G68&lt;=中間シート!$G$60,1,0)</f>
        <v>0</v>
      </c>
      <c r="J68" s="412" t="s">
        <v>328</v>
      </c>
      <c r="K68" s="412"/>
      <c r="L68" s="412"/>
      <c r="M68" s="412"/>
      <c r="N68" s="425" t="str">
        <f>IF(H68=1,中間シート!G143,"")</f>
        <v/>
      </c>
      <c r="O68" s="425"/>
      <c r="P68" s="425"/>
      <c r="Q68" s="425"/>
      <c r="R68" s="425"/>
      <c r="S68" s="425" t="str">
        <f>IF(H68=1,中間シート!G145,"")</f>
        <v/>
      </c>
      <c r="T68" s="425"/>
      <c r="U68" s="425"/>
      <c r="V68" s="425"/>
      <c r="W68" s="425"/>
      <c r="X68" s="425"/>
      <c r="Y68" s="425"/>
      <c r="Z68" s="425"/>
      <c r="AA68" s="425"/>
      <c r="AB68" s="425"/>
      <c r="AC68" s="141" t="s">
        <v>272</v>
      </c>
      <c r="AD68" s="449" t="str">
        <f>IF(H68=1,IF(AND(中間シート!G146&lt;&gt;"",中間シート!H146&lt;&gt;""),中間シート!G146&amp;"-"&amp;中間シート!H146,""),"")</f>
        <v/>
      </c>
      <c r="AE68" s="449"/>
      <c r="AF68" s="449"/>
      <c r="AG68" s="420" t="str">
        <f>IF(H68=1,中間シート!G147&amp;中間シート!G148&amp;中間シート!G149&amp;中間シート!G150,"")</f>
        <v/>
      </c>
      <c r="AH68" s="420"/>
      <c r="AI68" s="420"/>
      <c r="AJ68" s="420"/>
      <c r="AK68" s="420"/>
      <c r="AL68" s="420"/>
      <c r="AM68" s="420"/>
      <c r="AN68" s="420"/>
      <c r="AO68" s="420"/>
      <c r="AP68" s="420"/>
      <c r="AQ68" s="420"/>
      <c r="AR68" s="420"/>
      <c r="AS68" s="420"/>
      <c r="AT68" s="420"/>
      <c r="AU68" s="421"/>
    </row>
    <row r="70" spans="1:47" x14ac:dyDescent="0.15">
      <c r="J70" s="65" t="s">
        <v>274</v>
      </c>
    </row>
    <row r="71" spans="1:47" ht="16.5" customHeight="1" x14ac:dyDescent="0.15">
      <c r="A71" s="58" t="s">
        <v>275</v>
      </c>
      <c r="B71" s="58" t="s">
        <v>276</v>
      </c>
      <c r="C71" s="58" t="s">
        <v>277</v>
      </c>
      <c r="D71" s="58" t="s">
        <v>278</v>
      </c>
      <c r="E71" s="58">
        <v>1</v>
      </c>
      <c r="F71" s="58">
        <v>2</v>
      </c>
      <c r="G71" s="58">
        <v>3</v>
      </c>
      <c r="H71" s="58">
        <v>4</v>
      </c>
      <c r="J71" s="412" t="s">
        <v>279</v>
      </c>
      <c r="K71" s="412"/>
      <c r="L71" s="412"/>
      <c r="M71" s="412"/>
      <c r="N71" s="412" t="s">
        <v>280</v>
      </c>
      <c r="O71" s="412"/>
      <c r="P71" s="412"/>
      <c r="Q71" s="412"/>
      <c r="R71" s="412"/>
      <c r="S71" s="412"/>
      <c r="T71" s="412"/>
      <c r="U71" s="412"/>
      <c r="V71" s="412"/>
      <c r="W71" s="412" t="s">
        <v>281</v>
      </c>
      <c r="X71" s="412"/>
      <c r="Y71" s="412"/>
      <c r="Z71" s="412"/>
      <c r="AA71" s="412"/>
      <c r="AB71" s="412"/>
      <c r="AC71" s="412"/>
      <c r="AD71" s="412"/>
      <c r="AE71" s="412"/>
      <c r="AF71" s="412" t="s">
        <v>282</v>
      </c>
      <c r="AG71" s="412"/>
      <c r="AH71" s="412"/>
      <c r="AI71" s="412"/>
      <c r="AJ71" s="412"/>
      <c r="AK71" s="412"/>
      <c r="AL71" s="412"/>
      <c r="AM71" s="412"/>
      <c r="AN71" s="412" t="s">
        <v>283</v>
      </c>
      <c r="AO71" s="412"/>
      <c r="AP71" s="412"/>
      <c r="AQ71" s="412"/>
      <c r="AR71" s="412"/>
      <c r="AS71" s="412"/>
      <c r="AT71" s="412"/>
      <c r="AU71" s="412"/>
    </row>
    <row r="72" spans="1:47" ht="16.5" customHeight="1" x14ac:dyDescent="0.15">
      <c r="A72" s="58">
        <f>中間シート!AI514</f>
        <v>9999</v>
      </c>
      <c r="B72" s="58" t="str">
        <f>中間シート!AK514</f>
        <v>事業場99</v>
      </c>
      <c r="C72" s="58" t="e">
        <f>中間シート!AJ514</f>
        <v>#N/A</v>
      </c>
      <c r="D72" s="58" t="str">
        <f>VLOOKUP($A72,中間シート!$D$514:$K$663,4)</f>
        <v/>
      </c>
      <c r="E72" s="58" t="str">
        <f>VLOOKUP($A72,中間シート!$D$514:$K$663,5)</f>
        <v/>
      </c>
      <c r="F72" s="58" t="str">
        <f>VLOOKUP($A72,中間シート!$D$514:$K$663,6)</f>
        <v/>
      </c>
      <c r="G72" s="58" t="str">
        <f>VLOOKUP($A72,中間シート!$D$514:$K$663,7)</f>
        <v/>
      </c>
      <c r="H72" s="58" t="str">
        <f>VLOOKUP($A72,中間シート!$D$514:$K$663,8)</f>
        <v/>
      </c>
      <c r="J72" s="412" t="s">
        <v>271</v>
      </c>
      <c r="K72" s="412"/>
      <c r="L72" s="412"/>
      <c r="M72" s="412"/>
      <c r="N72" s="422" t="str">
        <f>IF($A72&lt;&gt;9999,IF($C72=2,VLOOKUP($A72,中間シート!$D$514:$T$663,14,FALSE),VLOOKUP($A72,中間シート!$D$514:$T$663,9,FALSE)),"")</f>
        <v/>
      </c>
      <c r="O72" s="423"/>
      <c r="P72" s="423"/>
      <c r="Q72" s="423"/>
      <c r="R72" s="423"/>
      <c r="S72" s="423"/>
      <c r="T72" s="424"/>
      <c r="U72" s="422" t="str">
        <f>IF($A72&lt;&gt;9999,IF($C72=2,"",E72),"")</f>
        <v/>
      </c>
      <c r="V72" s="424"/>
      <c r="W72" s="422" t="str">
        <f>IF($A72&lt;&gt;9999,IF($C72=2,VLOOKUP($A72,中間シート!$D$514:$T$663,15,FALSE),VLOOKUP($A72,中間シート!$D$514:$T$663,10,FALSE)),"")</f>
        <v/>
      </c>
      <c r="X72" s="423"/>
      <c r="Y72" s="423"/>
      <c r="Z72" s="423"/>
      <c r="AA72" s="423"/>
      <c r="AB72" s="423"/>
      <c r="AC72" s="424"/>
      <c r="AD72" s="422" t="str">
        <f>IF($A72&lt;&gt;9999,IF($C72=2,"",F72),"")</f>
        <v/>
      </c>
      <c r="AE72" s="424"/>
      <c r="AF72" s="422" t="str">
        <f>IF($A72&lt;&gt;9999,IF($C72=2,VLOOKUP($A72,中間シート!$D$514:$T$663,16,FALSE),VLOOKUP($A72,中間シート!$D$514:$T$663,11,FALSE)),"")</f>
        <v/>
      </c>
      <c r="AG72" s="423"/>
      <c r="AH72" s="423"/>
      <c r="AI72" s="423"/>
      <c r="AJ72" s="423"/>
      <c r="AK72" s="424"/>
      <c r="AL72" s="422" t="str">
        <f>IF($A72&lt;&gt;9999,IF($C72=2,"",G72),"")</f>
        <v/>
      </c>
      <c r="AM72" s="424"/>
      <c r="AN72" s="422" t="str">
        <f>IF($A72&lt;&gt;9999,IF($C72=2,VLOOKUP($A72,中間シート!$D$514:$T$663,17,FALSE),VLOOKUP($A72,中間シート!$D$514:$T$663,12,FALSE)),"")</f>
        <v/>
      </c>
      <c r="AO72" s="423"/>
      <c r="AP72" s="423"/>
      <c r="AQ72" s="423"/>
      <c r="AR72" s="423"/>
      <c r="AS72" s="424"/>
      <c r="AT72" s="422" t="str">
        <f>IF($A72&lt;&gt;9999,IF($C72=2,"",H72),"")</f>
        <v/>
      </c>
      <c r="AU72" s="424"/>
    </row>
    <row r="73" spans="1:47" ht="16.5" customHeight="1" x14ac:dyDescent="0.15">
      <c r="A73" s="58">
        <f>中間シート!AI515</f>
        <v>9999</v>
      </c>
      <c r="B73" s="58" t="str">
        <f>中間シート!AK515</f>
        <v>事業場99</v>
      </c>
      <c r="C73" s="58" t="e">
        <f>中間シート!AJ515</f>
        <v>#N/A</v>
      </c>
      <c r="D73" s="58" t="str">
        <f>VLOOKUP($A73,中間シート!$D$514:$K$663,4)</f>
        <v/>
      </c>
      <c r="E73" s="58" t="str">
        <f>VLOOKUP($A73,中間シート!$D$514:$K$663,5)</f>
        <v/>
      </c>
      <c r="F73" s="58" t="str">
        <f>VLOOKUP($A73,中間シート!$D$514:$K$663,6)</f>
        <v/>
      </c>
      <c r="G73" s="58" t="str">
        <f>VLOOKUP($A73,中間シート!$D$514:$K$663,7)</f>
        <v/>
      </c>
      <c r="H73" s="58" t="str">
        <f>VLOOKUP($A73,中間シート!$D$514:$K$663,8)</f>
        <v/>
      </c>
      <c r="J73" s="412" t="str">
        <f>IF(B73="事業場99","事業場2",B73)</f>
        <v>事業場2</v>
      </c>
      <c r="K73" s="412"/>
      <c r="L73" s="412"/>
      <c r="M73" s="412"/>
      <c r="N73" s="422" t="str">
        <f>IF($A73&lt;&gt;9999,IF($C73=2,VLOOKUP($A73,中間シート!$D$514:$T$663,14,FALSE),VLOOKUP($A73,中間シート!$D$514:$T$663,9,FALSE)),"")</f>
        <v/>
      </c>
      <c r="O73" s="423"/>
      <c r="P73" s="423"/>
      <c r="Q73" s="423"/>
      <c r="R73" s="423"/>
      <c r="S73" s="423"/>
      <c r="T73" s="424"/>
      <c r="U73" s="422" t="str">
        <f t="shared" ref="U73:U101" si="0">IF($A73&lt;&gt;9999,IF($C73=2,"",E73),"")</f>
        <v/>
      </c>
      <c r="V73" s="424"/>
      <c r="W73" s="422" t="str">
        <f>IF($A73&lt;&gt;9999,IF($C73=2,VLOOKUP($A73,中間シート!$D$514:$T$663,15,FALSE),VLOOKUP($A73,中間シート!$D$514:$T$663,10,FALSE)),"")</f>
        <v/>
      </c>
      <c r="X73" s="423"/>
      <c r="Y73" s="423"/>
      <c r="Z73" s="423"/>
      <c r="AA73" s="423"/>
      <c r="AB73" s="423"/>
      <c r="AC73" s="424"/>
      <c r="AD73" s="422" t="str">
        <f>IF($A73&lt;&gt;9999,IF($C73=2,"",F73),"")</f>
        <v/>
      </c>
      <c r="AE73" s="424"/>
      <c r="AF73" s="422" t="str">
        <f>IF($A73&lt;&gt;9999,IF($C73=2,VLOOKUP($A73,中間シート!$D$514:$T$663,16,FALSE),VLOOKUP($A73,中間シート!$D$514:$T$663,11,FALSE)),"")</f>
        <v/>
      </c>
      <c r="AG73" s="423"/>
      <c r="AH73" s="423"/>
      <c r="AI73" s="423"/>
      <c r="AJ73" s="423"/>
      <c r="AK73" s="424"/>
      <c r="AL73" s="422" t="str">
        <f>IF($A73&lt;&gt;9999,IF($C73=2,"",G73),"")</f>
        <v/>
      </c>
      <c r="AM73" s="424"/>
      <c r="AN73" s="422" t="str">
        <f>IF($A73&lt;&gt;9999,IF($C73=2,VLOOKUP($A73,中間シート!$D$514:$T$663,17,FALSE),VLOOKUP($A73,中間シート!$D$514:$T$663,12,FALSE)),"")</f>
        <v/>
      </c>
      <c r="AO73" s="423"/>
      <c r="AP73" s="423"/>
      <c r="AQ73" s="423"/>
      <c r="AR73" s="423"/>
      <c r="AS73" s="424"/>
      <c r="AT73" s="422" t="str">
        <f>IF($A73&lt;&gt;9999,IF($C73=2,"",H73),"")</f>
        <v/>
      </c>
      <c r="AU73" s="424"/>
    </row>
    <row r="74" spans="1:47" ht="16.5" customHeight="1" x14ac:dyDescent="0.15">
      <c r="A74" s="58">
        <f>中間シート!AI516</f>
        <v>9999</v>
      </c>
      <c r="B74" s="58" t="str">
        <f>中間シート!AK516</f>
        <v>事業場99</v>
      </c>
      <c r="C74" s="58" t="e">
        <f>中間シート!AJ516</f>
        <v>#N/A</v>
      </c>
      <c r="D74" s="58" t="str">
        <f>VLOOKUP($A74,中間シート!$D$514:$K$663,4)</f>
        <v/>
      </c>
      <c r="E74" s="58" t="str">
        <f>VLOOKUP($A74,中間シート!$D$514:$K$663,5)</f>
        <v/>
      </c>
      <c r="F74" s="58" t="str">
        <f>VLOOKUP($A74,中間シート!$D$514:$K$663,6)</f>
        <v/>
      </c>
      <c r="G74" s="58" t="str">
        <f>VLOOKUP($A74,中間シート!$D$514:$K$663,7)</f>
        <v/>
      </c>
      <c r="H74" s="58" t="str">
        <f>VLOOKUP($A74,中間シート!$D$514:$K$663,8)</f>
        <v/>
      </c>
      <c r="J74" s="412" t="str">
        <f>IF(B74="事業場99","",B74)</f>
        <v/>
      </c>
      <c r="K74" s="412"/>
      <c r="L74" s="412"/>
      <c r="M74" s="412"/>
      <c r="N74" s="422" t="str">
        <f>IF($A74&lt;&gt;9999,IF($C74=2,VLOOKUP($A74,中間シート!$D$514:$T$663,14,FALSE),VLOOKUP($A74,中間シート!$D$514:$T$663,9,FALSE)),"")</f>
        <v/>
      </c>
      <c r="O74" s="423"/>
      <c r="P74" s="423"/>
      <c r="Q74" s="423"/>
      <c r="R74" s="423"/>
      <c r="S74" s="423"/>
      <c r="T74" s="424"/>
      <c r="U74" s="422" t="str">
        <f t="shared" si="0"/>
        <v/>
      </c>
      <c r="V74" s="424"/>
      <c r="W74" s="422" t="str">
        <f>IF($A74&lt;&gt;9999,IF($C74=2,VLOOKUP($A74,中間シート!$D$514:$T$663,15,FALSE),VLOOKUP($A74,中間シート!$D$514:$T$663,10,FALSE)),"")</f>
        <v/>
      </c>
      <c r="X74" s="423"/>
      <c r="Y74" s="423"/>
      <c r="Z74" s="423"/>
      <c r="AA74" s="423"/>
      <c r="AB74" s="423"/>
      <c r="AC74" s="424"/>
      <c r="AD74" s="422" t="str">
        <f t="shared" ref="AD74:AD101" si="1">IF($A74&lt;&gt;9999,IF($C74=2,"",F74),"")</f>
        <v/>
      </c>
      <c r="AE74" s="424"/>
      <c r="AF74" s="422" t="str">
        <f>IF($A74&lt;&gt;9999,IF($C74=2,VLOOKUP($A74,中間シート!$D$514:$T$663,16,FALSE),VLOOKUP($A74,中間シート!$D$514:$T$663,11,FALSE)),"")</f>
        <v/>
      </c>
      <c r="AG74" s="423"/>
      <c r="AH74" s="423"/>
      <c r="AI74" s="423"/>
      <c r="AJ74" s="423"/>
      <c r="AK74" s="424"/>
      <c r="AL74" s="422" t="str">
        <f t="shared" ref="AL74:AL101" si="2">IF($A74&lt;&gt;9999,IF($C74=2,"",G74),"")</f>
        <v/>
      </c>
      <c r="AM74" s="424"/>
      <c r="AN74" s="422" t="str">
        <f>IF($A74&lt;&gt;9999,IF($C74=2,VLOOKUP($A74,中間シート!$D$514:$T$663,17,FALSE),VLOOKUP($A74,中間シート!$D$514:$T$663,12,FALSE)),"")</f>
        <v/>
      </c>
      <c r="AO74" s="423"/>
      <c r="AP74" s="423"/>
      <c r="AQ74" s="423"/>
      <c r="AR74" s="423"/>
      <c r="AS74" s="424"/>
      <c r="AT74" s="422" t="str">
        <f t="shared" ref="AT74:AT101" si="3">IF($A74&lt;&gt;9999,IF($C74=2,"",H74),"")</f>
        <v/>
      </c>
      <c r="AU74" s="424"/>
    </row>
    <row r="75" spans="1:47" ht="16.5" customHeight="1" x14ac:dyDescent="0.15">
      <c r="A75" s="58">
        <f>中間シート!AI517</f>
        <v>9999</v>
      </c>
      <c r="B75" s="58" t="str">
        <f>中間シート!AK517</f>
        <v>事業場99</v>
      </c>
      <c r="C75" s="58" t="e">
        <f>中間シート!AJ517</f>
        <v>#N/A</v>
      </c>
      <c r="D75" s="58" t="str">
        <f>VLOOKUP($A75,中間シート!$D$514:$K$663,4)</f>
        <v/>
      </c>
      <c r="E75" s="58" t="str">
        <f>VLOOKUP($A75,中間シート!$D$514:$K$663,5)</f>
        <v/>
      </c>
      <c r="F75" s="58" t="str">
        <f>VLOOKUP($A75,中間シート!$D$514:$K$663,6)</f>
        <v/>
      </c>
      <c r="G75" s="58" t="str">
        <f>VLOOKUP($A75,中間シート!$D$514:$K$663,7)</f>
        <v/>
      </c>
      <c r="H75" s="58" t="str">
        <f>VLOOKUP($A75,中間シート!$D$514:$K$663,8)</f>
        <v/>
      </c>
      <c r="J75" s="412" t="str">
        <f t="shared" ref="J75:J101" si="4">IF(B75="事業場99","",B75)</f>
        <v/>
      </c>
      <c r="K75" s="412"/>
      <c r="L75" s="412"/>
      <c r="M75" s="412"/>
      <c r="N75" s="422" t="str">
        <f>IF($A75&lt;&gt;9999,IF($C75=2,VLOOKUP($A75,中間シート!$D$514:$T$663,14,FALSE),VLOOKUP($A75,中間シート!$D$514:$T$663,9,FALSE)),"")</f>
        <v/>
      </c>
      <c r="O75" s="423"/>
      <c r="P75" s="423"/>
      <c r="Q75" s="423"/>
      <c r="R75" s="423"/>
      <c r="S75" s="423"/>
      <c r="T75" s="424"/>
      <c r="U75" s="422" t="str">
        <f t="shared" si="0"/>
        <v/>
      </c>
      <c r="V75" s="424"/>
      <c r="W75" s="422" t="str">
        <f>IF($A75&lt;&gt;9999,IF($C75=2,VLOOKUP($A75,中間シート!$D$514:$T$663,15,FALSE),VLOOKUP($A75,中間シート!$D$514:$T$663,10,FALSE)),"")</f>
        <v/>
      </c>
      <c r="X75" s="423"/>
      <c r="Y75" s="423"/>
      <c r="Z75" s="423"/>
      <c r="AA75" s="423"/>
      <c r="AB75" s="423"/>
      <c r="AC75" s="424"/>
      <c r="AD75" s="422" t="str">
        <f t="shared" si="1"/>
        <v/>
      </c>
      <c r="AE75" s="424"/>
      <c r="AF75" s="422" t="str">
        <f>IF($A75&lt;&gt;9999,IF($C75=2,VLOOKUP($A75,中間シート!$D$514:$T$663,16,FALSE),VLOOKUP($A75,中間シート!$D$514:$T$663,11,FALSE)),"")</f>
        <v/>
      </c>
      <c r="AG75" s="423"/>
      <c r="AH75" s="423"/>
      <c r="AI75" s="423"/>
      <c r="AJ75" s="423"/>
      <c r="AK75" s="424"/>
      <c r="AL75" s="422" t="str">
        <f t="shared" si="2"/>
        <v/>
      </c>
      <c r="AM75" s="424"/>
      <c r="AN75" s="422" t="str">
        <f>IF($A75&lt;&gt;9999,IF($C75=2,VLOOKUP($A75,中間シート!$D$514:$T$663,17,FALSE),VLOOKUP($A75,中間シート!$D$514:$T$663,12,FALSE)),"")</f>
        <v/>
      </c>
      <c r="AO75" s="423"/>
      <c r="AP75" s="423"/>
      <c r="AQ75" s="423"/>
      <c r="AR75" s="423"/>
      <c r="AS75" s="424"/>
      <c r="AT75" s="422" t="str">
        <f t="shared" si="3"/>
        <v/>
      </c>
      <c r="AU75" s="424"/>
    </row>
    <row r="76" spans="1:47" ht="16.5" customHeight="1" x14ac:dyDescent="0.15">
      <c r="A76" s="58">
        <f>中間シート!AI518</f>
        <v>9999</v>
      </c>
      <c r="B76" s="58" t="str">
        <f>中間シート!AK518</f>
        <v>事業場99</v>
      </c>
      <c r="C76" s="58" t="e">
        <f>中間シート!AJ518</f>
        <v>#N/A</v>
      </c>
      <c r="D76" s="58" t="str">
        <f>VLOOKUP($A76,中間シート!$D$514:$K$663,4)</f>
        <v/>
      </c>
      <c r="E76" s="58" t="str">
        <f>VLOOKUP($A76,中間シート!$D$514:$K$663,5)</f>
        <v/>
      </c>
      <c r="F76" s="58" t="str">
        <f>VLOOKUP($A76,中間シート!$D$514:$K$663,6)</f>
        <v/>
      </c>
      <c r="G76" s="58" t="str">
        <f>VLOOKUP($A76,中間シート!$D$514:$K$663,7)</f>
        <v/>
      </c>
      <c r="H76" s="58" t="str">
        <f>VLOOKUP($A76,中間シート!$D$514:$K$663,8)</f>
        <v/>
      </c>
      <c r="J76" s="412" t="str">
        <f t="shared" si="4"/>
        <v/>
      </c>
      <c r="K76" s="412"/>
      <c r="L76" s="412"/>
      <c r="M76" s="412"/>
      <c r="N76" s="422" t="str">
        <f>IF($A76&lt;&gt;9999,IF($C76=2,VLOOKUP($A76,中間シート!$D$514:$T$663,14,FALSE),VLOOKUP($A76,中間シート!$D$514:$T$663,9,FALSE)),"")</f>
        <v/>
      </c>
      <c r="O76" s="423"/>
      <c r="P76" s="423"/>
      <c r="Q76" s="423"/>
      <c r="R76" s="423"/>
      <c r="S76" s="423"/>
      <c r="T76" s="424"/>
      <c r="U76" s="422" t="str">
        <f t="shared" si="0"/>
        <v/>
      </c>
      <c r="V76" s="424"/>
      <c r="W76" s="422" t="str">
        <f>IF($A76&lt;&gt;9999,IF($C76=2,VLOOKUP($A76,中間シート!$D$514:$T$663,15,FALSE),VLOOKUP($A76,中間シート!$D$514:$T$663,10,FALSE)),"")</f>
        <v/>
      </c>
      <c r="X76" s="423"/>
      <c r="Y76" s="423"/>
      <c r="Z76" s="423"/>
      <c r="AA76" s="423"/>
      <c r="AB76" s="423"/>
      <c r="AC76" s="424"/>
      <c r="AD76" s="422" t="str">
        <f t="shared" si="1"/>
        <v/>
      </c>
      <c r="AE76" s="424"/>
      <c r="AF76" s="422" t="str">
        <f>IF($A76&lt;&gt;9999,IF($C76=2,VLOOKUP($A76,中間シート!$D$514:$T$663,16,FALSE),VLOOKUP($A76,中間シート!$D$514:$T$663,11,FALSE)),"")</f>
        <v/>
      </c>
      <c r="AG76" s="423"/>
      <c r="AH76" s="423"/>
      <c r="AI76" s="423"/>
      <c r="AJ76" s="423"/>
      <c r="AK76" s="424"/>
      <c r="AL76" s="422" t="str">
        <f t="shared" si="2"/>
        <v/>
      </c>
      <c r="AM76" s="424"/>
      <c r="AN76" s="422" t="str">
        <f>IF($A76&lt;&gt;9999,IF($C76=2,VLOOKUP($A76,中間シート!$D$514:$T$663,17,FALSE),VLOOKUP($A76,中間シート!$D$514:$T$663,12,FALSE)),"")</f>
        <v/>
      </c>
      <c r="AO76" s="423"/>
      <c r="AP76" s="423"/>
      <c r="AQ76" s="423"/>
      <c r="AR76" s="423"/>
      <c r="AS76" s="424"/>
      <c r="AT76" s="422" t="str">
        <f t="shared" si="3"/>
        <v/>
      </c>
      <c r="AU76" s="424"/>
    </row>
    <row r="77" spans="1:47" ht="16.5" customHeight="1" x14ac:dyDescent="0.15">
      <c r="A77" s="58">
        <f>中間シート!AI519</f>
        <v>9999</v>
      </c>
      <c r="B77" s="58" t="str">
        <f>中間シート!AK519</f>
        <v>事業場99</v>
      </c>
      <c r="C77" s="58" t="e">
        <f>中間シート!AJ519</f>
        <v>#N/A</v>
      </c>
      <c r="D77" s="58" t="str">
        <f>VLOOKUP($A77,中間シート!$D$514:$K$663,4)</f>
        <v/>
      </c>
      <c r="E77" s="58" t="str">
        <f>VLOOKUP($A77,中間シート!$D$514:$K$663,5)</f>
        <v/>
      </c>
      <c r="F77" s="58" t="str">
        <f>VLOOKUP($A77,中間シート!$D$514:$K$663,6)</f>
        <v/>
      </c>
      <c r="G77" s="58" t="str">
        <f>VLOOKUP($A77,中間シート!$D$514:$K$663,7)</f>
        <v/>
      </c>
      <c r="H77" s="58" t="str">
        <f>VLOOKUP($A77,中間シート!$D$514:$K$663,8)</f>
        <v/>
      </c>
      <c r="J77" s="412" t="str">
        <f t="shared" si="4"/>
        <v/>
      </c>
      <c r="K77" s="412"/>
      <c r="L77" s="412"/>
      <c r="M77" s="412"/>
      <c r="N77" s="422" t="str">
        <f>IF($A77&lt;&gt;9999,IF($C77=2,VLOOKUP($A77,中間シート!$D$514:$T$663,14,FALSE),VLOOKUP($A77,中間シート!$D$514:$T$663,9,FALSE)),"")</f>
        <v/>
      </c>
      <c r="O77" s="423"/>
      <c r="P77" s="423"/>
      <c r="Q77" s="423"/>
      <c r="R77" s="423"/>
      <c r="S77" s="423"/>
      <c r="T77" s="424"/>
      <c r="U77" s="422" t="str">
        <f t="shared" si="0"/>
        <v/>
      </c>
      <c r="V77" s="424"/>
      <c r="W77" s="422" t="str">
        <f>IF($A77&lt;&gt;9999,IF($C77=2,VLOOKUP($A77,中間シート!$D$514:$T$663,15,FALSE),VLOOKUP($A77,中間シート!$D$514:$T$663,10,FALSE)),"")</f>
        <v/>
      </c>
      <c r="X77" s="423"/>
      <c r="Y77" s="423"/>
      <c r="Z77" s="423"/>
      <c r="AA77" s="423"/>
      <c r="AB77" s="423"/>
      <c r="AC77" s="424"/>
      <c r="AD77" s="422" t="str">
        <f t="shared" si="1"/>
        <v/>
      </c>
      <c r="AE77" s="424"/>
      <c r="AF77" s="422" t="str">
        <f>IF($A77&lt;&gt;9999,IF($C77=2,VLOOKUP($A77,中間シート!$D$514:$T$663,16,FALSE),VLOOKUP($A77,中間シート!$D$514:$T$663,11,FALSE)),"")</f>
        <v/>
      </c>
      <c r="AG77" s="423"/>
      <c r="AH77" s="423"/>
      <c r="AI77" s="423"/>
      <c r="AJ77" s="423"/>
      <c r="AK77" s="424"/>
      <c r="AL77" s="422" t="str">
        <f t="shared" si="2"/>
        <v/>
      </c>
      <c r="AM77" s="424"/>
      <c r="AN77" s="422" t="str">
        <f>IF($A77&lt;&gt;9999,IF($C77=2,VLOOKUP($A77,中間シート!$D$514:$T$663,17,FALSE),VLOOKUP($A77,中間シート!$D$514:$T$663,12,FALSE)),"")</f>
        <v/>
      </c>
      <c r="AO77" s="423"/>
      <c r="AP77" s="423"/>
      <c r="AQ77" s="423"/>
      <c r="AR77" s="423"/>
      <c r="AS77" s="424"/>
      <c r="AT77" s="422" t="str">
        <f t="shared" si="3"/>
        <v/>
      </c>
      <c r="AU77" s="424"/>
    </row>
    <row r="78" spans="1:47" ht="16.5" customHeight="1" x14ac:dyDescent="0.15">
      <c r="A78" s="58">
        <f>中間シート!AI520</f>
        <v>9999</v>
      </c>
      <c r="B78" s="58" t="str">
        <f>中間シート!AK520</f>
        <v>事業場99</v>
      </c>
      <c r="C78" s="58" t="e">
        <f>中間シート!AJ520</f>
        <v>#N/A</v>
      </c>
      <c r="D78" s="58" t="str">
        <f>VLOOKUP($A78,中間シート!$D$514:$K$663,4)</f>
        <v/>
      </c>
      <c r="E78" s="58" t="str">
        <f>VLOOKUP($A78,中間シート!$D$514:$K$663,5)</f>
        <v/>
      </c>
      <c r="F78" s="58" t="str">
        <f>VLOOKUP($A78,中間シート!$D$514:$K$663,6)</f>
        <v/>
      </c>
      <c r="G78" s="58" t="str">
        <f>VLOOKUP($A78,中間シート!$D$514:$K$663,7)</f>
        <v/>
      </c>
      <c r="H78" s="58" t="str">
        <f>VLOOKUP($A78,中間シート!$D$514:$K$663,8)</f>
        <v/>
      </c>
      <c r="J78" s="412" t="str">
        <f t="shared" si="4"/>
        <v/>
      </c>
      <c r="K78" s="412"/>
      <c r="L78" s="412"/>
      <c r="M78" s="412"/>
      <c r="N78" s="422" t="str">
        <f>IF($A78&lt;&gt;9999,IF($C78=2,VLOOKUP($A78,中間シート!$D$514:$T$663,14,FALSE),VLOOKUP($A78,中間シート!$D$514:$T$663,9,FALSE)),"")</f>
        <v/>
      </c>
      <c r="O78" s="423"/>
      <c r="P78" s="423"/>
      <c r="Q78" s="423"/>
      <c r="R78" s="423"/>
      <c r="S78" s="423"/>
      <c r="T78" s="424"/>
      <c r="U78" s="422" t="str">
        <f t="shared" si="0"/>
        <v/>
      </c>
      <c r="V78" s="424"/>
      <c r="W78" s="422" t="str">
        <f>IF($A78&lt;&gt;9999,IF($C78=2,VLOOKUP($A78,中間シート!$D$514:$T$663,15,FALSE),VLOOKUP($A78,中間シート!$D$514:$T$663,10,FALSE)),"")</f>
        <v/>
      </c>
      <c r="X78" s="423"/>
      <c r="Y78" s="423"/>
      <c r="Z78" s="423"/>
      <c r="AA78" s="423"/>
      <c r="AB78" s="423"/>
      <c r="AC78" s="424"/>
      <c r="AD78" s="422" t="str">
        <f t="shared" si="1"/>
        <v/>
      </c>
      <c r="AE78" s="424"/>
      <c r="AF78" s="422" t="str">
        <f>IF($A78&lt;&gt;9999,IF($C78=2,VLOOKUP($A78,中間シート!$D$514:$T$663,16,FALSE),VLOOKUP($A78,中間シート!$D$514:$T$663,11,FALSE)),"")</f>
        <v/>
      </c>
      <c r="AG78" s="423"/>
      <c r="AH78" s="423"/>
      <c r="AI78" s="423"/>
      <c r="AJ78" s="423"/>
      <c r="AK78" s="424"/>
      <c r="AL78" s="422" t="str">
        <f t="shared" si="2"/>
        <v/>
      </c>
      <c r="AM78" s="424"/>
      <c r="AN78" s="422" t="str">
        <f>IF($A78&lt;&gt;9999,IF($C78=2,VLOOKUP($A78,中間シート!$D$514:$T$663,17,FALSE),VLOOKUP($A78,中間シート!$D$514:$T$663,12,FALSE)),"")</f>
        <v/>
      </c>
      <c r="AO78" s="423"/>
      <c r="AP78" s="423"/>
      <c r="AQ78" s="423"/>
      <c r="AR78" s="423"/>
      <c r="AS78" s="424"/>
      <c r="AT78" s="422" t="str">
        <f t="shared" si="3"/>
        <v/>
      </c>
      <c r="AU78" s="424"/>
    </row>
    <row r="79" spans="1:47" ht="16.5" customHeight="1" x14ac:dyDescent="0.15">
      <c r="A79" s="58">
        <f>中間シート!AI521</f>
        <v>9999</v>
      </c>
      <c r="B79" s="58" t="str">
        <f>中間シート!AK521</f>
        <v>事業場99</v>
      </c>
      <c r="C79" s="58" t="e">
        <f>中間シート!AJ521</f>
        <v>#N/A</v>
      </c>
      <c r="D79" s="58" t="str">
        <f>VLOOKUP($A79,中間シート!$D$514:$K$663,4)</f>
        <v/>
      </c>
      <c r="E79" s="58" t="str">
        <f>VLOOKUP($A79,中間シート!$D$514:$K$663,5)</f>
        <v/>
      </c>
      <c r="F79" s="58" t="str">
        <f>VLOOKUP($A79,中間シート!$D$514:$K$663,6)</f>
        <v/>
      </c>
      <c r="G79" s="58" t="str">
        <f>VLOOKUP($A79,中間シート!$D$514:$K$663,7)</f>
        <v/>
      </c>
      <c r="H79" s="58" t="str">
        <f>VLOOKUP($A79,中間シート!$D$514:$K$663,8)</f>
        <v/>
      </c>
      <c r="J79" s="412" t="str">
        <f t="shared" si="4"/>
        <v/>
      </c>
      <c r="K79" s="412"/>
      <c r="L79" s="412"/>
      <c r="M79" s="412"/>
      <c r="N79" s="422" t="str">
        <f>IF($A79&lt;&gt;9999,IF($C79=2,VLOOKUP($A79,中間シート!$D$514:$T$663,14,FALSE),VLOOKUP($A79,中間シート!$D$514:$T$663,9,FALSE)),"")</f>
        <v/>
      </c>
      <c r="O79" s="423"/>
      <c r="P79" s="423"/>
      <c r="Q79" s="423"/>
      <c r="R79" s="423"/>
      <c r="S79" s="423"/>
      <c r="T79" s="424"/>
      <c r="U79" s="422" t="str">
        <f t="shared" si="0"/>
        <v/>
      </c>
      <c r="V79" s="424"/>
      <c r="W79" s="422" t="str">
        <f>IF($A79&lt;&gt;9999,IF($C79=2,VLOOKUP($A79,中間シート!$D$514:$T$663,15,FALSE),VLOOKUP($A79,中間シート!$D$514:$T$663,10,FALSE)),"")</f>
        <v/>
      </c>
      <c r="X79" s="423"/>
      <c r="Y79" s="423"/>
      <c r="Z79" s="423"/>
      <c r="AA79" s="423"/>
      <c r="AB79" s="423"/>
      <c r="AC79" s="424"/>
      <c r="AD79" s="422" t="str">
        <f t="shared" si="1"/>
        <v/>
      </c>
      <c r="AE79" s="424"/>
      <c r="AF79" s="422" t="str">
        <f>IF($A79&lt;&gt;9999,IF($C79=2,VLOOKUP($A79,中間シート!$D$514:$T$663,16,FALSE),VLOOKUP($A79,中間シート!$D$514:$T$663,11,FALSE)),"")</f>
        <v/>
      </c>
      <c r="AG79" s="423"/>
      <c r="AH79" s="423"/>
      <c r="AI79" s="423"/>
      <c r="AJ79" s="423"/>
      <c r="AK79" s="424"/>
      <c r="AL79" s="422" t="str">
        <f t="shared" si="2"/>
        <v/>
      </c>
      <c r="AM79" s="424"/>
      <c r="AN79" s="422" t="str">
        <f>IF($A79&lt;&gt;9999,IF($C79=2,VLOOKUP($A79,中間シート!$D$514:$T$663,17,FALSE),VLOOKUP($A79,中間シート!$D$514:$T$663,12,FALSE)),"")</f>
        <v/>
      </c>
      <c r="AO79" s="423"/>
      <c r="AP79" s="423"/>
      <c r="AQ79" s="423"/>
      <c r="AR79" s="423"/>
      <c r="AS79" s="424"/>
      <c r="AT79" s="422" t="str">
        <f t="shared" si="3"/>
        <v/>
      </c>
      <c r="AU79" s="424"/>
    </row>
    <row r="80" spans="1:47" ht="16.5" customHeight="1" x14ac:dyDescent="0.15">
      <c r="A80" s="58">
        <f>中間シート!AI522</f>
        <v>9999</v>
      </c>
      <c r="B80" s="58" t="str">
        <f>中間シート!AK522</f>
        <v>事業場99</v>
      </c>
      <c r="C80" s="58" t="e">
        <f>中間シート!AJ522</f>
        <v>#N/A</v>
      </c>
      <c r="D80" s="58" t="str">
        <f>VLOOKUP($A80,中間シート!$D$514:$K$663,4)</f>
        <v/>
      </c>
      <c r="E80" s="58" t="str">
        <f>VLOOKUP($A80,中間シート!$D$514:$K$663,5)</f>
        <v/>
      </c>
      <c r="F80" s="58" t="str">
        <f>VLOOKUP($A80,中間シート!$D$514:$K$663,6)</f>
        <v/>
      </c>
      <c r="G80" s="58" t="str">
        <f>VLOOKUP($A80,中間シート!$D$514:$K$663,7)</f>
        <v/>
      </c>
      <c r="H80" s="58" t="str">
        <f>VLOOKUP($A80,中間シート!$D$514:$K$663,8)</f>
        <v/>
      </c>
      <c r="J80" s="412" t="str">
        <f t="shared" si="4"/>
        <v/>
      </c>
      <c r="K80" s="412"/>
      <c r="L80" s="412"/>
      <c r="M80" s="412"/>
      <c r="N80" s="422" t="str">
        <f>IF($A80&lt;&gt;9999,IF($C80=2,VLOOKUP($A80,中間シート!$D$514:$T$663,14,FALSE),VLOOKUP($A80,中間シート!$D$514:$T$663,9,FALSE)),"")</f>
        <v/>
      </c>
      <c r="O80" s="423"/>
      <c r="P80" s="423"/>
      <c r="Q80" s="423"/>
      <c r="R80" s="423"/>
      <c r="S80" s="423"/>
      <c r="T80" s="424"/>
      <c r="U80" s="422" t="str">
        <f t="shared" si="0"/>
        <v/>
      </c>
      <c r="V80" s="424"/>
      <c r="W80" s="422" t="str">
        <f>IF($A80&lt;&gt;9999,IF($C80=2,VLOOKUP($A80,中間シート!$D$514:$T$663,15,FALSE),VLOOKUP($A80,中間シート!$D$514:$T$663,10,FALSE)),"")</f>
        <v/>
      </c>
      <c r="X80" s="423"/>
      <c r="Y80" s="423"/>
      <c r="Z80" s="423"/>
      <c r="AA80" s="423"/>
      <c r="AB80" s="423"/>
      <c r="AC80" s="424"/>
      <c r="AD80" s="422" t="str">
        <f t="shared" si="1"/>
        <v/>
      </c>
      <c r="AE80" s="424"/>
      <c r="AF80" s="422" t="str">
        <f>IF($A80&lt;&gt;9999,IF($C80=2,VLOOKUP($A80,中間シート!$D$514:$T$663,16,FALSE),VLOOKUP($A80,中間シート!$D$514:$T$663,11,FALSE)),"")</f>
        <v/>
      </c>
      <c r="AG80" s="423"/>
      <c r="AH80" s="423"/>
      <c r="AI80" s="423"/>
      <c r="AJ80" s="423"/>
      <c r="AK80" s="424"/>
      <c r="AL80" s="422" t="str">
        <f t="shared" si="2"/>
        <v/>
      </c>
      <c r="AM80" s="424"/>
      <c r="AN80" s="422" t="str">
        <f>IF($A80&lt;&gt;9999,IF($C80=2,VLOOKUP($A80,中間シート!$D$514:$T$663,17,FALSE),VLOOKUP($A80,中間シート!$D$514:$T$663,12,FALSE)),"")</f>
        <v/>
      </c>
      <c r="AO80" s="423"/>
      <c r="AP80" s="423"/>
      <c r="AQ80" s="423"/>
      <c r="AR80" s="423"/>
      <c r="AS80" s="424"/>
      <c r="AT80" s="422" t="str">
        <f t="shared" si="3"/>
        <v/>
      </c>
      <c r="AU80" s="424"/>
    </row>
    <row r="81" spans="1:47" ht="16.5" customHeight="1" x14ac:dyDescent="0.15">
      <c r="A81" s="58">
        <f>中間シート!AI523</f>
        <v>9999</v>
      </c>
      <c r="B81" s="58" t="str">
        <f>中間シート!AK523</f>
        <v>事業場99</v>
      </c>
      <c r="C81" s="58" t="e">
        <f>中間シート!AJ523</f>
        <v>#N/A</v>
      </c>
      <c r="D81" s="58" t="str">
        <f>VLOOKUP($A81,中間シート!$D$514:$K$663,4)</f>
        <v/>
      </c>
      <c r="E81" s="58" t="str">
        <f>VLOOKUP($A81,中間シート!$D$514:$K$663,5)</f>
        <v/>
      </c>
      <c r="F81" s="58" t="str">
        <f>VLOOKUP($A81,中間シート!$D$514:$K$663,6)</f>
        <v/>
      </c>
      <c r="G81" s="58" t="str">
        <f>VLOOKUP($A81,中間シート!$D$514:$K$663,7)</f>
        <v/>
      </c>
      <c r="H81" s="58" t="str">
        <f>VLOOKUP($A81,中間シート!$D$514:$K$663,8)</f>
        <v/>
      </c>
      <c r="J81" s="412" t="str">
        <f t="shared" si="4"/>
        <v/>
      </c>
      <c r="K81" s="412"/>
      <c r="L81" s="412"/>
      <c r="M81" s="412"/>
      <c r="N81" s="422" t="str">
        <f>IF($A81&lt;&gt;9999,IF($C81=2,VLOOKUP($A81,中間シート!$D$514:$T$663,14,FALSE),VLOOKUP($A81,中間シート!$D$514:$T$663,9,FALSE)),"")</f>
        <v/>
      </c>
      <c r="O81" s="423"/>
      <c r="P81" s="423"/>
      <c r="Q81" s="423"/>
      <c r="R81" s="423"/>
      <c r="S81" s="423"/>
      <c r="T81" s="424"/>
      <c r="U81" s="422" t="str">
        <f t="shared" si="0"/>
        <v/>
      </c>
      <c r="V81" s="424"/>
      <c r="W81" s="422" t="str">
        <f>IF($A81&lt;&gt;9999,IF($C81=2,VLOOKUP($A81,中間シート!$D$514:$T$663,15,FALSE),VLOOKUP($A81,中間シート!$D$514:$T$663,10,FALSE)),"")</f>
        <v/>
      </c>
      <c r="X81" s="423"/>
      <c r="Y81" s="423"/>
      <c r="Z81" s="423"/>
      <c r="AA81" s="423"/>
      <c r="AB81" s="423"/>
      <c r="AC81" s="424"/>
      <c r="AD81" s="422" t="str">
        <f t="shared" si="1"/>
        <v/>
      </c>
      <c r="AE81" s="424"/>
      <c r="AF81" s="422" t="str">
        <f>IF($A81&lt;&gt;9999,IF($C81=2,VLOOKUP($A81,中間シート!$D$514:$T$663,16,FALSE),VLOOKUP($A81,中間シート!$D$514:$T$663,11,FALSE)),"")</f>
        <v/>
      </c>
      <c r="AG81" s="423"/>
      <c r="AH81" s="423"/>
      <c r="AI81" s="423"/>
      <c r="AJ81" s="423"/>
      <c r="AK81" s="424"/>
      <c r="AL81" s="422" t="str">
        <f t="shared" si="2"/>
        <v/>
      </c>
      <c r="AM81" s="424"/>
      <c r="AN81" s="422" t="str">
        <f>IF($A81&lt;&gt;9999,IF($C81=2,VLOOKUP($A81,中間シート!$D$514:$T$663,17,FALSE),VLOOKUP($A81,中間シート!$D$514:$T$663,12,FALSE)),"")</f>
        <v/>
      </c>
      <c r="AO81" s="423"/>
      <c r="AP81" s="423"/>
      <c r="AQ81" s="423"/>
      <c r="AR81" s="423"/>
      <c r="AS81" s="424"/>
      <c r="AT81" s="422" t="str">
        <f t="shared" si="3"/>
        <v/>
      </c>
      <c r="AU81" s="424"/>
    </row>
    <row r="82" spans="1:47" ht="16.5" customHeight="1" x14ac:dyDescent="0.15">
      <c r="A82" s="58">
        <f>中間シート!AI524</f>
        <v>9999</v>
      </c>
      <c r="B82" s="58" t="str">
        <f>中間シート!AK524</f>
        <v>事業場99</v>
      </c>
      <c r="C82" s="58" t="e">
        <f>中間シート!AJ524</f>
        <v>#N/A</v>
      </c>
      <c r="D82" s="58" t="str">
        <f>VLOOKUP($A82,中間シート!$D$514:$K$663,4)</f>
        <v/>
      </c>
      <c r="E82" s="58" t="str">
        <f>VLOOKUP($A82,中間シート!$D$514:$K$663,5)</f>
        <v/>
      </c>
      <c r="F82" s="58" t="str">
        <f>VLOOKUP($A82,中間シート!$D$514:$K$663,6)</f>
        <v/>
      </c>
      <c r="G82" s="58" t="str">
        <f>VLOOKUP($A82,中間シート!$D$514:$K$663,7)</f>
        <v/>
      </c>
      <c r="H82" s="58" t="str">
        <f>VLOOKUP($A82,中間シート!$D$514:$K$663,8)</f>
        <v/>
      </c>
      <c r="J82" s="412" t="str">
        <f t="shared" si="4"/>
        <v/>
      </c>
      <c r="K82" s="412"/>
      <c r="L82" s="412"/>
      <c r="M82" s="412"/>
      <c r="N82" s="422" t="str">
        <f>IF($A82&lt;&gt;9999,IF($C82=2,VLOOKUP($A82,中間シート!$D$514:$T$663,14,FALSE),VLOOKUP($A82,中間シート!$D$514:$T$663,9,FALSE)),"")</f>
        <v/>
      </c>
      <c r="O82" s="423"/>
      <c r="P82" s="423"/>
      <c r="Q82" s="423"/>
      <c r="R82" s="423"/>
      <c r="S82" s="423"/>
      <c r="T82" s="424"/>
      <c r="U82" s="422" t="str">
        <f t="shared" si="0"/>
        <v/>
      </c>
      <c r="V82" s="424"/>
      <c r="W82" s="422" t="str">
        <f>IF($A82&lt;&gt;9999,IF($C82=2,VLOOKUP($A82,中間シート!$D$514:$T$663,15,FALSE),VLOOKUP($A82,中間シート!$D$514:$T$663,10,FALSE)),"")</f>
        <v/>
      </c>
      <c r="X82" s="423"/>
      <c r="Y82" s="423"/>
      <c r="Z82" s="423"/>
      <c r="AA82" s="423"/>
      <c r="AB82" s="423"/>
      <c r="AC82" s="424"/>
      <c r="AD82" s="422" t="str">
        <f t="shared" si="1"/>
        <v/>
      </c>
      <c r="AE82" s="424"/>
      <c r="AF82" s="422" t="str">
        <f>IF($A82&lt;&gt;9999,IF($C82=2,VLOOKUP($A82,中間シート!$D$514:$T$663,16,FALSE),VLOOKUP($A82,中間シート!$D$514:$T$663,11,FALSE)),"")</f>
        <v/>
      </c>
      <c r="AG82" s="423"/>
      <c r="AH82" s="423"/>
      <c r="AI82" s="423"/>
      <c r="AJ82" s="423"/>
      <c r="AK82" s="424"/>
      <c r="AL82" s="422" t="str">
        <f t="shared" si="2"/>
        <v/>
      </c>
      <c r="AM82" s="424"/>
      <c r="AN82" s="422" t="str">
        <f>IF($A82&lt;&gt;9999,IF($C82=2,VLOOKUP($A82,中間シート!$D$514:$T$663,17,FALSE),VLOOKUP($A82,中間シート!$D$514:$T$663,12,FALSE)),"")</f>
        <v/>
      </c>
      <c r="AO82" s="423"/>
      <c r="AP82" s="423"/>
      <c r="AQ82" s="423"/>
      <c r="AR82" s="423"/>
      <c r="AS82" s="424"/>
      <c r="AT82" s="422" t="str">
        <f t="shared" si="3"/>
        <v/>
      </c>
      <c r="AU82" s="424"/>
    </row>
    <row r="83" spans="1:47" ht="16.5" customHeight="1" x14ac:dyDescent="0.15">
      <c r="A83" s="58">
        <f>中間シート!AI525</f>
        <v>9999</v>
      </c>
      <c r="B83" s="58" t="str">
        <f>中間シート!AK525</f>
        <v>事業場99</v>
      </c>
      <c r="C83" s="58" t="e">
        <f>中間シート!AJ525</f>
        <v>#N/A</v>
      </c>
      <c r="D83" s="58" t="str">
        <f>VLOOKUP($A83,中間シート!$D$514:$K$663,4)</f>
        <v/>
      </c>
      <c r="E83" s="58" t="str">
        <f>VLOOKUP($A83,中間シート!$D$514:$K$663,5)</f>
        <v/>
      </c>
      <c r="F83" s="58" t="str">
        <f>VLOOKUP($A83,中間シート!$D$514:$K$663,6)</f>
        <v/>
      </c>
      <c r="G83" s="58" t="str">
        <f>VLOOKUP($A83,中間シート!$D$514:$K$663,7)</f>
        <v/>
      </c>
      <c r="H83" s="58" t="str">
        <f>VLOOKUP($A83,中間シート!$D$514:$K$663,8)</f>
        <v/>
      </c>
      <c r="J83" s="412" t="str">
        <f t="shared" si="4"/>
        <v/>
      </c>
      <c r="K83" s="412"/>
      <c r="L83" s="412"/>
      <c r="M83" s="412"/>
      <c r="N83" s="422" t="str">
        <f>IF($A83&lt;&gt;9999,IF($C83=2,VLOOKUP($A83,中間シート!$D$514:$T$663,14,FALSE),VLOOKUP($A83,中間シート!$D$514:$T$663,9,FALSE)),"")</f>
        <v/>
      </c>
      <c r="O83" s="423"/>
      <c r="P83" s="423"/>
      <c r="Q83" s="423"/>
      <c r="R83" s="423"/>
      <c r="S83" s="423"/>
      <c r="T83" s="424"/>
      <c r="U83" s="422" t="str">
        <f t="shared" si="0"/>
        <v/>
      </c>
      <c r="V83" s="424"/>
      <c r="W83" s="422" t="str">
        <f>IF($A83&lt;&gt;9999,IF($C83=2,VLOOKUP($A83,中間シート!$D$514:$T$663,15,FALSE),VLOOKUP($A83,中間シート!$D$514:$T$663,10,FALSE)),"")</f>
        <v/>
      </c>
      <c r="X83" s="423"/>
      <c r="Y83" s="423"/>
      <c r="Z83" s="423"/>
      <c r="AA83" s="423"/>
      <c r="AB83" s="423"/>
      <c r="AC83" s="424"/>
      <c r="AD83" s="422" t="str">
        <f t="shared" si="1"/>
        <v/>
      </c>
      <c r="AE83" s="424"/>
      <c r="AF83" s="422" t="str">
        <f>IF($A83&lt;&gt;9999,IF($C83=2,VLOOKUP($A83,中間シート!$D$514:$T$663,16,FALSE),VLOOKUP($A83,中間シート!$D$514:$T$663,11,FALSE)),"")</f>
        <v/>
      </c>
      <c r="AG83" s="423"/>
      <c r="AH83" s="423"/>
      <c r="AI83" s="423"/>
      <c r="AJ83" s="423"/>
      <c r="AK83" s="424"/>
      <c r="AL83" s="422" t="str">
        <f t="shared" si="2"/>
        <v/>
      </c>
      <c r="AM83" s="424"/>
      <c r="AN83" s="422" t="str">
        <f>IF($A83&lt;&gt;9999,IF($C83=2,VLOOKUP($A83,中間シート!$D$514:$T$663,17,FALSE),VLOOKUP($A83,中間シート!$D$514:$T$663,12,FALSE)),"")</f>
        <v/>
      </c>
      <c r="AO83" s="423"/>
      <c r="AP83" s="423"/>
      <c r="AQ83" s="423"/>
      <c r="AR83" s="423"/>
      <c r="AS83" s="424"/>
      <c r="AT83" s="422" t="str">
        <f t="shared" si="3"/>
        <v/>
      </c>
      <c r="AU83" s="424"/>
    </row>
    <row r="84" spans="1:47" ht="16.5" customHeight="1" x14ac:dyDescent="0.15">
      <c r="A84" s="58">
        <f>中間シート!AI526</f>
        <v>9999</v>
      </c>
      <c r="B84" s="58" t="str">
        <f>中間シート!AK526</f>
        <v>事業場99</v>
      </c>
      <c r="C84" s="58" t="e">
        <f>中間シート!AJ526</f>
        <v>#N/A</v>
      </c>
      <c r="D84" s="58" t="str">
        <f>VLOOKUP($A84,中間シート!$D$514:$K$663,4)</f>
        <v/>
      </c>
      <c r="E84" s="58" t="str">
        <f>VLOOKUP($A84,中間シート!$D$514:$K$663,5)</f>
        <v/>
      </c>
      <c r="F84" s="58" t="str">
        <f>VLOOKUP($A84,中間シート!$D$514:$K$663,6)</f>
        <v/>
      </c>
      <c r="G84" s="58" t="str">
        <f>VLOOKUP($A84,中間シート!$D$514:$K$663,7)</f>
        <v/>
      </c>
      <c r="H84" s="58" t="str">
        <f>VLOOKUP($A84,中間シート!$D$514:$K$663,8)</f>
        <v/>
      </c>
      <c r="J84" s="412" t="str">
        <f t="shared" si="4"/>
        <v/>
      </c>
      <c r="K84" s="412"/>
      <c r="L84" s="412"/>
      <c r="M84" s="412"/>
      <c r="N84" s="422" t="str">
        <f>IF($A84&lt;&gt;9999,IF($C84=2,VLOOKUP($A84,中間シート!$D$514:$T$663,14,FALSE),VLOOKUP($A84,中間シート!$D$514:$T$663,9,FALSE)),"")</f>
        <v/>
      </c>
      <c r="O84" s="423"/>
      <c r="P84" s="423"/>
      <c r="Q84" s="423"/>
      <c r="R84" s="423"/>
      <c r="S84" s="423"/>
      <c r="T84" s="424"/>
      <c r="U84" s="422" t="str">
        <f t="shared" si="0"/>
        <v/>
      </c>
      <c r="V84" s="424"/>
      <c r="W84" s="422" t="str">
        <f>IF($A84&lt;&gt;9999,IF($C84=2,VLOOKUP($A84,中間シート!$D$514:$T$663,15,FALSE),VLOOKUP($A84,中間シート!$D$514:$T$663,10,FALSE)),"")</f>
        <v/>
      </c>
      <c r="X84" s="423"/>
      <c r="Y84" s="423"/>
      <c r="Z84" s="423"/>
      <c r="AA84" s="423"/>
      <c r="AB84" s="423"/>
      <c r="AC84" s="424"/>
      <c r="AD84" s="422" t="str">
        <f t="shared" si="1"/>
        <v/>
      </c>
      <c r="AE84" s="424"/>
      <c r="AF84" s="422" t="str">
        <f>IF($A84&lt;&gt;9999,IF($C84=2,VLOOKUP($A84,中間シート!$D$514:$T$663,16,FALSE),VLOOKUP($A84,中間シート!$D$514:$T$663,11,FALSE)),"")</f>
        <v/>
      </c>
      <c r="AG84" s="423"/>
      <c r="AH84" s="423"/>
      <c r="AI84" s="423"/>
      <c r="AJ84" s="423"/>
      <c r="AK84" s="424"/>
      <c r="AL84" s="422" t="str">
        <f t="shared" si="2"/>
        <v/>
      </c>
      <c r="AM84" s="424"/>
      <c r="AN84" s="422" t="str">
        <f>IF($A84&lt;&gt;9999,IF($C84=2,VLOOKUP($A84,中間シート!$D$514:$T$663,17,FALSE),VLOOKUP($A84,中間シート!$D$514:$T$663,12,FALSE)),"")</f>
        <v/>
      </c>
      <c r="AO84" s="423"/>
      <c r="AP84" s="423"/>
      <c r="AQ84" s="423"/>
      <c r="AR84" s="423"/>
      <c r="AS84" s="424"/>
      <c r="AT84" s="422" t="str">
        <f t="shared" si="3"/>
        <v/>
      </c>
      <c r="AU84" s="424"/>
    </row>
    <row r="85" spans="1:47" ht="16.5" customHeight="1" x14ac:dyDescent="0.15">
      <c r="A85" s="58">
        <f>中間シート!AI527</f>
        <v>9999</v>
      </c>
      <c r="B85" s="58" t="str">
        <f>中間シート!AK527</f>
        <v>事業場99</v>
      </c>
      <c r="C85" s="58" t="e">
        <f>中間シート!AJ527</f>
        <v>#N/A</v>
      </c>
      <c r="D85" s="58" t="str">
        <f>VLOOKUP($A85,中間シート!$D$514:$K$663,4)</f>
        <v/>
      </c>
      <c r="E85" s="58" t="str">
        <f>VLOOKUP($A85,中間シート!$D$514:$K$663,5)</f>
        <v/>
      </c>
      <c r="F85" s="58" t="str">
        <f>VLOOKUP($A85,中間シート!$D$514:$K$663,6)</f>
        <v/>
      </c>
      <c r="G85" s="58" t="str">
        <f>VLOOKUP($A85,中間シート!$D$514:$K$663,7)</f>
        <v/>
      </c>
      <c r="H85" s="58" t="str">
        <f>VLOOKUP($A85,中間シート!$D$514:$K$663,8)</f>
        <v/>
      </c>
      <c r="J85" s="412" t="str">
        <f t="shared" si="4"/>
        <v/>
      </c>
      <c r="K85" s="412"/>
      <c r="L85" s="412"/>
      <c r="M85" s="412"/>
      <c r="N85" s="422" t="str">
        <f>IF($A85&lt;&gt;9999,IF($C85=2,VLOOKUP($A85,中間シート!$D$514:$T$663,14,FALSE),VLOOKUP($A85,中間シート!$D$514:$T$663,9,FALSE)),"")</f>
        <v/>
      </c>
      <c r="O85" s="423"/>
      <c r="P85" s="423"/>
      <c r="Q85" s="423"/>
      <c r="R85" s="423"/>
      <c r="S85" s="423"/>
      <c r="T85" s="424"/>
      <c r="U85" s="422" t="str">
        <f t="shared" si="0"/>
        <v/>
      </c>
      <c r="V85" s="424"/>
      <c r="W85" s="422" t="str">
        <f>IF($A85&lt;&gt;9999,IF($C85=2,VLOOKUP($A85,中間シート!$D$514:$T$663,15,FALSE),VLOOKUP($A85,中間シート!$D$514:$T$663,10,FALSE)),"")</f>
        <v/>
      </c>
      <c r="X85" s="423"/>
      <c r="Y85" s="423"/>
      <c r="Z85" s="423"/>
      <c r="AA85" s="423"/>
      <c r="AB85" s="423"/>
      <c r="AC85" s="424"/>
      <c r="AD85" s="422" t="str">
        <f t="shared" si="1"/>
        <v/>
      </c>
      <c r="AE85" s="424"/>
      <c r="AF85" s="422" t="str">
        <f>IF($A85&lt;&gt;9999,IF($C85=2,VLOOKUP($A85,中間シート!$D$514:$T$663,16,FALSE),VLOOKUP($A85,中間シート!$D$514:$T$663,11,FALSE)),"")</f>
        <v/>
      </c>
      <c r="AG85" s="423"/>
      <c r="AH85" s="423"/>
      <c r="AI85" s="423"/>
      <c r="AJ85" s="423"/>
      <c r="AK85" s="424"/>
      <c r="AL85" s="422" t="str">
        <f t="shared" si="2"/>
        <v/>
      </c>
      <c r="AM85" s="424"/>
      <c r="AN85" s="422" t="str">
        <f>IF($A85&lt;&gt;9999,IF($C85=2,VLOOKUP($A85,中間シート!$D$514:$T$663,17,FALSE),VLOOKUP($A85,中間シート!$D$514:$T$663,12,FALSE)),"")</f>
        <v/>
      </c>
      <c r="AO85" s="423"/>
      <c r="AP85" s="423"/>
      <c r="AQ85" s="423"/>
      <c r="AR85" s="423"/>
      <c r="AS85" s="424"/>
      <c r="AT85" s="422" t="str">
        <f t="shared" si="3"/>
        <v/>
      </c>
      <c r="AU85" s="424"/>
    </row>
    <row r="86" spans="1:47" ht="16.5" customHeight="1" x14ac:dyDescent="0.15">
      <c r="A86" s="58">
        <f>中間シート!AI528</f>
        <v>9999</v>
      </c>
      <c r="B86" s="58" t="str">
        <f>中間シート!AK528</f>
        <v>事業場99</v>
      </c>
      <c r="C86" s="58" t="e">
        <f>中間シート!AJ528</f>
        <v>#N/A</v>
      </c>
      <c r="D86" s="58" t="str">
        <f>VLOOKUP($A86,中間シート!$D$514:$K$663,4)</f>
        <v/>
      </c>
      <c r="E86" s="58" t="str">
        <f>VLOOKUP($A86,中間シート!$D$514:$K$663,5)</f>
        <v/>
      </c>
      <c r="F86" s="58" t="str">
        <f>VLOOKUP($A86,中間シート!$D$514:$K$663,6)</f>
        <v/>
      </c>
      <c r="G86" s="58" t="str">
        <f>VLOOKUP($A86,中間シート!$D$514:$K$663,7)</f>
        <v/>
      </c>
      <c r="H86" s="58" t="str">
        <f>VLOOKUP($A86,中間シート!$D$514:$K$663,8)</f>
        <v/>
      </c>
      <c r="J86" s="412" t="str">
        <f t="shared" si="4"/>
        <v/>
      </c>
      <c r="K86" s="412"/>
      <c r="L86" s="412"/>
      <c r="M86" s="412"/>
      <c r="N86" s="422" t="str">
        <f>IF($A86&lt;&gt;9999,IF($C86=2,VLOOKUP($A86,中間シート!$D$514:$T$663,14,FALSE),VLOOKUP($A86,中間シート!$D$514:$T$663,9,FALSE)),"")</f>
        <v/>
      </c>
      <c r="O86" s="423"/>
      <c r="P86" s="423"/>
      <c r="Q86" s="423"/>
      <c r="R86" s="423"/>
      <c r="S86" s="423"/>
      <c r="T86" s="424"/>
      <c r="U86" s="422" t="str">
        <f t="shared" si="0"/>
        <v/>
      </c>
      <c r="V86" s="424"/>
      <c r="W86" s="422" t="str">
        <f>IF($A86&lt;&gt;9999,IF($C86=2,VLOOKUP($A86,中間シート!$D$514:$T$663,15,FALSE),VLOOKUP($A86,中間シート!$D$514:$T$663,10,FALSE)),"")</f>
        <v/>
      </c>
      <c r="X86" s="423"/>
      <c r="Y86" s="423"/>
      <c r="Z86" s="423"/>
      <c r="AA86" s="423"/>
      <c r="AB86" s="423"/>
      <c r="AC86" s="424"/>
      <c r="AD86" s="422" t="str">
        <f t="shared" si="1"/>
        <v/>
      </c>
      <c r="AE86" s="424"/>
      <c r="AF86" s="422" t="str">
        <f>IF($A86&lt;&gt;9999,IF($C86=2,VLOOKUP($A86,中間シート!$D$514:$T$663,16,FALSE),VLOOKUP($A86,中間シート!$D$514:$T$663,11,FALSE)),"")</f>
        <v/>
      </c>
      <c r="AG86" s="423"/>
      <c r="AH86" s="423"/>
      <c r="AI86" s="423"/>
      <c r="AJ86" s="423"/>
      <c r="AK86" s="424"/>
      <c r="AL86" s="422" t="str">
        <f t="shared" si="2"/>
        <v/>
      </c>
      <c r="AM86" s="424"/>
      <c r="AN86" s="422" t="str">
        <f>IF($A86&lt;&gt;9999,IF($C86=2,VLOOKUP($A86,中間シート!$D$514:$T$663,17,FALSE),VLOOKUP($A86,中間シート!$D$514:$T$663,12,FALSE)),"")</f>
        <v/>
      </c>
      <c r="AO86" s="423"/>
      <c r="AP86" s="423"/>
      <c r="AQ86" s="423"/>
      <c r="AR86" s="423"/>
      <c r="AS86" s="424"/>
      <c r="AT86" s="422" t="str">
        <f t="shared" si="3"/>
        <v/>
      </c>
      <c r="AU86" s="424"/>
    </row>
    <row r="87" spans="1:47" ht="16.5" customHeight="1" x14ac:dyDescent="0.15">
      <c r="A87" s="58">
        <f>中間シート!AI529</f>
        <v>9999</v>
      </c>
      <c r="B87" s="58" t="str">
        <f>中間シート!AK529</f>
        <v>事業場99</v>
      </c>
      <c r="C87" s="58" t="e">
        <f>中間シート!AJ529</f>
        <v>#N/A</v>
      </c>
      <c r="D87" s="58" t="str">
        <f>VLOOKUP($A87,中間シート!$D$514:$K$663,4)</f>
        <v/>
      </c>
      <c r="E87" s="58" t="str">
        <f>VLOOKUP($A87,中間シート!$D$514:$K$663,5)</f>
        <v/>
      </c>
      <c r="F87" s="58" t="str">
        <f>VLOOKUP($A87,中間シート!$D$514:$K$663,6)</f>
        <v/>
      </c>
      <c r="G87" s="58" t="str">
        <f>VLOOKUP($A87,中間シート!$D$514:$K$663,7)</f>
        <v/>
      </c>
      <c r="H87" s="58" t="str">
        <f>VLOOKUP($A87,中間シート!$D$514:$K$663,8)</f>
        <v/>
      </c>
      <c r="J87" s="412" t="str">
        <f t="shared" si="4"/>
        <v/>
      </c>
      <c r="K87" s="412"/>
      <c r="L87" s="412"/>
      <c r="M87" s="412"/>
      <c r="N87" s="422" t="str">
        <f>IF($A87&lt;&gt;9999,IF($C87=2,VLOOKUP($A87,中間シート!$D$514:$T$663,14,FALSE),VLOOKUP($A87,中間シート!$D$514:$T$663,9,FALSE)),"")</f>
        <v/>
      </c>
      <c r="O87" s="423"/>
      <c r="P87" s="423"/>
      <c r="Q87" s="423"/>
      <c r="R87" s="423"/>
      <c r="S87" s="423"/>
      <c r="T87" s="424"/>
      <c r="U87" s="422" t="str">
        <f t="shared" si="0"/>
        <v/>
      </c>
      <c r="V87" s="424"/>
      <c r="W87" s="422" t="str">
        <f>IF($A87&lt;&gt;9999,IF($C87=2,VLOOKUP($A87,中間シート!$D$514:$T$663,15,FALSE),VLOOKUP($A87,中間シート!$D$514:$T$663,10,FALSE)),"")</f>
        <v/>
      </c>
      <c r="X87" s="423"/>
      <c r="Y87" s="423"/>
      <c r="Z87" s="423"/>
      <c r="AA87" s="423"/>
      <c r="AB87" s="423"/>
      <c r="AC87" s="424"/>
      <c r="AD87" s="422" t="str">
        <f t="shared" si="1"/>
        <v/>
      </c>
      <c r="AE87" s="424"/>
      <c r="AF87" s="422" t="str">
        <f>IF($A87&lt;&gt;9999,IF($C87=2,VLOOKUP($A87,中間シート!$D$514:$T$663,16,FALSE),VLOOKUP($A87,中間シート!$D$514:$T$663,11,FALSE)),"")</f>
        <v/>
      </c>
      <c r="AG87" s="423"/>
      <c r="AH87" s="423"/>
      <c r="AI87" s="423"/>
      <c r="AJ87" s="423"/>
      <c r="AK87" s="424"/>
      <c r="AL87" s="422" t="str">
        <f t="shared" si="2"/>
        <v/>
      </c>
      <c r="AM87" s="424"/>
      <c r="AN87" s="422" t="str">
        <f>IF($A87&lt;&gt;9999,IF($C87=2,VLOOKUP($A87,中間シート!$D$514:$T$663,17,FALSE),VLOOKUP($A87,中間シート!$D$514:$T$663,12,FALSE)),"")</f>
        <v/>
      </c>
      <c r="AO87" s="423"/>
      <c r="AP87" s="423"/>
      <c r="AQ87" s="423"/>
      <c r="AR87" s="423"/>
      <c r="AS87" s="424"/>
      <c r="AT87" s="422" t="str">
        <f t="shared" si="3"/>
        <v/>
      </c>
      <c r="AU87" s="424"/>
    </row>
    <row r="88" spans="1:47" ht="16.5" customHeight="1" x14ac:dyDescent="0.15">
      <c r="A88" s="58">
        <f>中間シート!AI530</f>
        <v>9999</v>
      </c>
      <c r="B88" s="58" t="str">
        <f>中間シート!AK530</f>
        <v>事業場99</v>
      </c>
      <c r="C88" s="58" t="e">
        <f>中間シート!AJ530</f>
        <v>#N/A</v>
      </c>
      <c r="D88" s="58" t="str">
        <f>VLOOKUP($A88,中間シート!$D$514:$K$663,4)</f>
        <v/>
      </c>
      <c r="E88" s="58" t="str">
        <f>VLOOKUP($A88,中間シート!$D$514:$K$663,5)</f>
        <v/>
      </c>
      <c r="F88" s="58" t="str">
        <f>VLOOKUP($A88,中間シート!$D$514:$K$663,6)</f>
        <v/>
      </c>
      <c r="G88" s="58" t="str">
        <f>VLOOKUP($A88,中間シート!$D$514:$K$663,7)</f>
        <v/>
      </c>
      <c r="H88" s="58" t="str">
        <f>VLOOKUP($A88,中間シート!$D$514:$K$663,8)</f>
        <v/>
      </c>
      <c r="J88" s="412" t="str">
        <f t="shared" si="4"/>
        <v/>
      </c>
      <c r="K88" s="412"/>
      <c r="L88" s="412"/>
      <c r="M88" s="412"/>
      <c r="N88" s="422" t="str">
        <f>IF($A88&lt;&gt;9999,IF($C88=2,VLOOKUP($A88,中間シート!$D$514:$T$663,14,FALSE),VLOOKUP($A88,中間シート!$D$514:$T$663,9,FALSE)),"")</f>
        <v/>
      </c>
      <c r="O88" s="423"/>
      <c r="P88" s="423"/>
      <c r="Q88" s="423"/>
      <c r="R88" s="423"/>
      <c r="S88" s="423"/>
      <c r="T88" s="424"/>
      <c r="U88" s="422" t="str">
        <f t="shared" si="0"/>
        <v/>
      </c>
      <c r="V88" s="424"/>
      <c r="W88" s="422" t="str">
        <f>IF($A88&lt;&gt;9999,IF($C88=2,VLOOKUP($A88,中間シート!$D$514:$T$663,15,FALSE),VLOOKUP($A88,中間シート!$D$514:$T$663,10,FALSE)),"")</f>
        <v/>
      </c>
      <c r="X88" s="423"/>
      <c r="Y88" s="423"/>
      <c r="Z88" s="423"/>
      <c r="AA88" s="423"/>
      <c r="AB88" s="423"/>
      <c r="AC88" s="424"/>
      <c r="AD88" s="422" t="str">
        <f t="shared" si="1"/>
        <v/>
      </c>
      <c r="AE88" s="424"/>
      <c r="AF88" s="422" t="str">
        <f>IF($A88&lt;&gt;9999,IF($C88=2,VLOOKUP($A88,中間シート!$D$514:$T$663,16,FALSE),VLOOKUP($A88,中間シート!$D$514:$T$663,11,FALSE)),"")</f>
        <v/>
      </c>
      <c r="AG88" s="423"/>
      <c r="AH88" s="423"/>
      <c r="AI88" s="423"/>
      <c r="AJ88" s="423"/>
      <c r="AK88" s="424"/>
      <c r="AL88" s="422" t="str">
        <f t="shared" si="2"/>
        <v/>
      </c>
      <c r="AM88" s="424"/>
      <c r="AN88" s="422" t="str">
        <f>IF($A88&lt;&gt;9999,IF($C88=2,VLOOKUP($A88,中間シート!$D$514:$T$663,17,FALSE),VLOOKUP($A88,中間シート!$D$514:$T$663,12,FALSE)),"")</f>
        <v/>
      </c>
      <c r="AO88" s="423"/>
      <c r="AP88" s="423"/>
      <c r="AQ88" s="423"/>
      <c r="AR88" s="423"/>
      <c r="AS88" s="424"/>
      <c r="AT88" s="422" t="str">
        <f t="shared" si="3"/>
        <v/>
      </c>
      <c r="AU88" s="424"/>
    </row>
    <row r="89" spans="1:47" ht="16.5" customHeight="1" x14ac:dyDescent="0.15">
      <c r="A89" s="58">
        <f>中間シート!AI531</f>
        <v>9999</v>
      </c>
      <c r="B89" s="58" t="str">
        <f>中間シート!AK531</f>
        <v>事業場99</v>
      </c>
      <c r="C89" s="58" t="e">
        <f>中間シート!AJ531</f>
        <v>#N/A</v>
      </c>
      <c r="D89" s="58" t="str">
        <f>VLOOKUP($A89,中間シート!$D$514:$K$663,4)</f>
        <v/>
      </c>
      <c r="E89" s="58" t="str">
        <f>VLOOKUP($A89,中間シート!$D$514:$K$663,5)</f>
        <v/>
      </c>
      <c r="F89" s="58" t="str">
        <f>VLOOKUP($A89,中間シート!$D$514:$K$663,6)</f>
        <v/>
      </c>
      <c r="G89" s="58" t="str">
        <f>VLOOKUP($A89,中間シート!$D$514:$K$663,7)</f>
        <v/>
      </c>
      <c r="H89" s="58" t="str">
        <f>VLOOKUP($A89,中間シート!$D$514:$K$663,8)</f>
        <v/>
      </c>
      <c r="J89" s="412" t="str">
        <f t="shared" si="4"/>
        <v/>
      </c>
      <c r="K89" s="412"/>
      <c r="L89" s="412"/>
      <c r="M89" s="412"/>
      <c r="N89" s="422" t="str">
        <f>IF($A89&lt;&gt;9999,IF($C89=2,VLOOKUP($A89,中間シート!$D$514:$T$663,14,FALSE),VLOOKUP($A89,中間シート!$D$514:$T$663,9,FALSE)),"")</f>
        <v/>
      </c>
      <c r="O89" s="423"/>
      <c r="P89" s="423"/>
      <c r="Q89" s="423"/>
      <c r="R89" s="423"/>
      <c r="S89" s="423"/>
      <c r="T89" s="424"/>
      <c r="U89" s="422" t="str">
        <f t="shared" si="0"/>
        <v/>
      </c>
      <c r="V89" s="424"/>
      <c r="W89" s="422" t="str">
        <f>IF($A89&lt;&gt;9999,IF($C89=2,VLOOKUP($A89,中間シート!$D$514:$T$663,15,FALSE),VLOOKUP($A89,中間シート!$D$514:$T$663,10,FALSE)),"")</f>
        <v/>
      </c>
      <c r="X89" s="423"/>
      <c r="Y89" s="423"/>
      <c r="Z89" s="423"/>
      <c r="AA89" s="423"/>
      <c r="AB89" s="423"/>
      <c r="AC89" s="424"/>
      <c r="AD89" s="422" t="str">
        <f t="shared" si="1"/>
        <v/>
      </c>
      <c r="AE89" s="424"/>
      <c r="AF89" s="422" t="str">
        <f>IF($A89&lt;&gt;9999,IF($C89=2,VLOOKUP($A89,中間シート!$D$514:$T$663,16,FALSE),VLOOKUP($A89,中間シート!$D$514:$T$663,11,FALSE)),"")</f>
        <v/>
      </c>
      <c r="AG89" s="423"/>
      <c r="AH89" s="423"/>
      <c r="AI89" s="423"/>
      <c r="AJ89" s="423"/>
      <c r="AK89" s="424"/>
      <c r="AL89" s="422" t="str">
        <f t="shared" si="2"/>
        <v/>
      </c>
      <c r="AM89" s="424"/>
      <c r="AN89" s="422" t="str">
        <f>IF($A89&lt;&gt;9999,IF($C89=2,VLOOKUP($A89,中間シート!$D$514:$T$663,17,FALSE),VLOOKUP($A89,中間シート!$D$514:$T$663,12,FALSE)),"")</f>
        <v/>
      </c>
      <c r="AO89" s="423"/>
      <c r="AP89" s="423"/>
      <c r="AQ89" s="423"/>
      <c r="AR89" s="423"/>
      <c r="AS89" s="424"/>
      <c r="AT89" s="422" t="str">
        <f t="shared" si="3"/>
        <v/>
      </c>
      <c r="AU89" s="424"/>
    </row>
    <row r="90" spans="1:47" ht="16.5" customHeight="1" x14ac:dyDescent="0.15">
      <c r="A90" s="58">
        <f>中間シート!AI532</f>
        <v>9999</v>
      </c>
      <c r="B90" s="58" t="str">
        <f>中間シート!AK532</f>
        <v>事業場99</v>
      </c>
      <c r="C90" s="58" t="e">
        <f>中間シート!AJ532</f>
        <v>#N/A</v>
      </c>
      <c r="D90" s="58" t="str">
        <f>VLOOKUP($A90,中間シート!$D$514:$K$663,4)</f>
        <v/>
      </c>
      <c r="E90" s="58" t="str">
        <f>VLOOKUP($A90,中間シート!$D$514:$K$663,5)</f>
        <v/>
      </c>
      <c r="F90" s="58" t="str">
        <f>VLOOKUP($A90,中間シート!$D$514:$K$663,6)</f>
        <v/>
      </c>
      <c r="G90" s="58" t="str">
        <f>VLOOKUP($A90,中間シート!$D$514:$K$663,7)</f>
        <v/>
      </c>
      <c r="H90" s="58" t="str">
        <f>VLOOKUP($A90,中間シート!$D$514:$K$663,8)</f>
        <v/>
      </c>
      <c r="J90" s="412" t="str">
        <f t="shared" si="4"/>
        <v/>
      </c>
      <c r="K90" s="412"/>
      <c r="L90" s="412"/>
      <c r="M90" s="412"/>
      <c r="N90" s="422" t="str">
        <f>IF($A90&lt;&gt;9999,IF($C90=2,VLOOKUP($A90,中間シート!$D$514:$T$663,14,FALSE),VLOOKUP($A90,中間シート!$D$514:$T$663,9,FALSE)),"")</f>
        <v/>
      </c>
      <c r="O90" s="423"/>
      <c r="P90" s="423"/>
      <c r="Q90" s="423"/>
      <c r="R90" s="423"/>
      <c r="S90" s="423"/>
      <c r="T90" s="424"/>
      <c r="U90" s="422" t="str">
        <f t="shared" si="0"/>
        <v/>
      </c>
      <c r="V90" s="424"/>
      <c r="W90" s="422" t="str">
        <f>IF($A90&lt;&gt;9999,IF($C90=2,VLOOKUP($A90,中間シート!$D$514:$T$663,15,FALSE),VLOOKUP($A90,中間シート!$D$514:$T$663,10,FALSE)),"")</f>
        <v/>
      </c>
      <c r="X90" s="423"/>
      <c r="Y90" s="423"/>
      <c r="Z90" s="423"/>
      <c r="AA90" s="423"/>
      <c r="AB90" s="423"/>
      <c r="AC90" s="424"/>
      <c r="AD90" s="422" t="str">
        <f t="shared" si="1"/>
        <v/>
      </c>
      <c r="AE90" s="424"/>
      <c r="AF90" s="422" t="str">
        <f>IF($A90&lt;&gt;9999,IF($C90=2,VLOOKUP($A90,中間シート!$D$514:$T$663,16,FALSE),VLOOKUP($A90,中間シート!$D$514:$T$663,11,FALSE)),"")</f>
        <v/>
      </c>
      <c r="AG90" s="423"/>
      <c r="AH90" s="423"/>
      <c r="AI90" s="423"/>
      <c r="AJ90" s="423"/>
      <c r="AK90" s="424"/>
      <c r="AL90" s="422" t="str">
        <f t="shared" si="2"/>
        <v/>
      </c>
      <c r="AM90" s="424"/>
      <c r="AN90" s="422" t="str">
        <f>IF($A90&lt;&gt;9999,IF($C90=2,VLOOKUP($A90,中間シート!$D$514:$T$663,17,FALSE),VLOOKUP($A90,中間シート!$D$514:$T$663,12,FALSE)),"")</f>
        <v/>
      </c>
      <c r="AO90" s="423"/>
      <c r="AP90" s="423"/>
      <c r="AQ90" s="423"/>
      <c r="AR90" s="423"/>
      <c r="AS90" s="424"/>
      <c r="AT90" s="422" t="str">
        <f t="shared" si="3"/>
        <v/>
      </c>
      <c r="AU90" s="424"/>
    </row>
    <row r="91" spans="1:47" ht="16.5" customHeight="1" x14ac:dyDescent="0.15">
      <c r="A91" s="58">
        <f>中間シート!AI533</f>
        <v>9999</v>
      </c>
      <c r="B91" s="58" t="str">
        <f>中間シート!AK533</f>
        <v>事業場99</v>
      </c>
      <c r="C91" s="58" t="e">
        <f>中間シート!AJ533</f>
        <v>#N/A</v>
      </c>
      <c r="D91" s="58" t="str">
        <f>VLOOKUP($A91,中間シート!$D$514:$K$663,4)</f>
        <v/>
      </c>
      <c r="E91" s="58" t="str">
        <f>VLOOKUP($A91,中間シート!$D$514:$K$663,5)</f>
        <v/>
      </c>
      <c r="F91" s="58" t="str">
        <f>VLOOKUP($A91,中間シート!$D$514:$K$663,6)</f>
        <v/>
      </c>
      <c r="G91" s="58" t="str">
        <f>VLOOKUP($A91,中間シート!$D$514:$K$663,7)</f>
        <v/>
      </c>
      <c r="H91" s="58" t="str">
        <f>VLOOKUP($A91,中間シート!$D$514:$K$663,8)</f>
        <v/>
      </c>
      <c r="J91" s="412" t="str">
        <f t="shared" si="4"/>
        <v/>
      </c>
      <c r="K91" s="412"/>
      <c r="L91" s="412"/>
      <c r="M91" s="412"/>
      <c r="N91" s="422" t="str">
        <f>IF($A91&lt;&gt;9999,IF($C91=2,VLOOKUP($A91,中間シート!$D$514:$T$663,14,FALSE),VLOOKUP($A91,中間シート!$D$514:$T$663,9,FALSE)),"")</f>
        <v/>
      </c>
      <c r="O91" s="423"/>
      <c r="P91" s="423"/>
      <c r="Q91" s="423"/>
      <c r="R91" s="423"/>
      <c r="S91" s="423"/>
      <c r="T91" s="424"/>
      <c r="U91" s="422" t="str">
        <f t="shared" si="0"/>
        <v/>
      </c>
      <c r="V91" s="424"/>
      <c r="W91" s="422" t="str">
        <f>IF($A91&lt;&gt;9999,IF($C91=2,VLOOKUP($A91,中間シート!$D$514:$T$663,15,FALSE),VLOOKUP($A91,中間シート!$D$514:$T$663,10,FALSE)),"")</f>
        <v/>
      </c>
      <c r="X91" s="423"/>
      <c r="Y91" s="423"/>
      <c r="Z91" s="423"/>
      <c r="AA91" s="423"/>
      <c r="AB91" s="423"/>
      <c r="AC91" s="424"/>
      <c r="AD91" s="422" t="str">
        <f t="shared" si="1"/>
        <v/>
      </c>
      <c r="AE91" s="424"/>
      <c r="AF91" s="422" t="str">
        <f>IF($A91&lt;&gt;9999,IF($C91=2,VLOOKUP($A91,中間シート!$D$514:$T$663,16,FALSE),VLOOKUP($A91,中間シート!$D$514:$T$663,11,FALSE)),"")</f>
        <v/>
      </c>
      <c r="AG91" s="423"/>
      <c r="AH91" s="423"/>
      <c r="AI91" s="423"/>
      <c r="AJ91" s="423"/>
      <c r="AK91" s="424"/>
      <c r="AL91" s="422" t="str">
        <f t="shared" si="2"/>
        <v/>
      </c>
      <c r="AM91" s="424"/>
      <c r="AN91" s="422" t="str">
        <f>IF($A91&lt;&gt;9999,IF($C91=2,VLOOKUP($A91,中間シート!$D$514:$T$663,17,FALSE),VLOOKUP($A91,中間シート!$D$514:$T$663,12,FALSE)),"")</f>
        <v/>
      </c>
      <c r="AO91" s="423"/>
      <c r="AP91" s="423"/>
      <c r="AQ91" s="423"/>
      <c r="AR91" s="423"/>
      <c r="AS91" s="424"/>
      <c r="AT91" s="422" t="str">
        <f t="shared" si="3"/>
        <v/>
      </c>
      <c r="AU91" s="424"/>
    </row>
    <row r="92" spans="1:47" ht="16.5" customHeight="1" x14ac:dyDescent="0.15">
      <c r="A92" s="58">
        <f>中間シート!AI534</f>
        <v>9999</v>
      </c>
      <c r="B92" s="58" t="str">
        <f>中間シート!AK534</f>
        <v>事業場99</v>
      </c>
      <c r="C92" s="58" t="e">
        <f>中間シート!AJ534</f>
        <v>#N/A</v>
      </c>
      <c r="D92" s="58" t="str">
        <f>VLOOKUP($A92,中間シート!$D$514:$K$663,4)</f>
        <v/>
      </c>
      <c r="E92" s="58" t="str">
        <f>VLOOKUP($A92,中間シート!$D$514:$K$663,5)</f>
        <v/>
      </c>
      <c r="F92" s="58" t="str">
        <f>VLOOKUP($A92,中間シート!$D$514:$K$663,6)</f>
        <v/>
      </c>
      <c r="G92" s="58" t="str">
        <f>VLOOKUP($A92,中間シート!$D$514:$K$663,7)</f>
        <v/>
      </c>
      <c r="H92" s="58" t="str">
        <f>VLOOKUP($A92,中間シート!$D$514:$K$663,8)</f>
        <v/>
      </c>
      <c r="J92" s="412" t="str">
        <f t="shared" si="4"/>
        <v/>
      </c>
      <c r="K92" s="412"/>
      <c r="L92" s="412"/>
      <c r="M92" s="412"/>
      <c r="N92" s="422" t="str">
        <f>IF($A92&lt;&gt;9999,IF($C92=2,VLOOKUP($A92,中間シート!$D$514:$T$663,14,FALSE),VLOOKUP($A92,中間シート!$D$514:$T$663,9,FALSE)),"")</f>
        <v/>
      </c>
      <c r="O92" s="423"/>
      <c r="P92" s="423"/>
      <c r="Q92" s="423"/>
      <c r="R92" s="423"/>
      <c r="S92" s="423"/>
      <c r="T92" s="424"/>
      <c r="U92" s="422" t="str">
        <f t="shared" si="0"/>
        <v/>
      </c>
      <c r="V92" s="424"/>
      <c r="W92" s="422" t="str">
        <f>IF($A92&lt;&gt;9999,IF($C92=2,VLOOKUP($A92,中間シート!$D$514:$T$663,15,FALSE),VLOOKUP($A92,中間シート!$D$514:$T$663,10,FALSE)),"")</f>
        <v/>
      </c>
      <c r="X92" s="423"/>
      <c r="Y92" s="423"/>
      <c r="Z92" s="423"/>
      <c r="AA92" s="423"/>
      <c r="AB92" s="423"/>
      <c r="AC92" s="424"/>
      <c r="AD92" s="422" t="str">
        <f t="shared" si="1"/>
        <v/>
      </c>
      <c r="AE92" s="424"/>
      <c r="AF92" s="422" t="str">
        <f>IF($A92&lt;&gt;9999,IF($C92=2,VLOOKUP($A92,中間シート!$D$514:$T$663,16,FALSE),VLOOKUP($A92,中間シート!$D$514:$T$663,11,FALSE)),"")</f>
        <v/>
      </c>
      <c r="AG92" s="423"/>
      <c r="AH92" s="423"/>
      <c r="AI92" s="423"/>
      <c r="AJ92" s="423"/>
      <c r="AK92" s="424"/>
      <c r="AL92" s="422" t="str">
        <f t="shared" si="2"/>
        <v/>
      </c>
      <c r="AM92" s="424"/>
      <c r="AN92" s="422" t="str">
        <f>IF($A92&lt;&gt;9999,IF($C92=2,VLOOKUP($A92,中間シート!$D$514:$T$663,17,FALSE),VLOOKUP($A92,中間シート!$D$514:$T$663,12,FALSE)),"")</f>
        <v/>
      </c>
      <c r="AO92" s="423"/>
      <c r="AP92" s="423"/>
      <c r="AQ92" s="423"/>
      <c r="AR92" s="423"/>
      <c r="AS92" s="424"/>
      <c r="AT92" s="422" t="str">
        <f t="shared" si="3"/>
        <v/>
      </c>
      <c r="AU92" s="424"/>
    </row>
    <row r="93" spans="1:47" ht="16.5" customHeight="1" x14ac:dyDescent="0.15">
      <c r="A93" s="58">
        <f>中間シート!AI535</f>
        <v>9999</v>
      </c>
      <c r="B93" s="58" t="str">
        <f>中間シート!AK535</f>
        <v>事業場99</v>
      </c>
      <c r="C93" s="58" t="e">
        <f>中間シート!AJ535</f>
        <v>#N/A</v>
      </c>
      <c r="D93" s="58" t="str">
        <f>VLOOKUP($A93,中間シート!$D$514:$K$663,4)</f>
        <v/>
      </c>
      <c r="E93" s="58" t="str">
        <f>VLOOKUP($A93,中間シート!$D$514:$K$663,5)</f>
        <v/>
      </c>
      <c r="F93" s="58" t="str">
        <f>VLOOKUP($A93,中間シート!$D$514:$K$663,6)</f>
        <v/>
      </c>
      <c r="G93" s="58" t="str">
        <f>VLOOKUP($A93,中間シート!$D$514:$K$663,7)</f>
        <v/>
      </c>
      <c r="H93" s="58" t="str">
        <f>VLOOKUP($A93,中間シート!$D$514:$K$663,8)</f>
        <v/>
      </c>
      <c r="J93" s="412" t="str">
        <f t="shared" si="4"/>
        <v/>
      </c>
      <c r="K93" s="412"/>
      <c r="L93" s="412"/>
      <c r="M93" s="412"/>
      <c r="N93" s="422" t="str">
        <f>IF($A93&lt;&gt;9999,IF($C93=2,VLOOKUP($A93,中間シート!$D$514:$T$663,14,FALSE),VLOOKUP($A93,中間シート!$D$514:$T$663,9,FALSE)),"")</f>
        <v/>
      </c>
      <c r="O93" s="423"/>
      <c r="P93" s="423"/>
      <c r="Q93" s="423"/>
      <c r="R93" s="423"/>
      <c r="S93" s="423"/>
      <c r="T93" s="424"/>
      <c r="U93" s="422" t="str">
        <f t="shared" si="0"/>
        <v/>
      </c>
      <c r="V93" s="424"/>
      <c r="W93" s="422" t="str">
        <f>IF($A93&lt;&gt;9999,IF($C93=2,VLOOKUP($A93,中間シート!$D$514:$T$663,15,FALSE),VLOOKUP($A93,中間シート!$D$514:$T$663,10,FALSE)),"")</f>
        <v/>
      </c>
      <c r="X93" s="423"/>
      <c r="Y93" s="423"/>
      <c r="Z93" s="423"/>
      <c r="AA93" s="423"/>
      <c r="AB93" s="423"/>
      <c r="AC93" s="424"/>
      <c r="AD93" s="422" t="str">
        <f t="shared" si="1"/>
        <v/>
      </c>
      <c r="AE93" s="424"/>
      <c r="AF93" s="422" t="str">
        <f>IF($A93&lt;&gt;9999,IF($C93=2,VLOOKUP($A93,中間シート!$D$514:$T$663,16,FALSE),VLOOKUP($A93,中間シート!$D$514:$T$663,11,FALSE)),"")</f>
        <v/>
      </c>
      <c r="AG93" s="423"/>
      <c r="AH93" s="423"/>
      <c r="AI93" s="423"/>
      <c r="AJ93" s="423"/>
      <c r="AK93" s="424"/>
      <c r="AL93" s="422" t="str">
        <f t="shared" si="2"/>
        <v/>
      </c>
      <c r="AM93" s="424"/>
      <c r="AN93" s="422" t="str">
        <f>IF($A93&lt;&gt;9999,IF($C93=2,VLOOKUP($A93,中間シート!$D$514:$T$663,17,FALSE),VLOOKUP($A93,中間シート!$D$514:$T$663,12,FALSE)),"")</f>
        <v/>
      </c>
      <c r="AO93" s="423"/>
      <c r="AP93" s="423"/>
      <c r="AQ93" s="423"/>
      <c r="AR93" s="423"/>
      <c r="AS93" s="424"/>
      <c r="AT93" s="422" t="str">
        <f t="shared" si="3"/>
        <v/>
      </c>
      <c r="AU93" s="424"/>
    </row>
    <row r="94" spans="1:47" ht="16.5" customHeight="1" x14ac:dyDescent="0.15">
      <c r="A94" s="58">
        <f>中間シート!AI536</f>
        <v>9999</v>
      </c>
      <c r="B94" s="58" t="str">
        <f>中間シート!AK536</f>
        <v>事業場99</v>
      </c>
      <c r="C94" s="58" t="e">
        <f>中間シート!AJ536</f>
        <v>#N/A</v>
      </c>
      <c r="D94" s="58" t="str">
        <f>VLOOKUP($A94,中間シート!$D$514:$K$663,4)</f>
        <v/>
      </c>
      <c r="E94" s="58" t="str">
        <f>VLOOKUP($A94,中間シート!$D$514:$K$663,5)</f>
        <v/>
      </c>
      <c r="F94" s="58" t="str">
        <f>VLOOKUP($A94,中間シート!$D$514:$K$663,6)</f>
        <v/>
      </c>
      <c r="G94" s="58" t="str">
        <f>VLOOKUP($A94,中間シート!$D$514:$K$663,7)</f>
        <v/>
      </c>
      <c r="H94" s="58" t="str">
        <f>VLOOKUP($A94,中間シート!$D$514:$K$663,8)</f>
        <v/>
      </c>
      <c r="J94" s="412" t="str">
        <f t="shared" si="4"/>
        <v/>
      </c>
      <c r="K94" s="412"/>
      <c r="L94" s="412"/>
      <c r="M94" s="412"/>
      <c r="N94" s="422" t="str">
        <f>IF($A94&lt;&gt;9999,IF($C94=2,VLOOKUP($A94,中間シート!$D$514:$T$663,14,FALSE),VLOOKUP($A94,中間シート!$D$514:$T$663,9,FALSE)),"")</f>
        <v/>
      </c>
      <c r="O94" s="423"/>
      <c r="P94" s="423"/>
      <c r="Q94" s="423"/>
      <c r="R94" s="423"/>
      <c r="S94" s="423"/>
      <c r="T94" s="424"/>
      <c r="U94" s="422" t="str">
        <f t="shared" si="0"/>
        <v/>
      </c>
      <c r="V94" s="424"/>
      <c r="W94" s="422" t="str">
        <f>IF($A94&lt;&gt;9999,IF($C94=2,VLOOKUP($A94,中間シート!$D$514:$T$663,15,FALSE),VLOOKUP($A94,中間シート!$D$514:$T$663,10,FALSE)),"")</f>
        <v/>
      </c>
      <c r="X94" s="423"/>
      <c r="Y94" s="423"/>
      <c r="Z94" s="423"/>
      <c r="AA94" s="423"/>
      <c r="AB94" s="423"/>
      <c r="AC94" s="424"/>
      <c r="AD94" s="422" t="str">
        <f t="shared" si="1"/>
        <v/>
      </c>
      <c r="AE94" s="424"/>
      <c r="AF94" s="422" t="str">
        <f>IF($A94&lt;&gt;9999,IF($C94=2,VLOOKUP($A94,中間シート!$D$514:$T$663,16,FALSE),VLOOKUP($A94,中間シート!$D$514:$T$663,11,FALSE)),"")</f>
        <v/>
      </c>
      <c r="AG94" s="423"/>
      <c r="AH94" s="423"/>
      <c r="AI94" s="423"/>
      <c r="AJ94" s="423"/>
      <c r="AK94" s="424"/>
      <c r="AL94" s="422" t="str">
        <f t="shared" si="2"/>
        <v/>
      </c>
      <c r="AM94" s="424"/>
      <c r="AN94" s="422" t="str">
        <f>IF($A94&lt;&gt;9999,IF($C94=2,VLOOKUP($A94,中間シート!$D$514:$T$663,17,FALSE),VLOOKUP($A94,中間シート!$D$514:$T$663,12,FALSE)),"")</f>
        <v/>
      </c>
      <c r="AO94" s="423"/>
      <c r="AP94" s="423"/>
      <c r="AQ94" s="423"/>
      <c r="AR94" s="423"/>
      <c r="AS94" s="424"/>
      <c r="AT94" s="422" t="str">
        <f t="shared" si="3"/>
        <v/>
      </c>
      <c r="AU94" s="424"/>
    </row>
    <row r="95" spans="1:47" ht="16.5" customHeight="1" x14ac:dyDescent="0.15">
      <c r="A95" s="58">
        <f>中間シート!AI537</f>
        <v>9999</v>
      </c>
      <c r="B95" s="58" t="str">
        <f>中間シート!AK537</f>
        <v>事業場99</v>
      </c>
      <c r="C95" s="58" t="e">
        <f>中間シート!AJ537</f>
        <v>#N/A</v>
      </c>
      <c r="D95" s="58" t="str">
        <f>VLOOKUP($A95,中間シート!$D$514:$K$663,4)</f>
        <v/>
      </c>
      <c r="E95" s="58" t="str">
        <f>VLOOKUP($A95,中間シート!$D$514:$K$663,5)</f>
        <v/>
      </c>
      <c r="F95" s="58" t="str">
        <f>VLOOKUP($A95,中間シート!$D$514:$K$663,6)</f>
        <v/>
      </c>
      <c r="G95" s="58" t="str">
        <f>VLOOKUP($A95,中間シート!$D$514:$K$663,7)</f>
        <v/>
      </c>
      <c r="H95" s="58" t="str">
        <f>VLOOKUP($A95,中間シート!$D$514:$K$663,8)</f>
        <v/>
      </c>
      <c r="J95" s="412" t="str">
        <f t="shared" si="4"/>
        <v/>
      </c>
      <c r="K95" s="412"/>
      <c r="L95" s="412"/>
      <c r="M95" s="412"/>
      <c r="N95" s="422" t="str">
        <f>IF($A95&lt;&gt;9999,IF($C95=2,VLOOKUP($A95,中間シート!$D$514:$T$663,14,FALSE),VLOOKUP($A95,中間シート!$D$514:$T$663,9,FALSE)),"")</f>
        <v/>
      </c>
      <c r="O95" s="423"/>
      <c r="P95" s="423"/>
      <c r="Q95" s="423"/>
      <c r="R95" s="423"/>
      <c r="S95" s="423"/>
      <c r="T95" s="424"/>
      <c r="U95" s="422" t="str">
        <f t="shared" si="0"/>
        <v/>
      </c>
      <c r="V95" s="424"/>
      <c r="W95" s="422" t="str">
        <f>IF($A95&lt;&gt;9999,IF($C95=2,VLOOKUP($A95,中間シート!$D$514:$T$663,15,FALSE),VLOOKUP($A95,中間シート!$D$514:$T$663,10,FALSE)),"")</f>
        <v/>
      </c>
      <c r="X95" s="423"/>
      <c r="Y95" s="423"/>
      <c r="Z95" s="423"/>
      <c r="AA95" s="423"/>
      <c r="AB95" s="423"/>
      <c r="AC95" s="424"/>
      <c r="AD95" s="422" t="str">
        <f t="shared" si="1"/>
        <v/>
      </c>
      <c r="AE95" s="424"/>
      <c r="AF95" s="422" t="str">
        <f>IF($A95&lt;&gt;9999,IF($C95=2,VLOOKUP($A95,中間シート!$D$514:$T$663,16,FALSE),VLOOKUP($A95,中間シート!$D$514:$T$663,11,FALSE)),"")</f>
        <v/>
      </c>
      <c r="AG95" s="423"/>
      <c r="AH95" s="423"/>
      <c r="AI95" s="423"/>
      <c r="AJ95" s="423"/>
      <c r="AK95" s="424"/>
      <c r="AL95" s="422" t="str">
        <f t="shared" si="2"/>
        <v/>
      </c>
      <c r="AM95" s="424"/>
      <c r="AN95" s="422" t="str">
        <f>IF($A95&lt;&gt;9999,IF($C95=2,VLOOKUP($A95,中間シート!$D$514:$T$663,17,FALSE),VLOOKUP($A95,中間シート!$D$514:$T$663,12,FALSE)),"")</f>
        <v/>
      </c>
      <c r="AO95" s="423"/>
      <c r="AP95" s="423"/>
      <c r="AQ95" s="423"/>
      <c r="AR95" s="423"/>
      <c r="AS95" s="424"/>
      <c r="AT95" s="422" t="str">
        <f t="shared" si="3"/>
        <v/>
      </c>
      <c r="AU95" s="424"/>
    </row>
    <row r="96" spans="1:47" ht="16.5" customHeight="1" x14ac:dyDescent="0.15">
      <c r="A96" s="58">
        <f>中間シート!AI538</f>
        <v>9999</v>
      </c>
      <c r="B96" s="58" t="str">
        <f>中間シート!AK538</f>
        <v>事業場99</v>
      </c>
      <c r="C96" s="58" t="e">
        <f>中間シート!AJ538</f>
        <v>#N/A</v>
      </c>
      <c r="D96" s="58" t="str">
        <f>VLOOKUP($A96,中間シート!$D$514:$K$663,4)</f>
        <v/>
      </c>
      <c r="E96" s="58" t="str">
        <f>VLOOKUP($A96,中間シート!$D$514:$K$663,5)</f>
        <v/>
      </c>
      <c r="F96" s="58" t="str">
        <f>VLOOKUP($A96,中間シート!$D$514:$K$663,6)</f>
        <v/>
      </c>
      <c r="G96" s="58" t="str">
        <f>VLOOKUP($A96,中間シート!$D$514:$K$663,7)</f>
        <v/>
      </c>
      <c r="H96" s="58" t="str">
        <f>VLOOKUP($A96,中間シート!$D$514:$K$663,8)</f>
        <v/>
      </c>
      <c r="J96" s="412" t="str">
        <f t="shared" si="4"/>
        <v/>
      </c>
      <c r="K96" s="412"/>
      <c r="L96" s="412"/>
      <c r="M96" s="412"/>
      <c r="N96" s="422" t="str">
        <f>IF($A96&lt;&gt;9999,IF($C96=2,VLOOKUP($A96,中間シート!$D$514:$T$663,14,FALSE),VLOOKUP($A96,中間シート!$D$514:$T$663,9,FALSE)),"")</f>
        <v/>
      </c>
      <c r="O96" s="423"/>
      <c r="P96" s="423"/>
      <c r="Q96" s="423"/>
      <c r="R96" s="423"/>
      <c r="S96" s="423"/>
      <c r="T96" s="424"/>
      <c r="U96" s="422" t="str">
        <f t="shared" si="0"/>
        <v/>
      </c>
      <c r="V96" s="424"/>
      <c r="W96" s="422" t="str">
        <f>IF($A96&lt;&gt;9999,IF($C96=2,VLOOKUP($A96,中間シート!$D$514:$T$663,15,FALSE),VLOOKUP($A96,中間シート!$D$514:$T$663,10,FALSE)),"")</f>
        <v/>
      </c>
      <c r="X96" s="423"/>
      <c r="Y96" s="423"/>
      <c r="Z96" s="423"/>
      <c r="AA96" s="423"/>
      <c r="AB96" s="423"/>
      <c r="AC96" s="424"/>
      <c r="AD96" s="422" t="str">
        <f t="shared" si="1"/>
        <v/>
      </c>
      <c r="AE96" s="424"/>
      <c r="AF96" s="422" t="str">
        <f>IF($A96&lt;&gt;9999,IF($C96=2,VLOOKUP($A96,中間シート!$D$514:$T$663,16,FALSE),VLOOKUP($A96,中間シート!$D$514:$T$663,11,FALSE)),"")</f>
        <v/>
      </c>
      <c r="AG96" s="423"/>
      <c r="AH96" s="423"/>
      <c r="AI96" s="423"/>
      <c r="AJ96" s="423"/>
      <c r="AK96" s="424"/>
      <c r="AL96" s="422" t="str">
        <f t="shared" si="2"/>
        <v/>
      </c>
      <c r="AM96" s="424"/>
      <c r="AN96" s="422" t="str">
        <f>IF($A96&lt;&gt;9999,IF($C96=2,VLOOKUP($A96,中間シート!$D$514:$T$663,17,FALSE),VLOOKUP($A96,中間シート!$D$514:$T$663,12,FALSE)),"")</f>
        <v/>
      </c>
      <c r="AO96" s="423"/>
      <c r="AP96" s="423"/>
      <c r="AQ96" s="423"/>
      <c r="AR96" s="423"/>
      <c r="AS96" s="424"/>
      <c r="AT96" s="422" t="str">
        <f t="shared" si="3"/>
        <v/>
      </c>
      <c r="AU96" s="424"/>
    </row>
    <row r="97" spans="1:47" ht="16.5" customHeight="1" x14ac:dyDescent="0.15">
      <c r="A97" s="58">
        <f>中間シート!AI539</f>
        <v>9999</v>
      </c>
      <c r="B97" s="58" t="str">
        <f>中間シート!AK539</f>
        <v>事業場99</v>
      </c>
      <c r="C97" s="58" t="e">
        <f>中間シート!AJ539</f>
        <v>#N/A</v>
      </c>
      <c r="D97" s="58" t="str">
        <f>VLOOKUP($A97,中間シート!$D$514:$K$663,4)</f>
        <v/>
      </c>
      <c r="E97" s="58" t="str">
        <f>VLOOKUP($A97,中間シート!$D$514:$K$663,5)</f>
        <v/>
      </c>
      <c r="F97" s="58" t="str">
        <f>VLOOKUP($A97,中間シート!$D$514:$K$663,6)</f>
        <v/>
      </c>
      <c r="G97" s="58" t="str">
        <f>VLOOKUP($A97,中間シート!$D$514:$K$663,7)</f>
        <v/>
      </c>
      <c r="H97" s="58" t="str">
        <f>VLOOKUP($A97,中間シート!$D$514:$K$663,8)</f>
        <v/>
      </c>
      <c r="J97" s="412" t="str">
        <f t="shared" si="4"/>
        <v/>
      </c>
      <c r="K97" s="412"/>
      <c r="L97" s="412"/>
      <c r="M97" s="412"/>
      <c r="N97" s="422" t="str">
        <f>IF($A97&lt;&gt;9999,IF($C97=2,VLOOKUP($A97,中間シート!$D$514:$T$663,14,FALSE),VLOOKUP($A97,中間シート!$D$514:$T$663,9,FALSE)),"")</f>
        <v/>
      </c>
      <c r="O97" s="423"/>
      <c r="P97" s="423"/>
      <c r="Q97" s="423"/>
      <c r="R97" s="423"/>
      <c r="S97" s="423"/>
      <c r="T97" s="424"/>
      <c r="U97" s="422" t="str">
        <f t="shared" si="0"/>
        <v/>
      </c>
      <c r="V97" s="424"/>
      <c r="W97" s="422" t="str">
        <f>IF($A97&lt;&gt;9999,IF($C97=2,VLOOKUP($A97,中間シート!$D$514:$T$663,15,FALSE),VLOOKUP($A97,中間シート!$D$514:$T$663,10,FALSE)),"")</f>
        <v/>
      </c>
      <c r="X97" s="423"/>
      <c r="Y97" s="423"/>
      <c r="Z97" s="423"/>
      <c r="AA97" s="423"/>
      <c r="AB97" s="423"/>
      <c r="AC97" s="424"/>
      <c r="AD97" s="422" t="str">
        <f t="shared" si="1"/>
        <v/>
      </c>
      <c r="AE97" s="424"/>
      <c r="AF97" s="422" t="str">
        <f>IF($A97&lt;&gt;9999,IF($C97=2,VLOOKUP($A97,中間シート!$D$514:$T$663,16,FALSE),VLOOKUP($A97,中間シート!$D$514:$T$663,11,FALSE)),"")</f>
        <v/>
      </c>
      <c r="AG97" s="423"/>
      <c r="AH97" s="423"/>
      <c r="AI97" s="423"/>
      <c r="AJ97" s="423"/>
      <c r="AK97" s="424"/>
      <c r="AL97" s="422" t="str">
        <f t="shared" si="2"/>
        <v/>
      </c>
      <c r="AM97" s="424"/>
      <c r="AN97" s="422" t="str">
        <f>IF($A97&lt;&gt;9999,IF($C97=2,VLOOKUP($A97,中間シート!$D$514:$T$663,17,FALSE),VLOOKUP($A97,中間シート!$D$514:$T$663,12,FALSE)),"")</f>
        <v/>
      </c>
      <c r="AO97" s="423"/>
      <c r="AP97" s="423"/>
      <c r="AQ97" s="423"/>
      <c r="AR97" s="423"/>
      <c r="AS97" s="424"/>
      <c r="AT97" s="422" t="str">
        <f t="shared" si="3"/>
        <v/>
      </c>
      <c r="AU97" s="424"/>
    </row>
    <row r="98" spans="1:47" ht="16.5" customHeight="1" x14ac:dyDescent="0.15">
      <c r="A98" s="58">
        <f>中間シート!AI540</f>
        <v>9999</v>
      </c>
      <c r="B98" s="58" t="str">
        <f>中間シート!AK540</f>
        <v>事業場99</v>
      </c>
      <c r="C98" s="58" t="e">
        <f>中間シート!AJ540</f>
        <v>#N/A</v>
      </c>
      <c r="D98" s="58" t="str">
        <f>VLOOKUP($A98,中間シート!$D$514:$K$663,4)</f>
        <v/>
      </c>
      <c r="E98" s="58" t="str">
        <f>VLOOKUP($A98,中間シート!$D$514:$K$663,5)</f>
        <v/>
      </c>
      <c r="F98" s="58" t="str">
        <f>VLOOKUP($A98,中間シート!$D$514:$K$663,6)</f>
        <v/>
      </c>
      <c r="G98" s="58" t="str">
        <f>VLOOKUP($A98,中間シート!$D$514:$K$663,7)</f>
        <v/>
      </c>
      <c r="H98" s="58" t="str">
        <f>VLOOKUP($A98,中間シート!$D$514:$K$663,8)</f>
        <v/>
      </c>
      <c r="J98" s="412" t="str">
        <f t="shared" si="4"/>
        <v/>
      </c>
      <c r="K98" s="412"/>
      <c r="L98" s="412"/>
      <c r="M98" s="412"/>
      <c r="N98" s="422" t="str">
        <f>IF($A98&lt;&gt;9999,IF($C98=2,VLOOKUP($A98,中間シート!$D$514:$T$663,14,FALSE),VLOOKUP($A98,中間シート!$D$514:$T$663,9,FALSE)),"")</f>
        <v/>
      </c>
      <c r="O98" s="423"/>
      <c r="P98" s="423"/>
      <c r="Q98" s="423"/>
      <c r="R98" s="423"/>
      <c r="S98" s="423"/>
      <c r="T98" s="424"/>
      <c r="U98" s="422" t="str">
        <f t="shared" si="0"/>
        <v/>
      </c>
      <c r="V98" s="424"/>
      <c r="W98" s="422" t="str">
        <f>IF($A98&lt;&gt;9999,IF($C98=2,VLOOKUP($A98,中間シート!$D$514:$T$663,15,FALSE),VLOOKUP($A98,中間シート!$D$514:$T$663,10,FALSE)),"")</f>
        <v/>
      </c>
      <c r="X98" s="423"/>
      <c r="Y98" s="423"/>
      <c r="Z98" s="423"/>
      <c r="AA98" s="423"/>
      <c r="AB98" s="423"/>
      <c r="AC98" s="424"/>
      <c r="AD98" s="422" t="str">
        <f t="shared" si="1"/>
        <v/>
      </c>
      <c r="AE98" s="424"/>
      <c r="AF98" s="422" t="str">
        <f>IF($A98&lt;&gt;9999,IF($C98=2,VLOOKUP($A98,中間シート!$D$514:$T$663,16,FALSE),VLOOKUP($A98,中間シート!$D$514:$T$663,11,FALSE)),"")</f>
        <v/>
      </c>
      <c r="AG98" s="423"/>
      <c r="AH98" s="423"/>
      <c r="AI98" s="423"/>
      <c r="AJ98" s="423"/>
      <c r="AK98" s="424"/>
      <c r="AL98" s="422" t="str">
        <f t="shared" si="2"/>
        <v/>
      </c>
      <c r="AM98" s="424"/>
      <c r="AN98" s="422" t="str">
        <f>IF($A98&lt;&gt;9999,IF($C98=2,VLOOKUP($A98,中間シート!$D$514:$T$663,17,FALSE),VLOOKUP($A98,中間シート!$D$514:$T$663,12,FALSE)),"")</f>
        <v/>
      </c>
      <c r="AO98" s="423"/>
      <c r="AP98" s="423"/>
      <c r="AQ98" s="423"/>
      <c r="AR98" s="423"/>
      <c r="AS98" s="424"/>
      <c r="AT98" s="422" t="str">
        <f t="shared" si="3"/>
        <v/>
      </c>
      <c r="AU98" s="424"/>
    </row>
    <row r="99" spans="1:47" ht="16.5" customHeight="1" x14ac:dyDescent="0.15">
      <c r="A99" s="58">
        <f>中間シート!AI541</f>
        <v>9999</v>
      </c>
      <c r="B99" s="58" t="str">
        <f>中間シート!AK541</f>
        <v>事業場99</v>
      </c>
      <c r="C99" s="58" t="e">
        <f>中間シート!AJ541</f>
        <v>#N/A</v>
      </c>
      <c r="D99" s="58" t="str">
        <f>VLOOKUP($A99,中間シート!$D$514:$K$663,4)</f>
        <v/>
      </c>
      <c r="E99" s="58" t="str">
        <f>VLOOKUP($A99,中間シート!$D$514:$K$663,5)</f>
        <v/>
      </c>
      <c r="F99" s="58" t="str">
        <f>VLOOKUP($A99,中間シート!$D$514:$K$663,6)</f>
        <v/>
      </c>
      <c r="G99" s="58" t="str">
        <f>VLOOKUP($A99,中間シート!$D$514:$K$663,7)</f>
        <v/>
      </c>
      <c r="H99" s="58" t="str">
        <f>VLOOKUP($A99,中間シート!$D$514:$K$663,8)</f>
        <v/>
      </c>
      <c r="J99" s="412" t="str">
        <f t="shared" si="4"/>
        <v/>
      </c>
      <c r="K99" s="412"/>
      <c r="L99" s="412"/>
      <c r="M99" s="412"/>
      <c r="N99" s="422" t="str">
        <f>IF($A99&lt;&gt;9999,IF($C99=2,VLOOKUP($A99,中間シート!$D$514:$T$663,14,FALSE),VLOOKUP($A99,中間シート!$D$514:$T$663,9,FALSE)),"")</f>
        <v/>
      </c>
      <c r="O99" s="423"/>
      <c r="P99" s="423"/>
      <c r="Q99" s="423"/>
      <c r="R99" s="423"/>
      <c r="S99" s="423"/>
      <c r="T99" s="424"/>
      <c r="U99" s="422" t="str">
        <f t="shared" si="0"/>
        <v/>
      </c>
      <c r="V99" s="424"/>
      <c r="W99" s="422" t="str">
        <f>IF($A99&lt;&gt;9999,IF($C99=2,VLOOKUP($A99,中間シート!$D$514:$T$663,15,FALSE),VLOOKUP($A99,中間シート!$D$514:$T$663,10,FALSE)),"")</f>
        <v/>
      </c>
      <c r="X99" s="423"/>
      <c r="Y99" s="423"/>
      <c r="Z99" s="423"/>
      <c r="AA99" s="423"/>
      <c r="AB99" s="423"/>
      <c r="AC99" s="424"/>
      <c r="AD99" s="422" t="str">
        <f t="shared" si="1"/>
        <v/>
      </c>
      <c r="AE99" s="424"/>
      <c r="AF99" s="422" t="str">
        <f>IF($A99&lt;&gt;9999,IF($C99=2,VLOOKUP($A99,中間シート!$D$514:$T$663,16,FALSE),VLOOKUP($A99,中間シート!$D$514:$T$663,11,FALSE)),"")</f>
        <v/>
      </c>
      <c r="AG99" s="423"/>
      <c r="AH99" s="423"/>
      <c r="AI99" s="423"/>
      <c r="AJ99" s="423"/>
      <c r="AK99" s="424"/>
      <c r="AL99" s="422" t="str">
        <f t="shared" si="2"/>
        <v/>
      </c>
      <c r="AM99" s="424"/>
      <c r="AN99" s="422" t="str">
        <f>IF($A99&lt;&gt;9999,IF($C99=2,VLOOKUP($A99,中間シート!$D$514:$T$663,17,FALSE),VLOOKUP($A99,中間シート!$D$514:$T$663,12,FALSE)),"")</f>
        <v/>
      </c>
      <c r="AO99" s="423"/>
      <c r="AP99" s="423"/>
      <c r="AQ99" s="423"/>
      <c r="AR99" s="423"/>
      <c r="AS99" s="424"/>
      <c r="AT99" s="422" t="str">
        <f t="shared" si="3"/>
        <v/>
      </c>
      <c r="AU99" s="424"/>
    </row>
    <row r="100" spans="1:47" ht="16.5" customHeight="1" x14ac:dyDescent="0.15">
      <c r="A100" s="58">
        <f>中間シート!AI542</f>
        <v>9999</v>
      </c>
      <c r="B100" s="58" t="str">
        <f>中間シート!AK542</f>
        <v>事業場99</v>
      </c>
      <c r="C100" s="58" t="e">
        <f>中間シート!AJ542</f>
        <v>#N/A</v>
      </c>
      <c r="D100" s="58" t="str">
        <f>VLOOKUP($A100,中間シート!$D$514:$K$663,4)</f>
        <v/>
      </c>
      <c r="E100" s="58" t="str">
        <f>VLOOKUP($A100,中間シート!$D$514:$K$663,5)</f>
        <v/>
      </c>
      <c r="F100" s="58" t="str">
        <f>VLOOKUP($A100,中間シート!$D$514:$K$663,6)</f>
        <v/>
      </c>
      <c r="G100" s="58" t="str">
        <f>VLOOKUP($A100,中間シート!$D$514:$K$663,7)</f>
        <v/>
      </c>
      <c r="H100" s="58" t="str">
        <f>VLOOKUP($A100,中間シート!$D$514:$K$663,8)</f>
        <v/>
      </c>
      <c r="J100" s="412" t="str">
        <f t="shared" si="4"/>
        <v/>
      </c>
      <c r="K100" s="412"/>
      <c r="L100" s="412"/>
      <c r="M100" s="412"/>
      <c r="N100" s="422" t="str">
        <f>IF($A100&lt;&gt;9999,IF($C100=2,VLOOKUP($A100,中間シート!$D$514:$T$663,14,FALSE),VLOOKUP($A100,中間シート!$D$514:$T$663,9,FALSE)),"")</f>
        <v/>
      </c>
      <c r="O100" s="423"/>
      <c r="P100" s="423"/>
      <c r="Q100" s="423"/>
      <c r="R100" s="423"/>
      <c r="S100" s="423"/>
      <c r="T100" s="424"/>
      <c r="U100" s="422" t="str">
        <f t="shared" si="0"/>
        <v/>
      </c>
      <c r="V100" s="424"/>
      <c r="W100" s="422" t="str">
        <f>IF($A100&lt;&gt;9999,IF($C100=2,VLOOKUP($A100,中間シート!$D$514:$T$663,15,FALSE),VLOOKUP($A100,中間シート!$D$514:$T$663,10,FALSE)),"")</f>
        <v/>
      </c>
      <c r="X100" s="423"/>
      <c r="Y100" s="423"/>
      <c r="Z100" s="423"/>
      <c r="AA100" s="423"/>
      <c r="AB100" s="423"/>
      <c r="AC100" s="424"/>
      <c r="AD100" s="422" t="str">
        <f t="shared" si="1"/>
        <v/>
      </c>
      <c r="AE100" s="424"/>
      <c r="AF100" s="422" t="str">
        <f>IF($A100&lt;&gt;9999,IF($C100=2,VLOOKUP($A100,中間シート!$D$514:$T$663,16,FALSE),VLOOKUP($A100,中間シート!$D$514:$T$663,11,FALSE)),"")</f>
        <v/>
      </c>
      <c r="AG100" s="423"/>
      <c r="AH100" s="423"/>
      <c r="AI100" s="423"/>
      <c r="AJ100" s="423"/>
      <c r="AK100" s="424"/>
      <c r="AL100" s="422" t="str">
        <f t="shared" si="2"/>
        <v/>
      </c>
      <c r="AM100" s="424"/>
      <c r="AN100" s="422" t="str">
        <f>IF($A100&lt;&gt;9999,IF($C100=2,VLOOKUP($A100,中間シート!$D$514:$T$663,17,FALSE),VLOOKUP($A100,中間シート!$D$514:$T$663,12,FALSE)),"")</f>
        <v/>
      </c>
      <c r="AO100" s="423"/>
      <c r="AP100" s="423"/>
      <c r="AQ100" s="423"/>
      <c r="AR100" s="423"/>
      <c r="AS100" s="424"/>
      <c r="AT100" s="422" t="str">
        <f t="shared" si="3"/>
        <v/>
      </c>
      <c r="AU100" s="424"/>
    </row>
    <row r="101" spans="1:47" ht="16.5" customHeight="1" x14ac:dyDescent="0.15">
      <c r="A101" s="58">
        <f>中間シート!AI543</f>
        <v>9999</v>
      </c>
      <c r="B101" s="58" t="str">
        <f>中間シート!AK543</f>
        <v>事業場99</v>
      </c>
      <c r="C101" s="58" t="e">
        <f>中間シート!AJ543</f>
        <v>#N/A</v>
      </c>
      <c r="D101" s="58" t="str">
        <f>VLOOKUP($A101,中間シート!$D$514:$K$663,4)</f>
        <v/>
      </c>
      <c r="E101" s="58" t="str">
        <f>VLOOKUP($A101,中間シート!$D$514:$K$663,5)</f>
        <v/>
      </c>
      <c r="F101" s="58" t="str">
        <f>VLOOKUP($A101,中間シート!$D$514:$K$663,6)</f>
        <v/>
      </c>
      <c r="G101" s="58" t="str">
        <f>VLOOKUP($A101,中間シート!$D$514:$K$663,7)</f>
        <v/>
      </c>
      <c r="H101" s="58" t="str">
        <f>VLOOKUP($A101,中間シート!$D$514:$K$663,8)</f>
        <v/>
      </c>
      <c r="J101" s="412" t="str">
        <f t="shared" si="4"/>
        <v/>
      </c>
      <c r="K101" s="412"/>
      <c r="L101" s="412"/>
      <c r="M101" s="412"/>
      <c r="N101" s="422" t="str">
        <f>IF($A101&lt;&gt;9999,IF($C101=2,VLOOKUP($A101,中間シート!$D$514:$T$663,14,FALSE),VLOOKUP($A101,中間シート!$D$514:$T$663,9,FALSE)),"")</f>
        <v/>
      </c>
      <c r="O101" s="423"/>
      <c r="P101" s="423"/>
      <c r="Q101" s="423"/>
      <c r="R101" s="423"/>
      <c r="S101" s="423"/>
      <c r="T101" s="424"/>
      <c r="U101" s="422" t="str">
        <f t="shared" si="0"/>
        <v/>
      </c>
      <c r="V101" s="424"/>
      <c r="W101" s="422" t="str">
        <f>IF($A101&lt;&gt;9999,IF($C101=2,VLOOKUP($A101,中間シート!$D$514:$T$663,15,FALSE),VLOOKUP($A101,中間シート!$D$514:$T$663,10,FALSE)),"")</f>
        <v/>
      </c>
      <c r="X101" s="423"/>
      <c r="Y101" s="423"/>
      <c r="Z101" s="423"/>
      <c r="AA101" s="423"/>
      <c r="AB101" s="423"/>
      <c r="AC101" s="424"/>
      <c r="AD101" s="422" t="str">
        <f t="shared" si="1"/>
        <v/>
      </c>
      <c r="AE101" s="424"/>
      <c r="AF101" s="422" t="str">
        <f>IF($A101&lt;&gt;9999,IF($C101=2,VLOOKUP($A101,中間シート!$D$514:$T$663,16,FALSE),VLOOKUP($A101,中間シート!$D$514:$T$663,11,FALSE)),"")</f>
        <v/>
      </c>
      <c r="AG101" s="423"/>
      <c r="AH101" s="423"/>
      <c r="AI101" s="423"/>
      <c r="AJ101" s="423"/>
      <c r="AK101" s="424"/>
      <c r="AL101" s="422" t="str">
        <f t="shared" si="2"/>
        <v/>
      </c>
      <c r="AM101" s="424"/>
      <c r="AN101" s="422" t="str">
        <f>IF($A101&lt;&gt;9999,IF($C101=2,VLOOKUP($A101,中間シート!$D$514:$T$663,17,FALSE),VLOOKUP($A101,中間シート!$D$514:$T$663,12,FALSE)),"")</f>
        <v/>
      </c>
      <c r="AO101" s="423"/>
      <c r="AP101" s="423"/>
      <c r="AQ101" s="423"/>
      <c r="AR101" s="423"/>
      <c r="AS101" s="424"/>
      <c r="AT101" s="422" t="str">
        <f t="shared" si="3"/>
        <v/>
      </c>
      <c r="AU101" s="424"/>
    </row>
    <row r="102" spans="1:47" ht="16.5" customHeight="1" x14ac:dyDescent="0.15">
      <c r="J102" s="59"/>
      <c r="K102" s="59"/>
      <c r="L102" s="59"/>
      <c r="M102" s="59"/>
      <c r="N102" s="142"/>
      <c r="O102" s="142"/>
      <c r="P102" s="142"/>
      <c r="Q102" s="142"/>
      <c r="R102" s="142"/>
      <c r="S102" s="142"/>
      <c r="T102" s="142"/>
      <c r="U102" s="142"/>
      <c r="V102" s="142"/>
      <c r="W102" s="142"/>
      <c r="X102" s="142"/>
      <c r="Y102" s="142"/>
      <c r="Z102" s="14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row>
    <row r="103" spans="1:47" x14ac:dyDescent="0.15">
      <c r="J103" s="140" t="s">
        <v>284</v>
      </c>
      <c r="K103" s="140"/>
      <c r="L103" s="410" t="s">
        <v>285</v>
      </c>
      <c r="M103" s="410"/>
      <c r="N103" s="410"/>
      <c r="O103" s="410"/>
      <c r="P103" s="410"/>
      <c r="Q103" s="410"/>
      <c r="R103" s="410"/>
      <c r="S103" s="410"/>
      <c r="T103" s="410"/>
      <c r="U103" s="410"/>
      <c r="V103" s="410"/>
      <c r="W103" s="410"/>
      <c r="X103" s="410"/>
      <c r="Y103" s="410"/>
      <c r="Z103" s="410"/>
      <c r="AA103" s="410"/>
      <c r="AB103" s="410"/>
      <c r="AC103" s="410"/>
      <c r="AD103" s="410"/>
      <c r="AE103" s="410"/>
      <c r="AF103" s="410"/>
      <c r="AG103" s="410"/>
      <c r="AH103" s="410"/>
      <c r="AI103" s="410"/>
      <c r="AJ103" s="410"/>
      <c r="AK103" s="410"/>
      <c r="AL103" s="410"/>
      <c r="AM103" s="410"/>
      <c r="AN103" s="410"/>
      <c r="AO103" s="410"/>
      <c r="AP103" s="410"/>
      <c r="AQ103" s="410"/>
      <c r="AR103" s="410"/>
      <c r="AS103" s="410"/>
      <c r="AT103" s="410"/>
      <c r="AU103" s="410"/>
    </row>
    <row r="104" spans="1:47" x14ac:dyDescent="0.15">
      <c r="J104" s="140"/>
      <c r="K104" s="140"/>
      <c r="L104" s="410"/>
      <c r="M104" s="410"/>
      <c r="N104" s="410"/>
      <c r="O104" s="410"/>
      <c r="P104" s="410"/>
      <c r="Q104" s="410"/>
      <c r="R104" s="410"/>
      <c r="S104" s="410"/>
      <c r="T104" s="410"/>
      <c r="U104" s="410"/>
      <c r="V104" s="410"/>
      <c r="W104" s="410"/>
      <c r="X104" s="410"/>
      <c r="Y104" s="410"/>
      <c r="Z104" s="410"/>
      <c r="AA104" s="410"/>
      <c r="AB104" s="410"/>
      <c r="AC104" s="410"/>
      <c r="AD104" s="410"/>
      <c r="AE104" s="410"/>
      <c r="AF104" s="410"/>
      <c r="AG104" s="410"/>
      <c r="AH104" s="410"/>
      <c r="AI104" s="410"/>
      <c r="AJ104" s="410"/>
      <c r="AK104" s="410"/>
      <c r="AL104" s="410"/>
      <c r="AM104" s="410"/>
      <c r="AN104" s="410"/>
      <c r="AO104" s="410"/>
      <c r="AP104" s="410"/>
      <c r="AQ104" s="410"/>
      <c r="AR104" s="410"/>
      <c r="AS104" s="410"/>
      <c r="AT104" s="410"/>
      <c r="AU104" s="410"/>
    </row>
    <row r="106" spans="1:47" x14ac:dyDescent="0.15">
      <c r="J106" s="65" t="s">
        <v>286</v>
      </c>
    </row>
    <row r="107" spans="1:47" ht="13.5" customHeight="1" x14ac:dyDescent="0.15">
      <c r="AU107" s="60" t="s">
        <v>287</v>
      </c>
    </row>
    <row r="108" spans="1:47" ht="30.75" customHeight="1" x14ac:dyDescent="0.15">
      <c r="J108" s="412" t="s">
        <v>288</v>
      </c>
      <c r="K108" s="412"/>
      <c r="L108" s="412"/>
      <c r="M108" s="412"/>
      <c r="N108" s="419" t="s">
        <v>86</v>
      </c>
      <c r="O108" s="412"/>
      <c r="P108" s="412"/>
      <c r="Q108" s="412"/>
      <c r="R108" s="412"/>
      <c r="S108" s="412"/>
      <c r="T108" s="412"/>
      <c r="U108" s="412"/>
      <c r="V108" s="412"/>
      <c r="W108" s="412" t="s">
        <v>289</v>
      </c>
      <c r="X108" s="412"/>
      <c r="Y108" s="412"/>
      <c r="Z108" s="412"/>
      <c r="AA108" s="412"/>
      <c r="AB108" s="412"/>
      <c r="AC108" s="412"/>
      <c r="AD108" s="412"/>
      <c r="AE108" s="412"/>
      <c r="AF108" s="427" t="s">
        <v>91</v>
      </c>
      <c r="AG108" s="428"/>
      <c r="AH108" s="428"/>
      <c r="AI108" s="428"/>
      <c r="AJ108" s="428"/>
      <c r="AK108" s="428"/>
      <c r="AL108" s="429"/>
      <c r="AM108" s="412" t="s">
        <v>92</v>
      </c>
      <c r="AN108" s="412"/>
      <c r="AO108" s="412"/>
      <c r="AP108" s="412"/>
      <c r="AQ108" s="412"/>
      <c r="AR108" s="412"/>
      <c r="AS108" s="412"/>
      <c r="AT108" s="412"/>
      <c r="AU108" s="412"/>
    </row>
    <row r="109" spans="1:47" ht="16.5" customHeight="1" x14ac:dyDescent="0.15">
      <c r="J109" s="412" t="s">
        <v>271</v>
      </c>
      <c r="K109" s="412"/>
      <c r="L109" s="412"/>
      <c r="M109" s="412"/>
      <c r="N109" s="426" t="str">
        <f>IF(中間シート!D820&lt;&gt;0,中間シート!D820,"")</f>
        <v/>
      </c>
      <c r="O109" s="426"/>
      <c r="P109" s="426"/>
      <c r="Q109" s="426"/>
      <c r="R109" s="426"/>
      <c r="S109" s="426"/>
      <c r="T109" s="426"/>
      <c r="U109" s="426"/>
      <c r="V109" s="426"/>
      <c r="W109" s="426" t="str">
        <f>IF(中間シート!G820&lt;&gt;0,中間シート!G820,"")</f>
        <v/>
      </c>
      <c r="X109" s="426"/>
      <c r="Y109" s="426"/>
      <c r="Z109" s="426"/>
      <c r="AA109" s="426"/>
      <c r="AB109" s="426"/>
      <c r="AC109" s="426"/>
      <c r="AD109" s="426"/>
      <c r="AE109" s="426"/>
      <c r="AF109" s="427" t="s">
        <v>290</v>
      </c>
      <c r="AG109" s="428"/>
      <c r="AH109" s="428"/>
      <c r="AI109" s="428"/>
      <c r="AJ109" s="428"/>
      <c r="AK109" s="428"/>
      <c r="AL109" s="429"/>
      <c r="AM109" s="426" t="str">
        <f>IF(中間シート!H820&lt;&gt;0,中間シート!H820,"")</f>
        <v/>
      </c>
      <c r="AN109" s="426"/>
      <c r="AO109" s="426"/>
      <c r="AP109" s="426"/>
      <c r="AQ109" s="426"/>
      <c r="AR109" s="426"/>
      <c r="AS109" s="426"/>
      <c r="AT109" s="426"/>
      <c r="AU109" s="426"/>
    </row>
    <row r="110" spans="1:47" ht="16.5" customHeight="1" x14ac:dyDescent="0.15">
      <c r="J110" s="412" t="s">
        <v>273</v>
      </c>
      <c r="K110" s="412"/>
      <c r="L110" s="412"/>
      <c r="M110" s="412"/>
      <c r="N110" s="426" t="str">
        <f>IF(中間シート!D821&lt;&gt;0,中間シート!D821,"")</f>
        <v/>
      </c>
      <c r="O110" s="426"/>
      <c r="P110" s="426"/>
      <c r="Q110" s="426"/>
      <c r="R110" s="426"/>
      <c r="S110" s="426"/>
      <c r="T110" s="426"/>
      <c r="U110" s="426"/>
      <c r="V110" s="426"/>
      <c r="W110" s="426" t="str">
        <f>IF(中間シート!G821&lt;&gt;0,中間シート!G821,"")</f>
        <v/>
      </c>
      <c r="X110" s="426"/>
      <c r="Y110" s="426"/>
      <c r="Z110" s="426"/>
      <c r="AA110" s="426"/>
      <c r="AB110" s="426"/>
      <c r="AC110" s="426"/>
      <c r="AD110" s="426"/>
      <c r="AE110" s="426"/>
      <c r="AF110" s="427" t="s">
        <v>290</v>
      </c>
      <c r="AG110" s="428"/>
      <c r="AH110" s="428"/>
      <c r="AI110" s="428"/>
      <c r="AJ110" s="428"/>
      <c r="AK110" s="428"/>
      <c r="AL110" s="429"/>
      <c r="AM110" s="426" t="str">
        <f>IF(中間シート!H821&lt;&gt;0,中間シート!H821,"")</f>
        <v/>
      </c>
      <c r="AN110" s="426"/>
      <c r="AO110" s="426"/>
      <c r="AP110" s="426"/>
      <c r="AQ110" s="426"/>
      <c r="AR110" s="426"/>
      <c r="AS110" s="426"/>
      <c r="AT110" s="426"/>
      <c r="AU110" s="426"/>
    </row>
    <row r="111" spans="1:47" ht="17.100000000000001" customHeight="1" x14ac:dyDescent="0.15">
      <c r="J111" s="412" t="s">
        <v>321</v>
      </c>
      <c r="K111" s="412"/>
      <c r="L111" s="412"/>
      <c r="M111" s="412"/>
      <c r="N111" s="426" t="str">
        <f>IF(中間シート!D822&lt;&gt;0,中間シート!D822,"")</f>
        <v/>
      </c>
      <c r="O111" s="426"/>
      <c r="P111" s="426"/>
      <c r="Q111" s="426"/>
      <c r="R111" s="426"/>
      <c r="S111" s="426"/>
      <c r="T111" s="426"/>
      <c r="U111" s="426"/>
      <c r="V111" s="426"/>
      <c r="W111" s="426" t="str">
        <f>IF(中間シート!G822&lt;&gt;0,中間シート!G822,"")</f>
        <v/>
      </c>
      <c r="X111" s="426"/>
      <c r="Y111" s="426"/>
      <c r="Z111" s="426"/>
      <c r="AA111" s="426"/>
      <c r="AB111" s="426"/>
      <c r="AC111" s="426"/>
      <c r="AD111" s="426"/>
      <c r="AE111" s="426"/>
      <c r="AF111" s="427" t="str">
        <f>IF(W111&lt;&gt;"","１／３以内","")</f>
        <v/>
      </c>
      <c r="AG111" s="428"/>
      <c r="AH111" s="428"/>
      <c r="AI111" s="428"/>
      <c r="AJ111" s="428"/>
      <c r="AK111" s="428"/>
      <c r="AL111" s="429"/>
      <c r="AM111" s="426" t="str">
        <f>IF(中間シート!H822&lt;&gt;0,中間シート!H822,"")</f>
        <v/>
      </c>
      <c r="AN111" s="426"/>
      <c r="AO111" s="426"/>
      <c r="AP111" s="426"/>
      <c r="AQ111" s="426"/>
      <c r="AR111" s="426"/>
      <c r="AS111" s="426"/>
      <c r="AT111" s="426"/>
      <c r="AU111" s="426"/>
    </row>
    <row r="112" spans="1:47" ht="17.100000000000001" customHeight="1" x14ac:dyDescent="0.15">
      <c r="J112" s="412" t="s">
        <v>322</v>
      </c>
      <c r="K112" s="412"/>
      <c r="L112" s="412"/>
      <c r="M112" s="412"/>
      <c r="N112" s="426" t="str">
        <f>IF(中間シート!D823&lt;&gt;0,中間シート!D823,"")</f>
        <v/>
      </c>
      <c r="O112" s="426"/>
      <c r="P112" s="426"/>
      <c r="Q112" s="426"/>
      <c r="R112" s="426"/>
      <c r="S112" s="426"/>
      <c r="T112" s="426"/>
      <c r="U112" s="426"/>
      <c r="V112" s="426"/>
      <c r="W112" s="426" t="str">
        <f>IF(中間シート!G823&lt;&gt;0,中間シート!G823,"")</f>
        <v/>
      </c>
      <c r="X112" s="426"/>
      <c r="Y112" s="426"/>
      <c r="Z112" s="426"/>
      <c r="AA112" s="426"/>
      <c r="AB112" s="426"/>
      <c r="AC112" s="426"/>
      <c r="AD112" s="426"/>
      <c r="AE112" s="426"/>
      <c r="AF112" s="427" t="str">
        <f t="shared" ref="AF112:AF118" si="5">IF(W112&lt;&gt;"","１／３以内","")</f>
        <v/>
      </c>
      <c r="AG112" s="428"/>
      <c r="AH112" s="428"/>
      <c r="AI112" s="428"/>
      <c r="AJ112" s="428"/>
      <c r="AK112" s="428"/>
      <c r="AL112" s="429"/>
      <c r="AM112" s="426" t="str">
        <f>IF(中間シート!H823&lt;&gt;0,中間シート!H823,"")</f>
        <v/>
      </c>
      <c r="AN112" s="426"/>
      <c r="AO112" s="426"/>
      <c r="AP112" s="426"/>
      <c r="AQ112" s="426"/>
      <c r="AR112" s="426"/>
      <c r="AS112" s="426"/>
      <c r="AT112" s="426"/>
      <c r="AU112" s="426"/>
    </row>
    <row r="113" spans="10:47" ht="17.100000000000001" customHeight="1" x14ac:dyDescent="0.15">
      <c r="J113" s="412" t="s">
        <v>323</v>
      </c>
      <c r="K113" s="412"/>
      <c r="L113" s="412"/>
      <c r="M113" s="412"/>
      <c r="N113" s="426" t="str">
        <f>IF(中間シート!D824&lt;&gt;0,中間シート!D824,"")</f>
        <v/>
      </c>
      <c r="O113" s="426"/>
      <c r="P113" s="426"/>
      <c r="Q113" s="426"/>
      <c r="R113" s="426"/>
      <c r="S113" s="426"/>
      <c r="T113" s="426"/>
      <c r="U113" s="426"/>
      <c r="V113" s="426"/>
      <c r="W113" s="426" t="str">
        <f>IF(中間シート!G824&lt;&gt;0,中間シート!G824,"")</f>
        <v/>
      </c>
      <c r="X113" s="426"/>
      <c r="Y113" s="426"/>
      <c r="Z113" s="426"/>
      <c r="AA113" s="426"/>
      <c r="AB113" s="426"/>
      <c r="AC113" s="426"/>
      <c r="AD113" s="426"/>
      <c r="AE113" s="426"/>
      <c r="AF113" s="427" t="str">
        <f t="shared" si="5"/>
        <v/>
      </c>
      <c r="AG113" s="428"/>
      <c r="AH113" s="428"/>
      <c r="AI113" s="428"/>
      <c r="AJ113" s="428"/>
      <c r="AK113" s="428"/>
      <c r="AL113" s="429"/>
      <c r="AM113" s="426" t="str">
        <f>IF(中間シート!H824&lt;&gt;0,中間シート!H824,"")</f>
        <v/>
      </c>
      <c r="AN113" s="426"/>
      <c r="AO113" s="426"/>
      <c r="AP113" s="426"/>
      <c r="AQ113" s="426"/>
      <c r="AR113" s="426"/>
      <c r="AS113" s="426"/>
      <c r="AT113" s="426"/>
      <c r="AU113" s="426"/>
    </row>
    <row r="114" spans="10:47" ht="17.100000000000001" customHeight="1" x14ac:dyDescent="0.15">
      <c r="J114" s="412" t="s">
        <v>324</v>
      </c>
      <c r="K114" s="412"/>
      <c r="L114" s="412"/>
      <c r="M114" s="412"/>
      <c r="N114" s="426" t="str">
        <f>IF(中間シート!D825&lt;&gt;0,中間シート!D825,"")</f>
        <v/>
      </c>
      <c r="O114" s="426"/>
      <c r="P114" s="426"/>
      <c r="Q114" s="426"/>
      <c r="R114" s="426"/>
      <c r="S114" s="426"/>
      <c r="T114" s="426"/>
      <c r="U114" s="426"/>
      <c r="V114" s="426"/>
      <c r="W114" s="426" t="str">
        <f>IF(中間シート!G825&lt;&gt;0,中間シート!G825,"")</f>
        <v/>
      </c>
      <c r="X114" s="426"/>
      <c r="Y114" s="426"/>
      <c r="Z114" s="426"/>
      <c r="AA114" s="426"/>
      <c r="AB114" s="426"/>
      <c r="AC114" s="426"/>
      <c r="AD114" s="426"/>
      <c r="AE114" s="426"/>
      <c r="AF114" s="427" t="str">
        <f t="shared" si="5"/>
        <v/>
      </c>
      <c r="AG114" s="428"/>
      <c r="AH114" s="428"/>
      <c r="AI114" s="428"/>
      <c r="AJ114" s="428"/>
      <c r="AK114" s="428"/>
      <c r="AL114" s="429"/>
      <c r="AM114" s="426" t="str">
        <f>IF(中間シート!H825&lt;&gt;0,中間シート!H825,"")</f>
        <v/>
      </c>
      <c r="AN114" s="426"/>
      <c r="AO114" s="426"/>
      <c r="AP114" s="426"/>
      <c r="AQ114" s="426"/>
      <c r="AR114" s="426"/>
      <c r="AS114" s="426"/>
      <c r="AT114" s="426"/>
      <c r="AU114" s="426"/>
    </row>
    <row r="115" spans="10:47" ht="17.100000000000001" customHeight="1" x14ac:dyDescent="0.15">
      <c r="J115" s="412" t="s">
        <v>325</v>
      </c>
      <c r="K115" s="412"/>
      <c r="L115" s="412"/>
      <c r="M115" s="412"/>
      <c r="N115" s="426" t="str">
        <f>IF(中間シート!D826&lt;&gt;0,中間シート!D826,"")</f>
        <v/>
      </c>
      <c r="O115" s="426"/>
      <c r="P115" s="426"/>
      <c r="Q115" s="426"/>
      <c r="R115" s="426"/>
      <c r="S115" s="426"/>
      <c r="T115" s="426"/>
      <c r="U115" s="426"/>
      <c r="V115" s="426"/>
      <c r="W115" s="426" t="str">
        <f>IF(中間シート!G826&lt;&gt;0,中間シート!G826,"")</f>
        <v/>
      </c>
      <c r="X115" s="426"/>
      <c r="Y115" s="426"/>
      <c r="Z115" s="426"/>
      <c r="AA115" s="426"/>
      <c r="AB115" s="426"/>
      <c r="AC115" s="426"/>
      <c r="AD115" s="426"/>
      <c r="AE115" s="426"/>
      <c r="AF115" s="427" t="str">
        <f t="shared" si="5"/>
        <v/>
      </c>
      <c r="AG115" s="428"/>
      <c r="AH115" s="428"/>
      <c r="AI115" s="428"/>
      <c r="AJ115" s="428"/>
      <c r="AK115" s="428"/>
      <c r="AL115" s="429"/>
      <c r="AM115" s="426" t="str">
        <f>IF(中間シート!H826&lt;&gt;0,中間シート!H826,"")</f>
        <v/>
      </c>
      <c r="AN115" s="426"/>
      <c r="AO115" s="426"/>
      <c r="AP115" s="426"/>
      <c r="AQ115" s="426"/>
      <c r="AR115" s="426"/>
      <c r="AS115" s="426"/>
      <c r="AT115" s="426"/>
      <c r="AU115" s="426"/>
    </row>
    <row r="116" spans="10:47" ht="17.100000000000001" customHeight="1" x14ac:dyDescent="0.15">
      <c r="J116" s="412" t="s">
        <v>326</v>
      </c>
      <c r="K116" s="412"/>
      <c r="L116" s="412"/>
      <c r="M116" s="412"/>
      <c r="N116" s="426" t="str">
        <f>IF(中間シート!D827&lt;&gt;0,中間シート!D827,"")</f>
        <v/>
      </c>
      <c r="O116" s="426"/>
      <c r="P116" s="426"/>
      <c r="Q116" s="426"/>
      <c r="R116" s="426"/>
      <c r="S116" s="426"/>
      <c r="T116" s="426"/>
      <c r="U116" s="426"/>
      <c r="V116" s="426"/>
      <c r="W116" s="426" t="str">
        <f>IF(中間シート!G827&lt;&gt;0,中間シート!G827,"")</f>
        <v/>
      </c>
      <c r="X116" s="426"/>
      <c r="Y116" s="426"/>
      <c r="Z116" s="426"/>
      <c r="AA116" s="426"/>
      <c r="AB116" s="426"/>
      <c r="AC116" s="426"/>
      <c r="AD116" s="426"/>
      <c r="AE116" s="426"/>
      <c r="AF116" s="427" t="str">
        <f t="shared" si="5"/>
        <v/>
      </c>
      <c r="AG116" s="428"/>
      <c r="AH116" s="428"/>
      <c r="AI116" s="428"/>
      <c r="AJ116" s="428"/>
      <c r="AK116" s="428"/>
      <c r="AL116" s="429"/>
      <c r="AM116" s="426" t="str">
        <f>IF(中間シート!H827&lt;&gt;0,中間シート!H827,"")</f>
        <v/>
      </c>
      <c r="AN116" s="426"/>
      <c r="AO116" s="426"/>
      <c r="AP116" s="426"/>
      <c r="AQ116" s="426"/>
      <c r="AR116" s="426"/>
      <c r="AS116" s="426"/>
      <c r="AT116" s="426"/>
      <c r="AU116" s="426"/>
    </row>
    <row r="117" spans="10:47" ht="17.100000000000001" customHeight="1" x14ac:dyDescent="0.15">
      <c r="J117" s="412" t="s">
        <v>327</v>
      </c>
      <c r="K117" s="412"/>
      <c r="L117" s="412"/>
      <c r="M117" s="412"/>
      <c r="N117" s="426" t="str">
        <f>IF(中間シート!D828&lt;&gt;0,中間シート!D828,"")</f>
        <v/>
      </c>
      <c r="O117" s="426"/>
      <c r="P117" s="426"/>
      <c r="Q117" s="426"/>
      <c r="R117" s="426"/>
      <c r="S117" s="426"/>
      <c r="T117" s="426"/>
      <c r="U117" s="426"/>
      <c r="V117" s="426"/>
      <c r="W117" s="426" t="str">
        <f>IF(中間シート!G828&lt;&gt;0,中間シート!G828,"")</f>
        <v/>
      </c>
      <c r="X117" s="426"/>
      <c r="Y117" s="426"/>
      <c r="Z117" s="426"/>
      <c r="AA117" s="426"/>
      <c r="AB117" s="426"/>
      <c r="AC117" s="426"/>
      <c r="AD117" s="426"/>
      <c r="AE117" s="426"/>
      <c r="AF117" s="427" t="str">
        <f t="shared" si="5"/>
        <v/>
      </c>
      <c r="AG117" s="428"/>
      <c r="AH117" s="428"/>
      <c r="AI117" s="428"/>
      <c r="AJ117" s="428"/>
      <c r="AK117" s="428"/>
      <c r="AL117" s="429"/>
      <c r="AM117" s="426" t="str">
        <f>IF(中間シート!H828&lt;&gt;0,中間シート!H828,"")</f>
        <v/>
      </c>
      <c r="AN117" s="426"/>
      <c r="AO117" s="426"/>
      <c r="AP117" s="426"/>
      <c r="AQ117" s="426"/>
      <c r="AR117" s="426"/>
      <c r="AS117" s="426"/>
      <c r="AT117" s="426"/>
      <c r="AU117" s="426"/>
    </row>
    <row r="118" spans="10:47" ht="17.100000000000001" customHeight="1" x14ac:dyDescent="0.15">
      <c r="J118" s="412" t="s">
        <v>328</v>
      </c>
      <c r="K118" s="412"/>
      <c r="L118" s="412"/>
      <c r="M118" s="412"/>
      <c r="N118" s="426" t="str">
        <f>IF(中間シート!D829&lt;&gt;0,中間シート!D829,"")</f>
        <v/>
      </c>
      <c r="O118" s="426"/>
      <c r="P118" s="426"/>
      <c r="Q118" s="426"/>
      <c r="R118" s="426"/>
      <c r="S118" s="426"/>
      <c r="T118" s="426"/>
      <c r="U118" s="426"/>
      <c r="V118" s="426"/>
      <c r="W118" s="426" t="str">
        <f>IF(中間シート!G829&lt;&gt;0,中間シート!G829,"")</f>
        <v/>
      </c>
      <c r="X118" s="426"/>
      <c r="Y118" s="426"/>
      <c r="Z118" s="426"/>
      <c r="AA118" s="426"/>
      <c r="AB118" s="426"/>
      <c r="AC118" s="426"/>
      <c r="AD118" s="426"/>
      <c r="AE118" s="426"/>
      <c r="AF118" s="427" t="str">
        <f t="shared" si="5"/>
        <v/>
      </c>
      <c r="AG118" s="428"/>
      <c r="AH118" s="428"/>
      <c r="AI118" s="428"/>
      <c r="AJ118" s="428"/>
      <c r="AK118" s="428"/>
      <c r="AL118" s="429"/>
      <c r="AM118" s="426" t="str">
        <f>IF(中間シート!H829&lt;&gt;0,中間シート!H829,"")</f>
        <v/>
      </c>
      <c r="AN118" s="426"/>
      <c r="AO118" s="426"/>
      <c r="AP118" s="426"/>
      <c r="AQ118" s="426"/>
      <c r="AR118" s="426"/>
      <c r="AS118" s="426"/>
      <c r="AT118" s="426"/>
      <c r="AU118" s="426"/>
    </row>
    <row r="119" spans="10:47" ht="16.5" customHeight="1" x14ac:dyDescent="0.15">
      <c r="J119" s="412" t="s">
        <v>291</v>
      </c>
      <c r="K119" s="412"/>
      <c r="L119" s="412"/>
      <c r="M119" s="412"/>
      <c r="N119" s="426" t="str">
        <f>IF(N109&lt;&gt;"",SUM(N109:V118),"")</f>
        <v/>
      </c>
      <c r="O119" s="426"/>
      <c r="P119" s="426"/>
      <c r="Q119" s="426"/>
      <c r="R119" s="426"/>
      <c r="S119" s="426"/>
      <c r="T119" s="426"/>
      <c r="U119" s="426"/>
      <c r="V119" s="426"/>
      <c r="W119" s="426" t="str">
        <f>IF(W109&lt;&gt;"",SUM(W109:AE118),"")</f>
        <v/>
      </c>
      <c r="X119" s="426"/>
      <c r="Y119" s="426"/>
      <c r="Z119" s="426"/>
      <c r="AA119" s="426"/>
      <c r="AB119" s="426"/>
      <c r="AC119" s="426"/>
      <c r="AD119" s="426"/>
      <c r="AE119" s="426"/>
      <c r="AF119" s="427"/>
      <c r="AG119" s="428"/>
      <c r="AH119" s="428"/>
      <c r="AI119" s="428"/>
      <c r="AJ119" s="428"/>
      <c r="AK119" s="428"/>
      <c r="AL119" s="429"/>
      <c r="AM119" s="426" t="str">
        <f>IF(AM109&lt;&gt;"",SUM(AM109:AU118),"")</f>
        <v/>
      </c>
      <c r="AN119" s="426"/>
      <c r="AO119" s="426"/>
      <c r="AP119" s="426"/>
      <c r="AQ119" s="426"/>
      <c r="AR119" s="426"/>
      <c r="AS119" s="426"/>
      <c r="AT119" s="426"/>
      <c r="AU119" s="426"/>
    </row>
    <row r="120" spans="10:47" x14ac:dyDescent="0.15">
      <c r="J120" s="140" t="s">
        <v>292</v>
      </c>
      <c r="K120" s="140"/>
      <c r="L120" s="140"/>
    </row>
    <row r="121" spans="10:47" x14ac:dyDescent="0.15">
      <c r="J121" s="143" t="s">
        <v>293</v>
      </c>
      <c r="K121" s="140"/>
      <c r="L121" s="140" t="s">
        <v>294</v>
      </c>
    </row>
    <row r="122" spans="10:47" x14ac:dyDescent="0.15">
      <c r="J122" s="143" t="s">
        <v>258</v>
      </c>
      <c r="K122" s="140"/>
      <c r="L122" s="140" t="s">
        <v>295</v>
      </c>
    </row>
    <row r="123" spans="10:47" x14ac:dyDescent="0.15">
      <c r="L123" s="140" t="s">
        <v>296</v>
      </c>
    </row>
    <row r="124" spans="10:47" x14ac:dyDescent="0.15">
      <c r="J124" s="143" t="s">
        <v>260</v>
      </c>
      <c r="K124" s="140"/>
      <c r="L124" s="140" t="s">
        <v>297</v>
      </c>
    </row>
    <row r="125" spans="10:47" x14ac:dyDescent="0.15">
      <c r="K125" s="140"/>
      <c r="L125" s="140" t="s">
        <v>298</v>
      </c>
    </row>
    <row r="127" spans="10:47" x14ac:dyDescent="0.15">
      <c r="J127" s="58" t="s">
        <v>299</v>
      </c>
    </row>
    <row r="128" spans="10:47" ht="16.5" customHeight="1" x14ac:dyDescent="0.15">
      <c r="J128" s="427" t="s">
        <v>300</v>
      </c>
      <c r="K128" s="428"/>
      <c r="L128" s="428"/>
      <c r="M128" s="428"/>
      <c r="N128" s="428"/>
      <c r="O128" s="428"/>
      <c r="P128" s="428"/>
      <c r="Q128" s="428"/>
      <c r="R128" s="428"/>
      <c r="S128" s="428"/>
      <c r="T128" s="428"/>
      <c r="U128" s="429"/>
      <c r="V128" s="412" t="s">
        <v>301</v>
      </c>
      <c r="W128" s="412"/>
      <c r="X128" s="412"/>
      <c r="Y128" s="412"/>
      <c r="Z128" s="412"/>
      <c r="AA128" s="412"/>
      <c r="AB128" s="412"/>
      <c r="AC128" s="412"/>
      <c r="AD128" s="412"/>
      <c r="AE128" s="412"/>
      <c r="AF128" s="412" t="s">
        <v>302</v>
      </c>
      <c r="AG128" s="412"/>
      <c r="AH128" s="412"/>
      <c r="AI128" s="412"/>
      <c r="AJ128" s="412"/>
      <c r="AK128" s="412"/>
      <c r="AL128" s="412"/>
      <c r="AM128" s="412"/>
      <c r="AN128" s="412"/>
      <c r="AO128" s="412"/>
      <c r="AP128" s="412"/>
      <c r="AQ128" s="412"/>
      <c r="AR128" s="412"/>
      <c r="AS128" s="412"/>
      <c r="AT128" s="412"/>
      <c r="AU128" s="412"/>
    </row>
    <row r="129" spans="10:47" ht="16.5" customHeight="1" x14ac:dyDescent="0.15">
      <c r="J129" s="430" t="str">
        <f>中間シート!F21&amp;" "&amp;中間シート!F22</f>
        <v xml:space="preserve"> </v>
      </c>
      <c r="K129" s="431"/>
      <c r="L129" s="431"/>
      <c r="M129" s="431"/>
      <c r="N129" s="431"/>
      <c r="O129" s="431"/>
      <c r="P129" s="431"/>
      <c r="Q129" s="431"/>
      <c r="R129" s="431"/>
      <c r="S129" s="431"/>
      <c r="T129" s="431"/>
      <c r="U129" s="432"/>
      <c r="V129" s="425" t="str">
        <f>中間シート!F23&amp;" "&amp;中間シート!F24</f>
        <v xml:space="preserve"> </v>
      </c>
      <c r="W129" s="425"/>
      <c r="X129" s="425"/>
      <c r="Y129" s="425"/>
      <c r="Z129" s="425"/>
      <c r="AA129" s="425"/>
      <c r="AB129" s="425"/>
      <c r="AC129" s="425"/>
      <c r="AD129" s="425"/>
      <c r="AE129" s="425"/>
      <c r="AF129" s="407" t="s">
        <v>303</v>
      </c>
      <c r="AG129" s="408"/>
      <c r="AH129" s="408"/>
      <c r="AI129" s="408"/>
      <c r="AJ129" s="441" t="str">
        <f>IF(中間シート!F25&amp;中間シート!G25&amp;中間シート!H25&lt;&gt;"",中間シート!F25&amp;"-"&amp;中間シート!G25&amp;"-"&amp;中間シート!H25,"")</f>
        <v/>
      </c>
      <c r="AK129" s="441"/>
      <c r="AL129" s="441"/>
      <c r="AM129" s="441"/>
      <c r="AN129" s="441"/>
      <c r="AO129" s="441"/>
      <c r="AP129" s="441"/>
      <c r="AQ129" s="441"/>
      <c r="AR129" s="441"/>
      <c r="AS129" s="441"/>
      <c r="AT129" s="441"/>
      <c r="AU129" s="442"/>
    </row>
    <row r="130" spans="10:47" ht="16.5" hidden="1" customHeight="1" x14ac:dyDescent="0.15">
      <c r="J130" s="433"/>
      <c r="K130" s="434"/>
      <c r="L130" s="434"/>
      <c r="M130" s="434"/>
      <c r="N130" s="434"/>
      <c r="O130" s="434"/>
      <c r="P130" s="434"/>
      <c r="Q130" s="434"/>
      <c r="R130" s="434"/>
      <c r="S130" s="434"/>
      <c r="T130" s="434"/>
      <c r="U130" s="435"/>
      <c r="V130" s="425"/>
      <c r="W130" s="425"/>
      <c r="X130" s="425"/>
      <c r="Y130" s="425"/>
      <c r="Z130" s="425"/>
      <c r="AA130" s="425"/>
      <c r="AB130" s="425"/>
      <c r="AC130" s="425"/>
      <c r="AD130" s="425"/>
      <c r="AE130" s="425"/>
      <c r="AF130" s="405" t="s">
        <v>304</v>
      </c>
      <c r="AG130" s="406"/>
      <c r="AH130" s="406"/>
      <c r="AI130" s="406"/>
      <c r="AJ130" s="443" t="str">
        <f>IF(中間シート!F26&amp;中間シート!G26&amp;中間シート!H26&lt;&gt;"",中間シート!F26&amp;"-"&amp;中間シート!G26&amp;"-"&amp;中間シート!H26,"")</f>
        <v>01-2345-6789</v>
      </c>
      <c r="AK130" s="443"/>
      <c r="AL130" s="443"/>
      <c r="AM130" s="443"/>
      <c r="AN130" s="443"/>
      <c r="AO130" s="443"/>
      <c r="AP130" s="443"/>
      <c r="AQ130" s="443"/>
      <c r="AR130" s="443"/>
      <c r="AS130" s="443"/>
      <c r="AT130" s="443"/>
      <c r="AU130" s="444"/>
    </row>
    <row r="131" spans="10:47" ht="33" customHeight="1" x14ac:dyDescent="0.15">
      <c r="J131" s="436"/>
      <c r="K131" s="437"/>
      <c r="L131" s="437"/>
      <c r="M131" s="437"/>
      <c r="N131" s="437"/>
      <c r="O131" s="437"/>
      <c r="P131" s="437"/>
      <c r="Q131" s="437"/>
      <c r="R131" s="437"/>
      <c r="S131" s="437"/>
      <c r="T131" s="437"/>
      <c r="U131" s="438"/>
      <c r="V131" s="425"/>
      <c r="W131" s="425"/>
      <c r="X131" s="425"/>
      <c r="Y131" s="425"/>
      <c r="Z131" s="425"/>
      <c r="AA131" s="425"/>
      <c r="AB131" s="425"/>
      <c r="AC131" s="425"/>
      <c r="AD131" s="425"/>
      <c r="AE131" s="425"/>
      <c r="AF131" s="403" t="s">
        <v>305</v>
      </c>
      <c r="AG131" s="404"/>
      <c r="AH131" s="404"/>
      <c r="AI131" s="404"/>
      <c r="AJ131" s="439" t="str">
        <f>IF(中間シート!F27&amp;中間シート!G27&lt;&gt;"",中間シート!F27&amp;"@"&amp;中間シート!G27,"")</f>
        <v/>
      </c>
      <c r="AK131" s="439"/>
      <c r="AL131" s="439"/>
      <c r="AM131" s="439"/>
      <c r="AN131" s="439"/>
      <c r="AO131" s="439"/>
      <c r="AP131" s="439"/>
      <c r="AQ131" s="439"/>
      <c r="AR131" s="439"/>
      <c r="AS131" s="439"/>
      <c r="AT131" s="439"/>
      <c r="AU131" s="440"/>
    </row>
    <row r="132" spans="10:47" hidden="1" x14ac:dyDescent="0.15"/>
    <row r="133" spans="10:47" hidden="1" x14ac:dyDescent="0.15">
      <c r="J133" s="58" t="s">
        <v>306</v>
      </c>
    </row>
    <row r="134" spans="10:47" ht="16.5" hidden="1" customHeight="1" x14ac:dyDescent="0.15">
      <c r="J134" s="427" t="s">
        <v>307</v>
      </c>
      <c r="K134" s="428"/>
      <c r="L134" s="428"/>
      <c r="M134" s="428"/>
      <c r="N134" s="428"/>
      <c r="O134" s="428"/>
      <c r="P134" s="428"/>
      <c r="Q134" s="428"/>
      <c r="R134" s="428"/>
      <c r="S134" s="428"/>
      <c r="T134" s="428"/>
      <c r="U134" s="428"/>
      <c r="V134" s="428"/>
      <c r="W134" s="428"/>
      <c r="X134" s="428"/>
      <c r="Y134" s="428"/>
      <c r="Z134" s="428"/>
      <c r="AA134" s="428"/>
      <c r="AB134" s="428"/>
      <c r="AC134" s="428"/>
      <c r="AD134" s="428"/>
      <c r="AE134" s="428"/>
      <c r="AF134" s="428"/>
      <c r="AG134" s="428"/>
      <c r="AH134" s="428"/>
      <c r="AI134" s="428"/>
      <c r="AJ134" s="428"/>
      <c r="AK134" s="428"/>
      <c r="AL134" s="428"/>
      <c r="AM134" s="428"/>
      <c r="AN134" s="428"/>
      <c r="AO134" s="428"/>
      <c r="AP134" s="428"/>
      <c r="AQ134" s="428"/>
      <c r="AR134" s="428"/>
      <c r="AS134" s="428"/>
      <c r="AT134" s="428"/>
      <c r="AU134" s="429"/>
    </row>
    <row r="135" spans="10:47" ht="16.5" hidden="1" customHeight="1" x14ac:dyDescent="0.15">
      <c r="J135" s="144" t="s">
        <v>308</v>
      </c>
      <c r="K135" s="434" t="str">
        <f>IF(AND(中間シート!F29&lt;&gt;"",中間シート!G29&lt;&gt;""),中間シート!F29&amp;"-"&amp;中間シート!G29,"")</f>
        <v>999-8889</v>
      </c>
      <c r="L135" s="434"/>
      <c r="M135" s="434"/>
      <c r="N135" s="434"/>
      <c r="O135" s="434"/>
      <c r="P135" s="434" t="str">
        <f>中間シート!F30&amp;中間シート!F31&amp;中間シート!F32&amp;中間シート!F33</f>
        <v>神奈川県ｄ００７ＵＵＵｓｏｕｈｕｄ００８ＵＵＵｓｏｕｈｕｄ００９ＵＵＵｓｏｕｈｕ</v>
      </c>
      <c r="Q135" s="434"/>
      <c r="R135" s="434"/>
      <c r="S135" s="434"/>
      <c r="T135" s="434"/>
      <c r="U135" s="434"/>
      <c r="V135" s="434"/>
      <c r="W135" s="434"/>
      <c r="X135" s="434"/>
      <c r="Y135" s="434"/>
      <c r="Z135" s="434"/>
      <c r="AA135" s="434"/>
      <c r="AB135" s="434"/>
      <c r="AC135" s="434"/>
      <c r="AD135" s="434"/>
      <c r="AE135" s="434"/>
      <c r="AF135" s="434"/>
      <c r="AG135" s="434"/>
      <c r="AH135" s="434"/>
      <c r="AI135" s="434"/>
      <c r="AJ135" s="434"/>
      <c r="AK135" s="434"/>
      <c r="AL135" s="434"/>
      <c r="AM135" s="434"/>
      <c r="AN135" s="434"/>
      <c r="AO135" s="434"/>
      <c r="AP135" s="434"/>
      <c r="AQ135" s="434"/>
      <c r="AR135" s="434"/>
      <c r="AS135" s="434"/>
      <c r="AT135" s="434"/>
      <c r="AU135" s="435"/>
    </row>
    <row r="136" spans="10:47" ht="16.5" hidden="1" customHeight="1" x14ac:dyDescent="0.15">
      <c r="J136" s="145" t="s">
        <v>309</v>
      </c>
      <c r="K136" s="146"/>
      <c r="L136" s="146"/>
      <c r="M136" s="146"/>
      <c r="N136" s="146"/>
      <c r="O136" s="146"/>
      <c r="P136" s="437"/>
      <c r="Q136" s="437"/>
      <c r="R136" s="437"/>
      <c r="S136" s="437"/>
      <c r="T136" s="437"/>
      <c r="U136" s="437"/>
      <c r="V136" s="437"/>
      <c r="W136" s="437"/>
      <c r="X136" s="437"/>
      <c r="Y136" s="437"/>
      <c r="Z136" s="437"/>
      <c r="AA136" s="437"/>
      <c r="AB136" s="437"/>
      <c r="AC136" s="437"/>
      <c r="AD136" s="437"/>
      <c r="AE136" s="437"/>
      <c r="AF136" s="437"/>
      <c r="AG136" s="437"/>
      <c r="AH136" s="437"/>
      <c r="AI136" s="437"/>
      <c r="AJ136" s="437"/>
      <c r="AK136" s="437"/>
      <c r="AL136" s="437"/>
      <c r="AM136" s="437"/>
      <c r="AN136" s="437"/>
      <c r="AO136" s="437"/>
      <c r="AP136" s="437"/>
      <c r="AQ136" s="437"/>
      <c r="AR136" s="437"/>
      <c r="AS136" s="437"/>
      <c r="AT136" s="437"/>
      <c r="AU136" s="438"/>
    </row>
    <row r="137" spans="10:47" ht="16.5" hidden="1" customHeight="1" x14ac:dyDescent="0.15">
      <c r="J137" s="412" t="s">
        <v>129</v>
      </c>
      <c r="K137" s="412"/>
      <c r="L137" s="412"/>
      <c r="M137" s="412"/>
      <c r="N137" s="412"/>
      <c r="O137" s="412"/>
      <c r="P137" s="412"/>
      <c r="Q137" s="412"/>
      <c r="R137" s="412"/>
      <c r="S137" s="412"/>
      <c r="T137" s="412" t="s">
        <v>300</v>
      </c>
      <c r="U137" s="412"/>
      <c r="V137" s="412"/>
      <c r="W137" s="412"/>
      <c r="X137" s="412"/>
      <c r="Y137" s="412"/>
      <c r="Z137" s="412"/>
      <c r="AA137" s="412"/>
      <c r="AB137" s="412"/>
      <c r="AC137" s="412"/>
      <c r="AD137" s="412"/>
      <c r="AE137" s="412"/>
      <c r="AF137" s="412"/>
      <c r="AG137" s="412"/>
      <c r="AH137" s="412"/>
      <c r="AI137" s="412"/>
      <c r="AJ137" s="412" t="s">
        <v>301</v>
      </c>
      <c r="AK137" s="412"/>
      <c r="AL137" s="412"/>
      <c r="AM137" s="412"/>
      <c r="AN137" s="412"/>
      <c r="AO137" s="412"/>
      <c r="AP137" s="412"/>
      <c r="AQ137" s="412"/>
      <c r="AR137" s="412"/>
      <c r="AS137" s="412"/>
      <c r="AT137" s="412"/>
      <c r="AU137" s="412"/>
    </row>
    <row r="138" spans="10:47" ht="30" hidden="1" customHeight="1" x14ac:dyDescent="0.15">
      <c r="J138" s="425" t="str">
        <f>中間シート!F34</f>
        <v>ｄ０１０ＵＵＵｓｏｕｈｕ</v>
      </c>
      <c r="K138" s="425"/>
      <c r="L138" s="425"/>
      <c r="M138" s="425"/>
      <c r="N138" s="425"/>
      <c r="O138" s="425"/>
      <c r="P138" s="425"/>
      <c r="Q138" s="425"/>
      <c r="R138" s="425"/>
      <c r="S138" s="425"/>
      <c r="T138" s="425" t="str">
        <f>中間シート!F36&amp;" "&amp;中間シート!F37</f>
        <v>送付先部署 送付先役職</v>
      </c>
      <c r="U138" s="425"/>
      <c r="V138" s="425"/>
      <c r="W138" s="425"/>
      <c r="X138" s="425"/>
      <c r="Y138" s="425"/>
      <c r="Z138" s="425"/>
      <c r="AA138" s="425"/>
      <c r="AB138" s="425"/>
      <c r="AC138" s="425"/>
      <c r="AD138" s="425"/>
      <c r="AE138" s="425"/>
      <c r="AF138" s="425"/>
      <c r="AG138" s="425"/>
      <c r="AH138" s="425"/>
      <c r="AI138" s="425"/>
      <c r="AJ138" s="425" t="str">
        <f>中間シート!F38&amp;" "&amp;中間シート!F39</f>
        <v>送付先姓 送付先名</v>
      </c>
      <c r="AK138" s="425"/>
      <c r="AL138" s="425"/>
      <c r="AM138" s="425"/>
      <c r="AN138" s="425"/>
      <c r="AO138" s="425"/>
      <c r="AP138" s="425"/>
      <c r="AQ138" s="425"/>
      <c r="AR138" s="425"/>
      <c r="AS138" s="425"/>
      <c r="AT138" s="425"/>
      <c r="AU138" s="425"/>
    </row>
    <row r="140" spans="10:47" x14ac:dyDescent="0.15">
      <c r="J140" s="58" t="s">
        <v>310</v>
      </c>
    </row>
    <row r="141" spans="10:47" ht="19.5" x14ac:dyDescent="0.15">
      <c r="AJ141" s="60" t="s">
        <v>226</v>
      </c>
      <c r="AK141" s="409" t="str">
        <f>IF(中間シート!F5&lt;&gt;0,4,"")</f>
        <v/>
      </c>
      <c r="AL141" s="409"/>
      <c r="AM141" s="409"/>
      <c r="AN141" s="59" t="s">
        <v>227</v>
      </c>
      <c r="AO141" s="415" t="str">
        <f>IF(中間シート!F5&lt;&gt;0,中間シート!F5,"")</f>
        <v/>
      </c>
      <c r="AP141" s="415"/>
      <c r="AQ141" s="58" t="s">
        <v>228</v>
      </c>
      <c r="AR141" s="416" t="str">
        <f>IF(中間シート!F5&lt;&gt;0,中間シート!F5,"")</f>
        <v/>
      </c>
      <c r="AS141" s="416"/>
      <c r="AT141" s="416"/>
      <c r="AU141" s="59" t="s">
        <v>229</v>
      </c>
    </row>
    <row r="142" spans="10:47" x14ac:dyDescent="0.15">
      <c r="J142" s="58" t="s">
        <v>311</v>
      </c>
    </row>
    <row r="144" spans="10:47" x14ac:dyDescent="0.15">
      <c r="J144" s="412" t="s">
        <v>312</v>
      </c>
      <c r="K144" s="412"/>
      <c r="L144" s="412"/>
      <c r="M144" s="412"/>
      <c r="N144" s="412"/>
      <c r="O144" s="412"/>
      <c r="P144" s="412"/>
      <c r="Q144" s="412"/>
      <c r="R144" s="412"/>
      <c r="S144" s="412"/>
      <c r="T144" s="412"/>
      <c r="U144" s="412"/>
      <c r="V144" s="412"/>
      <c r="W144" s="412"/>
      <c r="X144" s="412"/>
      <c r="Y144" s="412"/>
      <c r="Z144" s="412"/>
      <c r="AA144" s="412"/>
      <c r="AB144" s="412"/>
      <c r="AC144" s="412"/>
      <c r="AD144" s="412"/>
      <c r="AE144" s="412"/>
      <c r="AF144" s="412"/>
      <c r="AG144" s="412"/>
      <c r="AH144" s="412"/>
      <c r="AI144" s="412"/>
      <c r="AJ144" s="412"/>
      <c r="AK144" s="412"/>
      <c r="AL144" s="412"/>
      <c r="AM144" s="412"/>
      <c r="AN144" s="412"/>
      <c r="AO144" s="412"/>
      <c r="AP144" s="412"/>
      <c r="AQ144" s="412"/>
      <c r="AR144" s="412"/>
      <c r="AS144" s="412"/>
      <c r="AT144" s="412"/>
      <c r="AU144" s="412"/>
    </row>
    <row r="145" spans="9:47" ht="30" customHeight="1" x14ac:dyDescent="0.15">
      <c r="J145" s="425" t="str">
        <f>中間シート!F12</f>
        <v/>
      </c>
      <c r="K145" s="425"/>
      <c r="L145" s="425"/>
      <c r="M145" s="425"/>
      <c r="N145" s="425"/>
      <c r="O145" s="425"/>
      <c r="P145" s="425"/>
      <c r="Q145" s="425"/>
      <c r="R145" s="425"/>
      <c r="S145" s="425"/>
      <c r="T145" s="425"/>
      <c r="U145" s="425"/>
      <c r="V145" s="425"/>
      <c r="W145" s="425"/>
      <c r="X145" s="425"/>
      <c r="Y145" s="425"/>
      <c r="Z145" s="425"/>
      <c r="AA145" s="425"/>
      <c r="AB145" s="425"/>
      <c r="AC145" s="425"/>
      <c r="AD145" s="425"/>
      <c r="AE145" s="425"/>
      <c r="AF145" s="425"/>
      <c r="AG145" s="425"/>
      <c r="AH145" s="425"/>
      <c r="AI145" s="425"/>
      <c r="AJ145" s="425"/>
      <c r="AK145" s="425"/>
      <c r="AL145" s="425"/>
      <c r="AM145" s="425"/>
      <c r="AN145" s="425"/>
      <c r="AO145" s="425"/>
      <c r="AP145" s="425"/>
      <c r="AQ145" s="425"/>
      <c r="AR145" s="425"/>
      <c r="AS145" s="425"/>
      <c r="AT145" s="425"/>
      <c r="AU145" s="425"/>
    </row>
    <row r="147" spans="9:47" ht="30" customHeight="1" x14ac:dyDescent="0.15">
      <c r="J147" s="412" t="s">
        <v>38</v>
      </c>
      <c r="K147" s="412"/>
      <c r="L147" s="412"/>
      <c r="M147" s="412"/>
      <c r="N147" s="412"/>
      <c r="O147" s="412"/>
      <c r="P147" s="412" t="s">
        <v>313</v>
      </c>
      <c r="Q147" s="412"/>
      <c r="R147" s="412"/>
      <c r="S147" s="412"/>
      <c r="T147" s="412"/>
      <c r="U147" s="412"/>
      <c r="V147" s="412"/>
      <c r="W147" s="412"/>
      <c r="X147" s="412"/>
      <c r="Y147" s="412" t="s">
        <v>314</v>
      </c>
      <c r="Z147" s="412"/>
      <c r="AA147" s="412"/>
      <c r="AB147" s="412"/>
      <c r="AC147" s="412"/>
      <c r="AD147" s="412"/>
      <c r="AE147" s="412"/>
      <c r="AF147" s="412"/>
      <c r="AG147" s="412"/>
      <c r="AH147" s="412"/>
      <c r="AI147" s="412" t="s">
        <v>44</v>
      </c>
      <c r="AJ147" s="412"/>
      <c r="AK147" s="412"/>
      <c r="AL147" s="412"/>
      <c r="AM147" s="412"/>
      <c r="AN147" s="412"/>
      <c r="AO147" s="412"/>
      <c r="AP147" s="412"/>
      <c r="AQ147" s="412"/>
      <c r="AR147" s="412" t="s">
        <v>315</v>
      </c>
      <c r="AS147" s="412"/>
      <c r="AT147" s="412"/>
      <c r="AU147" s="412"/>
    </row>
    <row r="148" spans="9:47" ht="30" customHeight="1" x14ac:dyDescent="0.15">
      <c r="J148" s="412"/>
      <c r="K148" s="412"/>
      <c r="L148" s="412"/>
      <c r="M148" s="412"/>
      <c r="N148" s="412"/>
      <c r="O148" s="412"/>
      <c r="P148" s="412"/>
      <c r="Q148" s="412"/>
      <c r="R148" s="412"/>
      <c r="S148" s="412"/>
      <c r="T148" s="412"/>
      <c r="U148" s="412"/>
      <c r="V148" s="412"/>
      <c r="W148" s="412"/>
      <c r="X148" s="412"/>
      <c r="Y148" s="412"/>
      <c r="Z148" s="412"/>
      <c r="AA148" s="412"/>
      <c r="AB148" s="412"/>
      <c r="AC148" s="412"/>
      <c r="AD148" s="412"/>
      <c r="AE148" s="412"/>
      <c r="AF148" s="412"/>
      <c r="AG148" s="412"/>
      <c r="AH148" s="412"/>
      <c r="AI148" s="419" t="s">
        <v>316</v>
      </c>
      <c r="AJ148" s="412"/>
      <c r="AK148" s="412" t="s">
        <v>317</v>
      </c>
      <c r="AL148" s="412"/>
      <c r="AM148" s="412"/>
      <c r="AN148" s="412" t="s">
        <v>318</v>
      </c>
      <c r="AO148" s="412"/>
      <c r="AP148" s="412" t="s">
        <v>319</v>
      </c>
      <c r="AQ148" s="412"/>
      <c r="AR148" s="412"/>
      <c r="AS148" s="412"/>
      <c r="AT148" s="412"/>
      <c r="AU148" s="412"/>
    </row>
    <row r="149" spans="9:47" ht="30" customHeight="1" x14ac:dyDescent="0.15">
      <c r="J149" s="425" t="str">
        <f>中間シート!E43</f>
        <v/>
      </c>
      <c r="K149" s="425"/>
      <c r="L149" s="425"/>
      <c r="M149" s="425"/>
      <c r="N149" s="425"/>
      <c r="O149" s="425"/>
      <c r="P149" s="425" t="str">
        <f>中間シート!F43&amp;"　"&amp;中間シート!G43</f>
        <v>　</v>
      </c>
      <c r="Q149" s="425"/>
      <c r="R149" s="425"/>
      <c r="S149" s="425"/>
      <c r="T149" s="425"/>
      <c r="U149" s="425"/>
      <c r="V149" s="425"/>
      <c r="W149" s="425"/>
      <c r="X149" s="425"/>
      <c r="Y149" s="425" t="str">
        <f>中間シート!H43&amp;"　"&amp;中間シート!I43</f>
        <v>　</v>
      </c>
      <c r="Z149" s="425"/>
      <c r="AA149" s="425"/>
      <c r="AB149" s="425"/>
      <c r="AC149" s="425"/>
      <c r="AD149" s="425"/>
      <c r="AE149" s="425"/>
      <c r="AF149" s="425"/>
      <c r="AG149" s="425"/>
      <c r="AH149" s="425"/>
      <c r="AI149" s="445" t="str">
        <f>IF(1&lt;中間シート!$J43,中間シート!$J43,"")</f>
        <v/>
      </c>
      <c r="AJ149" s="445"/>
      <c r="AK149" s="446" t="str">
        <f>IF(1&lt;中間シート!$J43,中間シート!$J43,"")</f>
        <v/>
      </c>
      <c r="AL149" s="446"/>
      <c r="AM149" s="446"/>
      <c r="AN149" s="447" t="str">
        <f>IF(1&lt;中間シート!$J43,中間シート!$J43,"")</f>
        <v/>
      </c>
      <c r="AO149" s="447"/>
      <c r="AP149" s="448" t="str">
        <f>IF(1&lt;中間シート!$J43,中間シート!$J43,"")</f>
        <v/>
      </c>
      <c r="AQ149" s="448"/>
      <c r="AR149" s="425" t="str">
        <f>IF(中間シート!K43="男","M",IF(中間シート!K43="女","F",""))</f>
        <v/>
      </c>
      <c r="AS149" s="425"/>
      <c r="AT149" s="425"/>
      <c r="AU149" s="425"/>
    </row>
    <row r="150" spans="9:47" ht="30" customHeight="1" x14ac:dyDescent="0.15">
      <c r="I150" s="147"/>
      <c r="J150" s="425" t="str">
        <f>IF(中間シート!$D44=1,中間シート!E44,"")</f>
        <v/>
      </c>
      <c r="K150" s="425"/>
      <c r="L150" s="425"/>
      <c r="M150" s="425"/>
      <c r="N150" s="425"/>
      <c r="O150" s="425"/>
      <c r="P150" s="425" t="str">
        <f>IF(中間シート!$D44=1,中間シート!F44&amp;"　"&amp;中間シート!G44,"")</f>
        <v/>
      </c>
      <c r="Q150" s="425"/>
      <c r="R150" s="425"/>
      <c r="S150" s="425"/>
      <c r="T150" s="425"/>
      <c r="U150" s="425"/>
      <c r="V150" s="425"/>
      <c r="W150" s="425"/>
      <c r="X150" s="425"/>
      <c r="Y150" s="425" t="str">
        <f>IF(中間シート!$D44=1,中間シート!H44&amp;"　"&amp;中間シート!I44,"")</f>
        <v/>
      </c>
      <c r="Z150" s="425"/>
      <c r="AA150" s="425"/>
      <c r="AB150" s="425"/>
      <c r="AC150" s="425"/>
      <c r="AD150" s="425"/>
      <c r="AE150" s="425"/>
      <c r="AF150" s="425"/>
      <c r="AG150" s="425"/>
      <c r="AH150" s="425"/>
      <c r="AI150" s="461" t="str">
        <f>IF(AND(中間シート!$D44=1,1&lt;中間シート!$J44),中間シート!$J44,"")</f>
        <v/>
      </c>
      <c r="AJ150" s="462"/>
      <c r="AK150" s="463" t="str">
        <f>IF(AND(中間シート!$D44=1,1&lt;中間シート!$J44),中間シート!$J44,"")</f>
        <v/>
      </c>
      <c r="AL150" s="464"/>
      <c r="AM150" s="465"/>
      <c r="AN150" s="466" t="str">
        <f>IF(AND(中間シート!$D44=1,1&lt;中間シート!$J44),中間シート!$J44,"")</f>
        <v/>
      </c>
      <c r="AO150" s="467"/>
      <c r="AP150" s="468" t="str">
        <f>IF(AND(中間シート!$D44=1,1&lt;中間シート!$J44),中間シート!$J44,"")</f>
        <v/>
      </c>
      <c r="AQ150" s="469"/>
      <c r="AR150" s="425" t="str">
        <f>IF(中間シート!$D44=1,IF(中間シート!K44="男","M",IF(中間シート!K44="女","F","")),"")</f>
        <v/>
      </c>
      <c r="AS150" s="425"/>
      <c r="AT150" s="425"/>
      <c r="AU150" s="425"/>
    </row>
    <row r="151" spans="9:47" ht="30" customHeight="1" x14ac:dyDescent="0.15">
      <c r="I151" s="147"/>
      <c r="J151" s="425" t="str">
        <f>IF(中間シート!$D45=1,中間シート!E45,"")</f>
        <v/>
      </c>
      <c r="K151" s="425"/>
      <c r="L151" s="425"/>
      <c r="M151" s="425"/>
      <c r="N151" s="425"/>
      <c r="O151" s="425"/>
      <c r="P151" s="425" t="str">
        <f>IF(中間シート!$D45=1,中間シート!F45&amp;"　"&amp;中間シート!G45,"")</f>
        <v/>
      </c>
      <c r="Q151" s="425"/>
      <c r="R151" s="425"/>
      <c r="S151" s="425"/>
      <c r="T151" s="425"/>
      <c r="U151" s="425"/>
      <c r="V151" s="425"/>
      <c r="W151" s="425"/>
      <c r="X151" s="425"/>
      <c r="Y151" s="425" t="str">
        <f>IF(中間シート!$D45=1,中間シート!H45&amp;"　"&amp;中間シート!I45,"")</f>
        <v/>
      </c>
      <c r="Z151" s="425"/>
      <c r="AA151" s="425"/>
      <c r="AB151" s="425"/>
      <c r="AC151" s="425"/>
      <c r="AD151" s="425"/>
      <c r="AE151" s="425"/>
      <c r="AF151" s="425"/>
      <c r="AG151" s="425"/>
      <c r="AH151" s="425"/>
      <c r="AI151" s="461" t="str">
        <f>IF(AND(中間シート!$D45=1,1&lt;中間シート!$J45),中間シート!$J45,"")</f>
        <v/>
      </c>
      <c r="AJ151" s="462"/>
      <c r="AK151" s="463" t="str">
        <f>IF(AND(中間シート!$D45=1,1&lt;中間シート!$J45),中間シート!$J45,"")</f>
        <v/>
      </c>
      <c r="AL151" s="464"/>
      <c r="AM151" s="465"/>
      <c r="AN151" s="466" t="str">
        <f>IF(AND(中間シート!$D45=1,1&lt;中間シート!$J45),中間シート!$J45,"")</f>
        <v/>
      </c>
      <c r="AO151" s="467"/>
      <c r="AP151" s="468" t="str">
        <f>IF(AND(中間シート!$D45=1,1&lt;中間シート!$J45),中間シート!$J45,"")</f>
        <v/>
      </c>
      <c r="AQ151" s="469"/>
      <c r="AR151" s="425" t="str">
        <f>IF(中間シート!$D45=1,IF(中間シート!K45="男","M",IF(中間シート!K45="女","F","")),"")</f>
        <v/>
      </c>
      <c r="AS151" s="425"/>
      <c r="AT151" s="425"/>
      <c r="AU151" s="425"/>
    </row>
    <row r="152" spans="9:47" ht="30" customHeight="1" x14ac:dyDescent="0.15">
      <c r="I152" s="147"/>
      <c r="J152" s="425" t="str">
        <f>IF(中間シート!$D46=1,中間シート!E46,"")</f>
        <v/>
      </c>
      <c r="K152" s="425"/>
      <c r="L152" s="425"/>
      <c r="M152" s="425"/>
      <c r="N152" s="425"/>
      <c r="O152" s="425"/>
      <c r="P152" s="425" t="str">
        <f>IF(中間シート!$D46=1,中間シート!F46&amp;"　"&amp;中間シート!G46,"")</f>
        <v/>
      </c>
      <c r="Q152" s="425"/>
      <c r="R152" s="425"/>
      <c r="S152" s="425"/>
      <c r="T152" s="425"/>
      <c r="U152" s="425"/>
      <c r="V152" s="425"/>
      <c r="W152" s="425"/>
      <c r="X152" s="425"/>
      <c r="Y152" s="425" t="str">
        <f>IF(中間シート!$D46=1,中間シート!H46&amp;"　"&amp;中間シート!I46,"")</f>
        <v/>
      </c>
      <c r="Z152" s="425"/>
      <c r="AA152" s="425"/>
      <c r="AB152" s="425"/>
      <c r="AC152" s="425"/>
      <c r="AD152" s="425"/>
      <c r="AE152" s="425"/>
      <c r="AF152" s="425"/>
      <c r="AG152" s="425"/>
      <c r="AH152" s="425"/>
      <c r="AI152" s="461" t="str">
        <f>IF(AND(中間シート!$D46=1,1&lt;中間シート!$J46),中間シート!$J46,"")</f>
        <v/>
      </c>
      <c r="AJ152" s="462"/>
      <c r="AK152" s="463" t="str">
        <f>IF(AND(中間シート!$D46=1,1&lt;中間シート!$J46),中間シート!$J46,"")</f>
        <v/>
      </c>
      <c r="AL152" s="464"/>
      <c r="AM152" s="465"/>
      <c r="AN152" s="466" t="str">
        <f>IF(AND(中間シート!$D46=1,1&lt;中間シート!$J46),中間シート!$J46,"")</f>
        <v/>
      </c>
      <c r="AO152" s="467"/>
      <c r="AP152" s="468" t="str">
        <f>IF(AND(中間シート!$D46=1,1&lt;中間シート!$J46),中間シート!$J46,"")</f>
        <v/>
      </c>
      <c r="AQ152" s="469"/>
      <c r="AR152" s="425" t="str">
        <f>IF(中間シート!$D46=1,IF(中間シート!K46="男","M",IF(中間シート!K46="女","F","")),"")</f>
        <v/>
      </c>
      <c r="AS152" s="425"/>
      <c r="AT152" s="425"/>
      <c r="AU152" s="425"/>
    </row>
    <row r="153" spans="9:47" ht="30" customHeight="1" x14ac:dyDescent="0.15">
      <c r="I153" s="147"/>
      <c r="J153" s="425" t="str">
        <f>IF(中間シート!$D47=1,中間シート!E47,"")</f>
        <v/>
      </c>
      <c r="K153" s="425"/>
      <c r="L153" s="425"/>
      <c r="M153" s="425"/>
      <c r="N153" s="425"/>
      <c r="O153" s="425"/>
      <c r="P153" s="425" t="str">
        <f>IF(中間シート!$D47=1,中間シート!F47&amp;"　"&amp;中間シート!G47,"")</f>
        <v/>
      </c>
      <c r="Q153" s="425"/>
      <c r="R153" s="425"/>
      <c r="S153" s="425"/>
      <c r="T153" s="425"/>
      <c r="U153" s="425"/>
      <c r="V153" s="425"/>
      <c r="W153" s="425"/>
      <c r="X153" s="425"/>
      <c r="Y153" s="425" t="str">
        <f>IF(中間シート!$D47=1,中間シート!H47&amp;"　"&amp;中間シート!I47,"")</f>
        <v/>
      </c>
      <c r="Z153" s="425"/>
      <c r="AA153" s="425"/>
      <c r="AB153" s="425"/>
      <c r="AC153" s="425"/>
      <c r="AD153" s="425"/>
      <c r="AE153" s="425"/>
      <c r="AF153" s="425"/>
      <c r="AG153" s="425"/>
      <c r="AH153" s="425"/>
      <c r="AI153" s="461" t="str">
        <f>IF(AND(中間シート!$D47=1,1&lt;中間シート!$J47),中間シート!$J47,"")</f>
        <v/>
      </c>
      <c r="AJ153" s="462"/>
      <c r="AK153" s="463" t="str">
        <f>IF(AND(中間シート!$D47=1,1&lt;中間シート!$J47),中間シート!$J47,"")</f>
        <v/>
      </c>
      <c r="AL153" s="464"/>
      <c r="AM153" s="465"/>
      <c r="AN153" s="466" t="str">
        <f>IF(AND(中間シート!$D47=1,1&lt;中間シート!$J47),中間シート!$J47,"")</f>
        <v/>
      </c>
      <c r="AO153" s="467"/>
      <c r="AP153" s="468" t="str">
        <f>IF(AND(中間シート!$D47=1,1&lt;中間シート!$J47),中間シート!$J47,"")</f>
        <v/>
      </c>
      <c r="AQ153" s="469"/>
      <c r="AR153" s="425" t="str">
        <f>IF(中間シート!$D47=1,IF(中間シート!K47="男","M",IF(中間シート!K47="女","F","")),"")</f>
        <v/>
      </c>
      <c r="AS153" s="425"/>
      <c r="AT153" s="425"/>
      <c r="AU153" s="425"/>
    </row>
    <row r="154" spans="9:47" ht="30" customHeight="1" x14ac:dyDescent="0.15">
      <c r="I154" s="147"/>
      <c r="J154" s="425" t="str">
        <f>IF(中間シート!$D48=1,中間シート!E48,"")</f>
        <v/>
      </c>
      <c r="K154" s="425"/>
      <c r="L154" s="425"/>
      <c r="M154" s="425"/>
      <c r="N154" s="425"/>
      <c r="O154" s="425"/>
      <c r="P154" s="425" t="str">
        <f>IF(中間シート!$D48=1,中間シート!F48&amp;"　"&amp;中間シート!G48,"")</f>
        <v/>
      </c>
      <c r="Q154" s="425"/>
      <c r="R154" s="425"/>
      <c r="S154" s="425"/>
      <c r="T154" s="425"/>
      <c r="U154" s="425"/>
      <c r="V154" s="425"/>
      <c r="W154" s="425"/>
      <c r="X154" s="425"/>
      <c r="Y154" s="425" t="str">
        <f>IF(中間シート!$D48=1,中間シート!H48&amp;"　"&amp;中間シート!I48,"")</f>
        <v/>
      </c>
      <c r="Z154" s="425"/>
      <c r="AA154" s="425"/>
      <c r="AB154" s="425"/>
      <c r="AC154" s="425"/>
      <c r="AD154" s="425"/>
      <c r="AE154" s="425"/>
      <c r="AF154" s="425"/>
      <c r="AG154" s="425"/>
      <c r="AH154" s="425"/>
      <c r="AI154" s="461" t="str">
        <f>IF(AND(中間シート!$D48=1,1&lt;中間シート!$J48),中間シート!$J48,"")</f>
        <v/>
      </c>
      <c r="AJ154" s="462"/>
      <c r="AK154" s="463" t="str">
        <f>IF(AND(中間シート!$D48=1,1&lt;中間シート!$J48),中間シート!$J48,"")</f>
        <v/>
      </c>
      <c r="AL154" s="464"/>
      <c r="AM154" s="465"/>
      <c r="AN154" s="466" t="str">
        <f>IF(AND(中間シート!$D48=1,1&lt;中間シート!$J48),中間シート!$J48,"")</f>
        <v/>
      </c>
      <c r="AO154" s="467"/>
      <c r="AP154" s="468" t="str">
        <f>IF(AND(中間シート!$D48=1,1&lt;中間シート!$J48),中間シート!$J48,"")</f>
        <v/>
      </c>
      <c r="AQ154" s="469"/>
      <c r="AR154" s="425" t="str">
        <f>IF(中間シート!$D48=1,IF(中間シート!K48="男","M",IF(中間シート!K48="女","F","")),"")</f>
        <v/>
      </c>
      <c r="AS154" s="425"/>
      <c r="AT154" s="425"/>
      <c r="AU154" s="425"/>
    </row>
    <row r="155" spans="9:47" ht="30" customHeight="1" x14ac:dyDescent="0.15">
      <c r="I155" s="147"/>
      <c r="J155" s="425" t="str">
        <f>IF(中間シート!$D49=1,中間シート!E49,"")</f>
        <v/>
      </c>
      <c r="K155" s="425"/>
      <c r="L155" s="425"/>
      <c r="M155" s="425"/>
      <c r="N155" s="425"/>
      <c r="O155" s="425"/>
      <c r="P155" s="425" t="str">
        <f>IF(中間シート!$D49=1,中間シート!F49&amp;"　"&amp;中間シート!G49,"")</f>
        <v/>
      </c>
      <c r="Q155" s="425"/>
      <c r="R155" s="425"/>
      <c r="S155" s="425"/>
      <c r="T155" s="425"/>
      <c r="U155" s="425"/>
      <c r="V155" s="425"/>
      <c r="W155" s="425"/>
      <c r="X155" s="425"/>
      <c r="Y155" s="425" t="str">
        <f>IF(中間シート!$D49=1,中間シート!H49&amp;"　"&amp;中間シート!I49,"")</f>
        <v/>
      </c>
      <c r="Z155" s="425"/>
      <c r="AA155" s="425"/>
      <c r="AB155" s="425"/>
      <c r="AC155" s="425"/>
      <c r="AD155" s="425"/>
      <c r="AE155" s="425"/>
      <c r="AF155" s="425"/>
      <c r="AG155" s="425"/>
      <c r="AH155" s="425"/>
      <c r="AI155" s="461" t="str">
        <f>IF(AND(中間シート!$D49=1,1&lt;中間シート!$J49),中間シート!$J49,"")</f>
        <v/>
      </c>
      <c r="AJ155" s="462"/>
      <c r="AK155" s="463" t="str">
        <f>IF(AND(中間シート!$D49=1,1&lt;中間シート!$J49),中間シート!$J49,"")</f>
        <v/>
      </c>
      <c r="AL155" s="464"/>
      <c r="AM155" s="465"/>
      <c r="AN155" s="466" t="str">
        <f>IF(AND(中間シート!$D49=1,1&lt;中間シート!$J49),中間シート!$J49,"")</f>
        <v/>
      </c>
      <c r="AO155" s="467"/>
      <c r="AP155" s="468" t="str">
        <f>IF(AND(中間シート!$D49=1,1&lt;中間シート!$J49),中間シート!$J49,"")</f>
        <v/>
      </c>
      <c r="AQ155" s="469"/>
      <c r="AR155" s="425" t="str">
        <f>IF(中間シート!$D49=1,IF(中間シート!K49="男","M",IF(中間シート!K49="女","F","")),"")</f>
        <v/>
      </c>
      <c r="AS155" s="425"/>
      <c r="AT155" s="425"/>
      <c r="AU155" s="425"/>
    </row>
    <row r="156" spans="9:47" ht="30" customHeight="1" x14ac:dyDescent="0.15">
      <c r="I156" s="147"/>
      <c r="J156" s="425" t="str">
        <f>IF(中間シート!$D50=1,中間シート!E50,"")</f>
        <v/>
      </c>
      <c r="K156" s="425"/>
      <c r="L156" s="425"/>
      <c r="M156" s="425"/>
      <c r="N156" s="425"/>
      <c r="O156" s="425"/>
      <c r="P156" s="425" t="str">
        <f>IF(中間シート!$D50=1,中間シート!F50&amp;"　"&amp;中間シート!G50,"")</f>
        <v/>
      </c>
      <c r="Q156" s="425"/>
      <c r="R156" s="425"/>
      <c r="S156" s="425"/>
      <c r="T156" s="425"/>
      <c r="U156" s="425"/>
      <c r="V156" s="425"/>
      <c r="W156" s="425"/>
      <c r="X156" s="425"/>
      <c r="Y156" s="425" t="str">
        <f>IF(中間シート!$D50=1,中間シート!H50&amp;"　"&amp;中間シート!I50,"")</f>
        <v/>
      </c>
      <c r="Z156" s="425"/>
      <c r="AA156" s="425"/>
      <c r="AB156" s="425"/>
      <c r="AC156" s="425"/>
      <c r="AD156" s="425"/>
      <c r="AE156" s="425"/>
      <c r="AF156" s="425"/>
      <c r="AG156" s="425"/>
      <c r="AH156" s="425"/>
      <c r="AI156" s="461" t="str">
        <f>IF(AND(中間シート!$D50=1,1&lt;中間シート!$J50),中間シート!$J50,"")</f>
        <v/>
      </c>
      <c r="AJ156" s="462"/>
      <c r="AK156" s="463" t="str">
        <f>IF(AND(中間シート!$D50=1,1&lt;中間シート!$J50),中間シート!$J50,"")</f>
        <v/>
      </c>
      <c r="AL156" s="464"/>
      <c r="AM156" s="465"/>
      <c r="AN156" s="466" t="str">
        <f>IF(AND(中間シート!$D50=1,1&lt;中間シート!$J50),中間シート!$J50,"")</f>
        <v/>
      </c>
      <c r="AO156" s="467"/>
      <c r="AP156" s="468" t="str">
        <f>IF(AND(中間シート!$D50=1,1&lt;中間シート!$J50),中間シート!$J50,"")</f>
        <v/>
      </c>
      <c r="AQ156" s="469"/>
      <c r="AR156" s="425" t="str">
        <f>IF(中間シート!$D50=1,IF(中間シート!K50="男","M",IF(中間シート!K50="女","F","")),"")</f>
        <v/>
      </c>
      <c r="AS156" s="425"/>
      <c r="AT156" s="425"/>
      <c r="AU156" s="425"/>
    </row>
    <row r="157" spans="9:47" ht="30" customHeight="1" x14ac:dyDescent="0.15">
      <c r="I157" s="147"/>
      <c r="J157" s="425" t="str">
        <f>IF(中間シート!$D51=1,中間シート!E51,"")</f>
        <v/>
      </c>
      <c r="K157" s="425"/>
      <c r="L157" s="425"/>
      <c r="M157" s="425"/>
      <c r="N157" s="425"/>
      <c r="O157" s="425"/>
      <c r="P157" s="425" t="str">
        <f>IF(中間シート!$D51=1,中間シート!F51&amp;"　"&amp;中間シート!G51,"")</f>
        <v/>
      </c>
      <c r="Q157" s="425"/>
      <c r="R157" s="425"/>
      <c r="S157" s="425"/>
      <c r="T157" s="425"/>
      <c r="U157" s="425"/>
      <c r="V157" s="425"/>
      <c r="W157" s="425"/>
      <c r="X157" s="425"/>
      <c r="Y157" s="425" t="str">
        <f>IF(中間シート!$D51=1,中間シート!H51&amp;"　"&amp;中間シート!I51,"")</f>
        <v/>
      </c>
      <c r="Z157" s="425"/>
      <c r="AA157" s="425"/>
      <c r="AB157" s="425"/>
      <c r="AC157" s="425"/>
      <c r="AD157" s="425"/>
      <c r="AE157" s="425"/>
      <c r="AF157" s="425"/>
      <c r="AG157" s="425"/>
      <c r="AH157" s="425"/>
      <c r="AI157" s="461" t="str">
        <f>IF(AND(中間シート!$D51=1,1&lt;中間シート!$J51),中間シート!$J51,"")</f>
        <v/>
      </c>
      <c r="AJ157" s="462"/>
      <c r="AK157" s="463" t="str">
        <f>IF(AND(中間シート!$D51=1,1&lt;中間シート!$J51),中間シート!$J51,"")</f>
        <v/>
      </c>
      <c r="AL157" s="464"/>
      <c r="AM157" s="465"/>
      <c r="AN157" s="466" t="str">
        <f>IF(AND(中間シート!$D51=1,1&lt;中間シート!$J51),中間シート!$J51,"")</f>
        <v/>
      </c>
      <c r="AO157" s="467"/>
      <c r="AP157" s="468" t="str">
        <f>IF(AND(中間シート!$D51=1,1&lt;中間シート!$J51),中間シート!$J51,"")</f>
        <v/>
      </c>
      <c r="AQ157" s="469"/>
      <c r="AR157" s="425" t="str">
        <f>IF(中間シート!$D51=1,IF(中間シート!K51="男","M",IF(中間シート!K51="女","F","")),"")</f>
        <v/>
      </c>
      <c r="AS157" s="425"/>
      <c r="AT157" s="425"/>
      <c r="AU157" s="425"/>
    </row>
    <row r="158" spans="9:47" ht="30" customHeight="1" x14ac:dyDescent="0.15">
      <c r="I158" s="147"/>
      <c r="J158" s="425" t="str">
        <f>IF(中間シート!$D52=1,中間シート!E52,"")</f>
        <v/>
      </c>
      <c r="K158" s="425"/>
      <c r="L158" s="425"/>
      <c r="M158" s="425"/>
      <c r="N158" s="425"/>
      <c r="O158" s="425"/>
      <c r="P158" s="425" t="str">
        <f>IF(中間シート!$D52=1,中間シート!F52&amp;"　"&amp;中間シート!G52,"")</f>
        <v/>
      </c>
      <c r="Q158" s="425"/>
      <c r="R158" s="425"/>
      <c r="S158" s="425"/>
      <c r="T158" s="425"/>
      <c r="U158" s="425"/>
      <c r="V158" s="425"/>
      <c r="W158" s="425"/>
      <c r="X158" s="425"/>
      <c r="Y158" s="425" t="str">
        <f>IF(中間シート!$D52=1,中間シート!H52&amp;"　"&amp;中間シート!I52,"")</f>
        <v/>
      </c>
      <c r="Z158" s="425"/>
      <c r="AA158" s="425"/>
      <c r="AB158" s="425"/>
      <c r="AC158" s="425"/>
      <c r="AD158" s="425"/>
      <c r="AE158" s="425"/>
      <c r="AF158" s="425"/>
      <c r="AG158" s="425"/>
      <c r="AH158" s="425"/>
      <c r="AI158" s="461" t="str">
        <f>IF(AND(中間シート!$D52=1,1&lt;中間シート!$J52),中間シート!$J52,"")</f>
        <v/>
      </c>
      <c r="AJ158" s="462"/>
      <c r="AK158" s="463" t="str">
        <f>IF(AND(中間シート!$D52=1,1&lt;中間シート!$J52),中間シート!$J52,"")</f>
        <v/>
      </c>
      <c r="AL158" s="464"/>
      <c r="AM158" s="465"/>
      <c r="AN158" s="466" t="str">
        <f>IF(AND(中間シート!$D52=1,1&lt;中間シート!$J52),中間シート!$J52,"")</f>
        <v/>
      </c>
      <c r="AO158" s="467"/>
      <c r="AP158" s="468" t="str">
        <f>IF(AND(中間シート!$D52=1,1&lt;中間シート!$J52),中間シート!$J52,"")</f>
        <v/>
      </c>
      <c r="AQ158" s="469"/>
      <c r="AR158" s="425" t="str">
        <f>IF(中間シート!$D52=1,IF(中間シート!K52="男","M",IF(中間シート!K52="女","F","")),"")</f>
        <v/>
      </c>
      <c r="AS158" s="425"/>
      <c r="AT158" s="425"/>
      <c r="AU158" s="425"/>
    </row>
    <row r="159" spans="9:47" ht="30" customHeight="1" x14ac:dyDescent="0.15">
      <c r="I159" s="147"/>
      <c r="J159" s="425" t="str">
        <f>IF(中間シート!$D53=1,中間シート!E53,"")</f>
        <v/>
      </c>
      <c r="K159" s="425"/>
      <c r="L159" s="425"/>
      <c r="M159" s="425"/>
      <c r="N159" s="425"/>
      <c r="O159" s="425"/>
      <c r="P159" s="425" t="str">
        <f>IF(中間シート!$D53=1,中間シート!F53&amp;"　"&amp;中間シート!G53,"")</f>
        <v/>
      </c>
      <c r="Q159" s="425"/>
      <c r="R159" s="425"/>
      <c r="S159" s="425"/>
      <c r="T159" s="425"/>
      <c r="U159" s="425"/>
      <c r="V159" s="425"/>
      <c r="W159" s="425"/>
      <c r="X159" s="425"/>
      <c r="Y159" s="425" t="str">
        <f>IF(中間シート!$D53=1,中間シート!H53&amp;"　"&amp;中間シート!I53,"")</f>
        <v/>
      </c>
      <c r="Z159" s="425"/>
      <c r="AA159" s="425"/>
      <c r="AB159" s="425"/>
      <c r="AC159" s="425"/>
      <c r="AD159" s="425"/>
      <c r="AE159" s="425"/>
      <c r="AF159" s="425"/>
      <c r="AG159" s="425"/>
      <c r="AH159" s="425"/>
      <c r="AI159" s="461" t="str">
        <f>IF(AND(中間シート!$D53=1,1&lt;中間シート!$J53),中間シート!$J53,"")</f>
        <v/>
      </c>
      <c r="AJ159" s="462"/>
      <c r="AK159" s="463" t="str">
        <f>IF(AND(中間シート!$D53=1,1&lt;中間シート!$J53),中間シート!$J53,"")</f>
        <v/>
      </c>
      <c r="AL159" s="464"/>
      <c r="AM159" s="465"/>
      <c r="AN159" s="466" t="str">
        <f>IF(AND(中間シート!$D53=1,1&lt;中間シート!$J53),中間シート!$J53,"")</f>
        <v/>
      </c>
      <c r="AO159" s="467"/>
      <c r="AP159" s="468" t="str">
        <f>IF(AND(中間シート!$D53=1,1&lt;中間シート!$J53),中間シート!$J53,"")</f>
        <v/>
      </c>
      <c r="AQ159" s="469"/>
      <c r="AR159" s="425" t="str">
        <f>IF(中間シート!$D53=1,IF(中間シート!K53="男","M",IF(中間シート!K53="女","F","")),"")</f>
        <v/>
      </c>
      <c r="AS159" s="425"/>
      <c r="AT159" s="425"/>
      <c r="AU159" s="425"/>
    </row>
    <row r="160" spans="9:47" ht="30" customHeight="1" x14ac:dyDescent="0.15">
      <c r="I160" s="147"/>
      <c r="J160" s="425" t="str">
        <f>IF(中間シート!$D54=1,中間シート!E54,"")</f>
        <v/>
      </c>
      <c r="K160" s="425"/>
      <c r="L160" s="425"/>
      <c r="M160" s="425"/>
      <c r="N160" s="425"/>
      <c r="O160" s="425"/>
      <c r="P160" s="425" t="str">
        <f>IF(中間シート!$D54=1,中間シート!F54&amp;"　"&amp;中間シート!G54,"")</f>
        <v/>
      </c>
      <c r="Q160" s="425"/>
      <c r="R160" s="425"/>
      <c r="S160" s="425"/>
      <c r="T160" s="425"/>
      <c r="U160" s="425"/>
      <c r="V160" s="425"/>
      <c r="W160" s="425"/>
      <c r="X160" s="425"/>
      <c r="Y160" s="425" t="str">
        <f>IF(中間シート!$D54=1,中間シート!H54&amp;"　"&amp;中間シート!I54,"")</f>
        <v/>
      </c>
      <c r="Z160" s="425"/>
      <c r="AA160" s="425"/>
      <c r="AB160" s="425"/>
      <c r="AC160" s="425"/>
      <c r="AD160" s="425"/>
      <c r="AE160" s="425"/>
      <c r="AF160" s="425"/>
      <c r="AG160" s="425"/>
      <c r="AH160" s="425"/>
      <c r="AI160" s="461" t="str">
        <f>IF(AND(中間シート!$D54=1,1&lt;中間シート!$J54),中間シート!$J54,"")</f>
        <v/>
      </c>
      <c r="AJ160" s="462"/>
      <c r="AK160" s="463" t="str">
        <f>IF(AND(中間シート!$D54=1,1&lt;中間シート!$J54),中間シート!$J54,"")</f>
        <v/>
      </c>
      <c r="AL160" s="464"/>
      <c r="AM160" s="465"/>
      <c r="AN160" s="466" t="str">
        <f>IF(AND(中間シート!$D54=1,1&lt;中間シート!$J54),中間シート!$J54,"")</f>
        <v/>
      </c>
      <c r="AO160" s="467"/>
      <c r="AP160" s="468" t="str">
        <f>IF(AND(中間シート!$D54=1,1&lt;中間シート!$J54),中間シート!$J54,"")</f>
        <v/>
      </c>
      <c r="AQ160" s="469"/>
      <c r="AR160" s="425" t="str">
        <f>IF(中間シート!$D54=1,IF(中間シート!K54="男","M",IF(中間シート!K54="女","F","")),"")</f>
        <v/>
      </c>
      <c r="AS160" s="425"/>
      <c r="AT160" s="425"/>
      <c r="AU160" s="425"/>
    </row>
    <row r="161" spans="9:47" ht="30" customHeight="1" x14ac:dyDescent="0.15">
      <c r="I161" s="147"/>
      <c r="J161" s="425" t="str">
        <f>IF(中間シート!$D55=1,中間シート!E55,"")</f>
        <v/>
      </c>
      <c r="K161" s="425"/>
      <c r="L161" s="425"/>
      <c r="M161" s="425"/>
      <c r="N161" s="425"/>
      <c r="O161" s="425"/>
      <c r="P161" s="425" t="str">
        <f>IF(中間シート!$D55=1,中間シート!F55&amp;"　"&amp;中間シート!G55,"")</f>
        <v/>
      </c>
      <c r="Q161" s="425"/>
      <c r="R161" s="425"/>
      <c r="S161" s="425"/>
      <c r="T161" s="425"/>
      <c r="U161" s="425"/>
      <c r="V161" s="425"/>
      <c r="W161" s="425"/>
      <c r="X161" s="425"/>
      <c r="Y161" s="425" t="str">
        <f>IF(中間シート!$D55=1,中間シート!H55&amp;"　"&amp;中間シート!I55,"")</f>
        <v/>
      </c>
      <c r="Z161" s="425"/>
      <c r="AA161" s="425"/>
      <c r="AB161" s="425"/>
      <c r="AC161" s="425"/>
      <c r="AD161" s="425"/>
      <c r="AE161" s="425"/>
      <c r="AF161" s="425"/>
      <c r="AG161" s="425"/>
      <c r="AH161" s="425"/>
      <c r="AI161" s="461" t="str">
        <f>IF(AND(中間シート!$D55=1,1&lt;中間シート!$J55),中間シート!$J55,"")</f>
        <v/>
      </c>
      <c r="AJ161" s="462"/>
      <c r="AK161" s="463" t="str">
        <f>IF(AND(中間シート!$D55=1,1&lt;中間シート!$J55),中間シート!$J55,"")</f>
        <v/>
      </c>
      <c r="AL161" s="464"/>
      <c r="AM161" s="465"/>
      <c r="AN161" s="466" t="str">
        <f>IF(AND(中間シート!$D55=1,1&lt;中間シート!$J55),中間シート!$J55,"")</f>
        <v/>
      </c>
      <c r="AO161" s="467"/>
      <c r="AP161" s="468" t="str">
        <f>IF(AND(中間シート!$D55=1,1&lt;中間シート!$J55),中間シート!$J55,"")</f>
        <v/>
      </c>
      <c r="AQ161" s="469"/>
      <c r="AR161" s="425" t="str">
        <f>IF(中間シート!$D55=1,IF(中間シート!K55="男","M",IF(中間シート!K55="女","F","")),"")</f>
        <v/>
      </c>
      <c r="AS161" s="425"/>
      <c r="AT161" s="425"/>
      <c r="AU161" s="425"/>
    </row>
    <row r="162" spans="9:47" ht="30" customHeight="1" x14ac:dyDescent="0.15">
      <c r="I162" s="147"/>
      <c r="J162" s="425" t="str">
        <f>IF(中間シート!$D56=1,中間シート!E56,"")</f>
        <v/>
      </c>
      <c r="K162" s="425"/>
      <c r="L162" s="425"/>
      <c r="M162" s="425"/>
      <c r="N162" s="425"/>
      <c r="O162" s="425"/>
      <c r="P162" s="425" t="str">
        <f>IF(中間シート!$D56=1,中間シート!F56&amp;"　"&amp;中間シート!G56,"")</f>
        <v/>
      </c>
      <c r="Q162" s="425"/>
      <c r="R162" s="425"/>
      <c r="S162" s="425"/>
      <c r="T162" s="425"/>
      <c r="U162" s="425"/>
      <c r="V162" s="425"/>
      <c r="W162" s="425"/>
      <c r="X162" s="425"/>
      <c r="Y162" s="425" t="str">
        <f>IF(中間シート!$D56=1,中間シート!H56&amp;"　"&amp;中間シート!I56,"")</f>
        <v/>
      </c>
      <c r="Z162" s="425"/>
      <c r="AA162" s="425"/>
      <c r="AB162" s="425"/>
      <c r="AC162" s="425"/>
      <c r="AD162" s="425"/>
      <c r="AE162" s="425"/>
      <c r="AF162" s="425"/>
      <c r="AG162" s="425"/>
      <c r="AH162" s="425"/>
      <c r="AI162" s="461" t="str">
        <f>IF(AND(中間シート!$D56=1,1&lt;中間シート!$J56),中間シート!$J56,"")</f>
        <v/>
      </c>
      <c r="AJ162" s="462"/>
      <c r="AK162" s="463" t="str">
        <f>IF(AND(中間シート!$D56=1,1&lt;中間シート!$J56),中間シート!$J56,"")</f>
        <v/>
      </c>
      <c r="AL162" s="464"/>
      <c r="AM162" s="465"/>
      <c r="AN162" s="466" t="str">
        <f>IF(AND(中間シート!$D56=1,1&lt;中間シート!$J56),中間シート!$J56,"")</f>
        <v/>
      </c>
      <c r="AO162" s="467"/>
      <c r="AP162" s="468" t="str">
        <f>IF(AND(中間シート!$D56=1,1&lt;中間シート!$J56),中間シート!$J56,"")</f>
        <v/>
      </c>
      <c r="AQ162" s="469"/>
      <c r="AR162" s="425" t="str">
        <f>IF(中間シート!$D56=1,IF(中間シート!K56="男","M",IF(中間シート!K56="女","F","")),"")</f>
        <v/>
      </c>
      <c r="AS162" s="425"/>
      <c r="AT162" s="425"/>
      <c r="AU162" s="425"/>
    </row>
    <row r="163" spans="9:47" ht="30" customHeight="1" x14ac:dyDescent="0.15">
      <c r="I163" s="147"/>
      <c r="J163" s="425" t="str">
        <f>IF(中間シート!$D57=1,中間シート!E57,"")</f>
        <v/>
      </c>
      <c r="K163" s="425"/>
      <c r="L163" s="425"/>
      <c r="M163" s="425"/>
      <c r="N163" s="425"/>
      <c r="O163" s="425"/>
      <c r="P163" s="425" t="str">
        <f>IF(中間シート!$D57=1,中間シート!F57&amp;"　"&amp;中間シート!G57,"")</f>
        <v/>
      </c>
      <c r="Q163" s="425"/>
      <c r="R163" s="425"/>
      <c r="S163" s="425"/>
      <c r="T163" s="425"/>
      <c r="U163" s="425"/>
      <c r="V163" s="425"/>
      <c r="W163" s="425"/>
      <c r="X163" s="425"/>
      <c r="Y163" s="425" t="str">
        <f>IF(中間シート!$D57=1,中間シート!H57&amp;"　"&amp;中間シート!I57,"")</f>
        <v/>
      </c>
      <c r="Z163" s="425"/>
      <c r="AA163" s="425"/>
      <c r="AB163" s="425"/>
      <c r="AC163" s="425"/>
      <c r="AD163" s="425"/>
      <c r="AE163" s="425"/>
      <c r="AF163" s="425"/>
      <c r="AG163" s="425"/>
      <c r="AH163" s="425"/>
      <c r="AI163" s="461" t="str">
        <f>IF(AND(中間シート!$D57=1,1&lt;中間シート!$J57),中間シート!$J57,"")</f>
        <v/>
      </c>
      <c r="AJ163" s="462"/>
      <c r="AK163" s="463" t="str">
        <f>IF(AND(中間シート!$D57=1,1&lt;中間シート!$J57),中間シート!$J57,"")</f>
        <v/>
      </c>
      <c r="AL163" s="464"/>
      <c r="AM163" s="465"/>
      <c r="AN163" s="466" t="str">
        <f>IF(AND(中間シート!$D57=1,1&lt;中間シート!$J57),中間シート!$J57,"")</f>
        <v/>
      </c>
      <c r="AO163" s="467"/>
      <c r="AP163" s="468" t="str">
        <f>IF(AND(中間シート!$D57=1,1&lt;中間シート!$J57),中間シート!$J57,"")</f>
        <v/>
      </c>
      <c r="AQ163" s="469"/>
      <c r="AR163" s="425" t="str">
        <f>IF(中間シート!$D57=1,IF(中間シート!K57="男","M",IF(中間シート!K57="女","F","")),"")</f>
        <v/>
      </c>
      <c r="AS163" s="425"/>
      <c r="AT163" s="425"/>
      <c r="AU163" s="425"/>
    </row>
    <row r="165" spans="9:47" x14ac:dyDescent="0.15">
      <c r="J165" s="140" t="s">
        <v>292</v>
      </c>
      <c r="L165" s="411" t="s">
        <v>320</v>
      </c>
      <c r="M165" s="411"/>
      <c r="N165" s="411"/>
      <c r="O165" s="411"/>
      <c r="P165" s="411"/>
      <c r="Q165" s="411"/>
      <c r="R165" s="411"/>
      <c r="S165" s="411"/>
      <c r="T165" s="411"/>
      <c r="U165" s="411"/>
      <c r="V165" s="411"/>
      <c r="W165" s="411"/>
      <c r="X165" s="411"/>
      <c r="Y165" s="411"/>
      <c r="Z165" s="411"/>
      <c r="AA165" s="411"/>
      <c r="AB165" s="411"/>
      <c r="AC165" s="411"/>
      <c r="AD165" s="411"/>
      <c r="AE165" s="411"/>
      <c r="AF165" s="411"/>
      <c r="AG165" s="411"/>
      <c r="AH165" s="411"/>
      <c r="AI165" s="411"/>
      <c r="AJ165" s="411"/>
      <c r="AK165" s="411"/>
      <c r="AL165" s="411"/>
      <c r="AM165" s="411"/>
      <c r="AN165" s="411"/>
      <c r="AO165" s="411"/>
      <c r="AP165" s="411"/>
      <c r="AQ165" s="411"/>
      <c r="AR165" s="411"/>
      <c r="AS165" s="411"/>
      <c r="AT165" s="411"/>
      <c r="AU165" s="411"/>
    </row>
    <row r="166" spans="9:47" x14ac:dyDescent="0.15">
      <c r="L166" s="411"/>
      <c r="M166" s="411"/>
      <c r="N166" s="411"/>
      <c r="O166" s="411"/>
      <c r="P166" s="411"/>
      <c r="Q166" s="411"/>
      <c r="R166" s="411"/>
      <c r="S166" s="411"/>
      <c r="T166" s="411"/>
      <c r="U166" s="411"/>
      <c r="V166" s="411"/>
      <c r="W166" s="411"/>
      <c r="X166" s="411"/>
      <c r="Y166" s="411"/>
      <c r="Z166" s="411"/>
      <c r="AA166" s="411"/>
      <c r="AB166" s="411"/>
      <c r="AC166" s="411"/>
      <c r="AD166" s="411"/>
      <c r="AE166" s="411"/>
      <c r="AF166" s="411"/>
      <c r="AG166" s="411"/>
      <c r="AH166" s="411"/>
      <c r="AI166" s="411"/>
      <c r="AJ166" s="411"/>
      <c r="AK166" s="411"/>
      <c r="AL166" s="411"/>
      <c r="AM166" s="411"/>
      <c r="AN166" s="411"/>
      <c r="AO166" s="411"/>
      <c r="AP166" s="411"/>
      <c r="AQ166" s="411"/>
      <c r="AR166" s="411"/>
      <c r="AS166" s="411"/>
      <c r="AT166" s="411"/>
      <c r="AU166" s="411"/>
    </row>
    <row r="167" spans="9:47" x14ac:dyDescent="0.15">
      <c r="L167" s="411"/>
      <c r="M167" s="411"/>
      <c r="N167" s="411"/>
      <c r="O167" s="411"/>
      <c r="P167" s="411"/>
      <c r="Q167" s="411"/>
      <c r="R167" s="411"/>
      <c r="S167" s="411"/>
      <c r="T167" s="411"/>
      <c r="U167" s="411"/>
      <c r="V167" s="411"/>
      <c r="W167" s="411"/>
      <c r="X167" s="411"/>
      <c r="Y167" s="411"/>
      <c r="Z167" s="411"/>
      <c r="AA167" s="411"/>
      <c r="AB167" s="411"/>
      <c r="AC167" s="411"/>
      <c r="AD167" s="411"/>
      <c r="AE167" s="411"/>
      <c r="AF167" s="411"/>
      <c r="AG167" s="411"/>
      <c r="AH167" s="411"/>
      <c r="AI167" s="411"/>
      <c r="AJ167" s="411"/>
      <c r="AK167" s="411"/>
      <c r="AL167" s="411"/>
      <c r="AM167" s="411"/>
      <c r="AN167" s="411"/>
      <c r="AO167" s="411"/>
      <c r="AP167" s="411"/>
      <c r="AQ167" s="411"/>
      <c r="AR167" s="411"/>
      <c r="AS167" s="411"/>
      <c r="AT167" s="411"/>
      <c r="AU167" s="411"/>
    </row>
    <row r="168" spans="9:47" x14ac:dyDescent="0.15">
      <c r="L168" s="411"/>
      <c r="M168" s="411"/>
      <c r="N168" s="411"/>
      <c r="O168" s="411"/>
      <c r="P168" s="411"/>
      <c r="Q168" s="411"/>
      <c r="R168" s="411"/>
      <c r="S168" s="411"/>
      <c r="T168" s="411"/>
      <c r="U168" s="411"/>
      <c r="V168" s="411"/>
      <c r="W168" s="411"/>
      <c r="X168" s="411"/>
      <c r="Y168" s="411"/>
      <c r="Z168" s="411"/>
      <c r="AA168" s="411"/>
      <c r="AB168" s="411"/>
      <c r="AC168" s="411"/>
      <c r="AD168" s="411"/>
      <c r="AE168" s="411"/>
      <c r="AF168" s="411"/>
      <c r="AG168" s="411"/>
      <c r="AH168" s="411"/>
      <c r="AI168" s="411"/>
      <c r="AJ168" s="411"/>
      <c r="AK168" s="411"/>
      <c r="AL168" s="411"/>
      <c r="AM168" s="411"/>
      <c r="AN168" s="411"/>
      <c r="AO168" s="411"/>
      <c r="AP168" s="411"/>
      <c r="AQ168" s="411"/>
      <c r="AR168" s="411"/>
      <c r="AS168" s="411"/>
      <c r="AT168" s="411"/>
      <c r="AU168" s="411"/>
    </row>
    <row r="169" spans="9:47" x14ac:dyDescent="0.15">
      <c r="L169" s="411"/>
      <c r="M169" s="411"/>
      <c r="N169" s="411"/>
      <c r="O169" s="411"/>
      <c r="P169" s="411"/>
      <c r="Q169" s="411"/>
      <c r="R169" s="411"/>
      <c r="S169" s="411"/>
      <c r="T169" s="411"/>
      <c r="U169" s="411"/>
      <c r="V169" s="411"/>
      <c r="W169" s="411"/>
      <c r="X169" s="411"/>
      <c r="Y169" s="411"/>
      <c r="Z169" s="411"/>
      <c r="AA169" s="411"/>
      <c r="AB169" s="411"/>
      <c r="AC169" s="411"/>
      <c r="AD169" s="411"/>
      <c r="AE169" s="411"/>
      <c r="AF169" s="411"/>
      <c r="AG169" s="411"/>
      <c r="AH169" s="411"/>
      <c r="AI169" s="411"/>
      <c r="AJ169" s="411"/>
      <c r="AK169" s="411"/>
      <c r="AL169" s="411"/>
      <c r="AM169" s="411"/>
      <c r="AN169" s="411"/>
      <c r="AO169" s="411"/>
      <c r="AP169" s="411"/>
      <c r="AQ169" s="411"/>
      <c r="AR169" s="411"/>
      <c r="AS169" s="411"/>
      <c r="AT169" s="411"/>
      <c r="AU169" s="411"/>
    </row>
    <row r="170" spans="9:47" x14ac:dyDescent="0.15">
      <c r="L170" s="411"/>
      <c r="M170" s="411"/>
      <c r="N170" s="411"/>
      <c r="O170" s="411"/>
      <c r="P170" s="411"/>
      <c r="Q170" s="411"/>
      <c r="R170" s="411"/>
      <c r="S170" s="411"/>
      <c r="T170" s="411"/>
      <c r="U170" s="411"/>
      <c r="V170" s="411"/>
      <c r="W170" s="411"/>
      <c r="X170" s="411"/>
      <c r="Y170" s="411"/>
      <c r="Z170" s="411"/>
      <c r="AA170" s="411"/>
      <c r="AB170" s="411"/>
      <c r="AC170" s="411"/>
      <c r="AD170" s="411"/>
      <c r="AE170" s="411"/>
      <c r="AF170" s="411"/>
      <c r="AG170" s="411"/>
      <c r="AH170" s="411"/>
      <c r="AI170" s="411"/>
      <c r="AJ170" s="411"/>
      <c r="AK170" s="411"/>
      <c r="AL170" s="411"/>
      <c r="AM170" s="411"/>
      <c r="AN170" s="411"/>
      <c r="AO170" s="411"/>
      <c r="AP170" s="411"/>
      <c r="AQ170" s="411"/>
      <c r="AR170" s="411"/>
      <c r="AS170" s="411"/>
      <c r="AT170" s="411"/>
      <c r="AU170" s="411"/>
    </row>
  </sheetData>
  <sheetProtection algorithmName="SHA-512" hashValue="57luGM9aKgmLLDLcOuCL0thAsdmURUmC7Has7sE67P30LVb/f7ZQTREZ8wofTOV14RwQYct31Vnin0KKcWfsqw==" saltValue="vcH7BJY3NyrLAWpfi+UyUg==" spinCount="100000" sheet="1" objects="1" scenarios="1" selectLockedCells="1" selectUnlockedCells="1"/>
  <mergeCells count="566">
    <mergeCell ref="AP163:AQ163"/>
    <mergeCell ref="AR163:AU163"/>
    <mergeCell ref="L165:AU170"/>
    <mergeCell ref="J163:O163"/>
    <mergeCell ref="P163:X163"/>
    <mergeCell ref="Y163:AH163"/>
    <mergeCell ref="AI163:AJ163"/>
    <mergeCell ref="AK163:AM163"/>
    <mergeCell ref="AN163:AO163"/>
    <mergeCell ref="AP161:AQ161"/>
    <mergeCell ref="AR161:AU161"/>
    <mergeCell ref="J162:O162"/>
    <mergeCell ref="P162:X162"/>
    <mergeCell ref="Y162:AH162"/>
    <mergeCell ref="AI162:AJ162"/>
    <mergeCell ref="AK162:AM162"/>
    <mergeCell ref="AN162:AO162"/>
    <mergeCell ref="AP162:AQ162"/>
    <mergeCell ref="AR162:AU162"/>
    <mergeCell ref="J161:O161"/>
    <mergeCell ref="P161:X161"/>
    <mergeCell ref="Y161:AH161"/>
    <mergeCell ref="AI161:AJ161"/>
    <mergeCell ref="AK161:AM161"/>
    <mergeCell ref="AN161:AO161"/>
    <mergeCell ref="AP159:AQ159"/>
    <mergeCell ref="AR159:AU159"/>
    <mergeCell ref="J160:O160"/>
    <mergeCell ref="P160:X160"/>
    <mergeCell ref="Y160:AH160"/>
    <mergeCell ref="AI160:AJ160"/>
    <mergeCell ref="AK160:AM160"/>
    <mergeCell ref="AN160:AO160"/>
    <mergeCell ref="AP160:AQ160"/>
    <mergeCell ref="AR160:AU160"/>
    <mergeCell ref="J159:O159"/>
    <mergeCell ref="P159:X159"/>
    <mergeCell ref="Y159:AH159"/>
    <mergeCell ref="AI159:AJ159"/>
    <mergeCell ref="AK159:AM159"/>
    <mergeCell ref="AN159:AO159"/>
    <mergeCell ref="AP157:AQ157"/>
    <mergeCell ref="AR157:AU157"/>
    <mergeCell ref="J158:O158"/>
    <mergeCell ref="P158:X158"/>
    <mergeCell ref="Y158:AH158"/>
    <mergeCell ref="AI158:AJ158"/>
    <mergeCell ref="AK158:AM158"/>
    <mergeCell ref="AN158:AO158"/>
    <mergeCell ref="AP158:AQ158"/>
    <mergeCell ref="AR158:AU158"/>
    <mergeCell ref="J157:O157"/>
    <mergeCell ref="P157:X157"/>
    <mergeCell ref="Y157:AH157"/>
    <mergeCell ref="AI157:AJ157"/>
    <mergeCell ref="AK157:AM157"/>
    <mergeCell ref="AN157:AO157"/>
    <mergeCell ref="AP155:AQ155"/>
    <mergeCell ref="AR155:AU155"/>
    <mergeCell ref="J156:O156"/>
    <mergeCell ref="P156:X156"/>
    <mergeCell ref="Y156:AH156"/>
    <mergeCell ref="AI156:AJ156"/>
    <mergeCell ref="AK156:AM156"/>
    <mergeCell ref="AN156:AO156"/>
    <mergeCell ref="AP156:AQ156"/>
    <mergeCell ref="AR156:AU156"/>
    <mergeCell ref="J155:O155"/>
    <mergeCell ref="P155:X155"/>
    <mergeCell ref="Y155:AH155"/>
    <mergeCell ref="AI155:AJ155"/>
    <mergeCell ref="AK155:AM155"/>
    <mergeCell ref="AN155:AO155"/>
    <mergeCell ref="AP153:AQ153"/>
    <mergeCell ref="AR153:AU153"/>
    <mergeCell ref="J154:O154"/>
    <mergeCell ref="P154:X154"/>
    <mergeCell ref="Y154:AH154"/>
    <mergeCell ref="AI154:AJ154"/>
    <mergeCell ref="AK154:AM154"/>
    <mergeCell ref="AN154:AO154"/>
    <mergeCell ref="AP154:AQ154"/>
    <mergeCell ref="AR154:AU154"/>
    <mergeCell ref="J153:O153"/>
    <mergeCell ref="P153:X153"/>
    <mergeCell ref="Y153:AH153"/>
    <mergeCell ref="AI153:AJ153"/>
    <mergeCell ref="AK153:AM153"/>
    <mergeCell ref="AN153:AO153"/>
    <mergeCell ref="J152:O152"/>
    <mergeCell ref="P152:X152"/>
    <mergeCell ref="Y152:AH152"/>
    <mergeCell ref="AI152:AJ152"/>
    <mergeCell ref="AK152:AM152"/>
    <mergeCell ref="AN152:AO152"/>
    <mergeCell ref="AP152:AQ152"/>
    <mergeCell ref="AR152:AU152"/>
    <mergeCell ref="J151:O151"/>
    <mergeCell ref="P151:X151"/>
    <mergeCell ref="Y151:AH151"/>
    <mergeCell ref="AI151:AJ151"/>
    <mergeCell ref="AK151:AM151"/>
    <mergeCell ref="AN151:AO151"/>
    <mergeCell ref="J150:O150"/>
    <mergeCell ref="P150:X150"/>
    <mergeCell ref="Y150:AH150"/>
    <mergeCell ref="AI150:AJ150"/>
    <mergeCell ref="AK150:AM150"/>
    <mergeCell ref="AN150:AO150"/>
    <mergeCell ref="AP150:AQ150"/>
    <mergeCell ref="AR150:AU150"/>
    <mergeCell ref="AP151:AQ151"/>
    <mergeCell ref="AR151:AU151"/>
    <mergeCell ref="AP148:AQ148"/>
    <mergeCell ref="J149:O149"/>
    <mergeCell ref="P149:X149"/>
    <mergeCell ref="Y149:AH149"/>
    <mergeCell ref="AI149:AJ149"/>
    <mergeCell ref="AK149:AM149"/>
    <mergeCell ref="AN149:AO149"/>
    <mergeCell ref="AP149:AQ149"/>
    <mergeCell ref="J144:AU144"/>
    <mergeCell ref="J145:AU145"/>
    <mergeCell ref="J147:O148"/>
    <mergeCell ref="P147:X148"/>
    <mergeCell ref="Y147:AH148"/>
    <mergeCell ref="AI147:AQ147"/>
    <mergeCell ref="AR147:AU148"/>
    <mergeCell ref="AI148:AJ148"/>
    <mergeCell ref="AK148:AM148"/>
    <mergeCell ref="AN148:AO148"/>
    <mergeCell ref="AR149:AU149"/>
    <mergeCell ref="J138:S138"/>
    <mergeCell ref="T138:AI138"/>
    <mergeCell ref="AJ138:AU138"/>
    <mergeCell ref="AK141:AM141"/>
    <mergeCell ref="AO141:AP141"/>
    <mergeCell ref="AR141:AT141"/>
    <mergeCell ref="J134:AU134"/>
    <mergeCell ref="K135:O135"/>
    <mergeCell ref="P135:AU136"/>
    <mergeCell ref="J137:S137"/>
    <mergeCell ref="T137:AI137"/>
    <mergeCell ref="AJ137:AU137"/>
    <mergeCell ref="J129:U131"/>
    <mergeCell ref="V129:AE131"/>
    <mergeCell ref="AF129:AI129"/>
    <mergeCell ref="AJ129:AU129"/>
    <mergeCell ref="AF130:AI130"/>
    <mergeCell ref="AJ130:AU130"/>
    <mergeCell ref="AF131:AI131"/>
    <mergeCell ref="AJ131:AU131"/>
    <mergeCell ref="J119:M119"/>
    <mergeCell ref="N119:V119"/>
    <mergeCell ref="W119:AE119"/>
    <mergeCell ref="AF119:AL119"/>
    <mergeCell ref="AM119:AU119"/>
    <mergeCell ref="J128:U128"/>
    <mergeCell ref="V128:AE128"/>
    <mergeCell ref="AF128:AU128"/>
    <mergeCell ref="J117:M117"/>
    <mergeCell ref="N117:V117"/>
    <mergeCell ref="W117:AE117"/>
    <mergeCell ref="AF117:AL117"/>
    <mergeCell ref="AM117:AU117"/>
    <mergeCell ref="J118:M118"/>
    <mergeCell ref="N118:V118"/>
    <mergeCell ref="W118:AE118"/>
    <mergeCell ref="AF118:AL118"/>
    <mergeCell ref="AM118:AU118"/>
    <mergeCell ref="J115:M115"/>
    <mergeCell ref="N115:V115"/>
    <mergeCell ref="W115:AE115"/>
    <mergeCell ref="AF115:AL115"/>
    <mergeCell ref="AM115:AU115"/>
    <mergeCell ref="J116:M116"/>
    <mergeCell ref="N116:V116"/>
    <mergeCell ref="W116:AE116"/>
    <mergeCell ref="AF116:AL116"/>
    <mergeCell ref="AM116:AU116"/>
    <mergeCell ref="J113:M113"/>
    <mergeCell ref="N113:V113"/>
    <mergeCell ref="W113:AE113"/>
    <mergeCell ref="AF113:AL113"/>
    <mergeCell ref="AM113:AU113"/>
    <mergeCell ref="J114:M114"/>
    <mergeCell ref="N114:V114"/>
    <mergeCell ref="W114:AE114"/>
    <mergeCell ref="AF114:AL114"/>
    <mergeCell ref="AM114:AU114"/>
    <mergeCell ref="J111:M111"/>
    <mergeCell ref="N111:V111"/>
    <mergeCell ref="W111:AE111"/>
    <mergeCell ref="AF111:AL111"/>
    <mergeCell ref="AM111:AU111"/>
    <mergeCell ref="J112:M112"/>
    <mergeCell ref="N112:V112"/>
    <mergeCell ref="W112:AE112"/>
    <mergeCell ref="AF112:AL112"/>
    <mergeCell ref="AM112:AU112"/>
    <mergeCell ref="J109:M109"/>
    <mergeCell ref="N109:V109"/>
    <mergeCell ref="W109:AE109"/>
    <mergeCell ref="AF109:AL109"/>
    <mergeCell ref="AM109:AU109"/>
    <mergeCell ref="J110:M110"/>
    <mergeCell ref="N110:V110"/>
    <mergeCell ref="W110:AE110"/>
    <mergeCell ref="AF110:AL110"/>
    <mergeCell ref="AM110:AU110"/>
    <mergeCell ref="L103:AU104"/>
    <mergeCell ref="J108:M108"/>
    <mergeCell ref="N108:V108"/>
    <mergeCell ref="W108:AE108"/>
    <mergeCell ref="AF108:AL108"/>
    <mergeCell ref="AM108:AU108"/>
    <mergeCell ref="AL101:AM101"/>
    <mergeCell ref="AN101:AS101"/>
    <mergeCell ref="AT101:AU101"/>
    <mergeCell ref="J101:M101"/>
    <mergeCell ref="N101:T101"/>
    <mergeCell ref="U101:V101"/>
    <mergeCell ref="W101:AC101"/>
    <mergeCell ref="AD101:AE101"/>
    <mergeCell ref="AF101:AK101"/>
    <mergeCell ref="J100:M100"/>
    <mergeCell ref="N100:T100"/>
    <mergeCell ref="U100:V100"/>
    <mergeCell ref="W100:AC100"/>
    <mergeCell ref="AD100:AE100"/>
    <mergeCell ref="AF100:AK100"/>
    <mergeCell ref="AL100:AM100"/>
    <mergeCell ref="AN100:AS100"/>
    <mergeCell ref="AT100:AU100"/>
    <mergeCell ref="J99:M99"/>
    <mergeCell ref="N99:T99"/>
    <mergeCell ref="U99:V99"/>
    <mergeCell ref="W99:AC99"/>
    <mergeCell ref="AD99:AE99"/>
    <mergeCell ref="AF99:AK99"/>
    <mergeCell ref="AL99:AM99"/>
    <mergeCell ref="AN99:AS99"/>
    <mergeCell ref="AT99:AU99"/>
    <mergeCell ref="AL97:AM97"/>
    <mergeCell ref="AN97:AS97"/>
    <mergeCell ref="AT97:AU97"/>
    <mergeCell ref="J98:M98"/>
    <mergeCell ref="N98:T98"/>
    <mergeCell ref="U98:V98"/>
    <mergeCell ref="W98:AC98"/>
    <mergeCell ref="AD98:AE98"/>
    <mergeCell ref="AF98:AK98"/>
    <mergeCell ref="AL98:AM98"/>
    <mergeCell ref="J97:M97"/>
    <mergeCell ref="N97:T97"/>
    <mergeCell ref="U97:V97"/>
    <mergeCell ref="W97:AC97"/>
    <mergeCell ref="AD97:AE97"/>
    <mergeCell ref="AF97:AK97"/>
    <mergeCell ref="AN98:AS98"/>
    <mergeCell ref="AT98:AU98"/>
    <mergeCell ref="J96:M96"/>
    <mergeCell ref="N96:T96"/>
    <mergeCell ref="U96:V96"/>
    <mergeCell ref="W96:AC96"/>
    <mergeCell ref="AD96:AE96"/>
    <mergeCell ref="AF96:AK96"/>
    <mergeCell ref="AL96:AM96"/>
    <mergeCell ref="AN96:AS96"/>
    <mergeCell ref="AT96:AU96"/>
    <mergeCell ref="J95:M95"/>
    <mergeCell ref="N95:T95"/>
    <mergeCell ref="U95:V95"/>
    <mergeCell ref="W95:AC95"/>
    <mergeCell ref="AD95:AE95"/>
    <mergeCell ref="AF95:AK95"/>
    <mergeCell ref="AL95:AM95"/>
    <mergeCell ref="AN95:AS95"/>
    <mergeCell ref="AT95:AU95"/>
    <mergeCell ref="AL93:AM93"/>
    <mergeCell ref="AN93:AS93"/>
    <mergeCell ref="AT93:AU93"/>
    <mergeCell ref="J94:M94"/>
    <mergeCell ref="N94:T94"/>
    <mergeCell ref="U94:V94"/>
    <mergeCell ref="W94:AC94"/>
    <mergeCell ref="AD94:AE94"/>
    <mergeCell ref="AF94:AK94"/>
    <mergeCell ref="AL94:AM94"/>
    <mergeCell ref="J93:M93"/>
    <mergeCell ref="N93:T93"/>
    <mergeCell ref="U93:V93"/>
    <mergeCell ref="W93:AC93"/>
    <mergeCell ref="AD93:AE93"/>
    <mergeCell ref="AF93:AK93"/>
    <mergeCell ref="AN94:AS94"/>
    <mergeCell ref="AT94:AU94"/>
    <mergeCell ref="J92:M92"/>
    <mergeCell ref="N92:T92"/>
    <mergeCell ref="U92:V92"/>
    <mergeCell ref="W92:AC92"/>
    <mergeCell ref="AD92:AE92"/>
    <mergeCell ref="AF92:AK92"/>
    <mergeCell ref="AL92:AM92"/>
    <mergeCell ref="AN92:AS92"/>
    <mergeCell ref="AT92:AU92"/>
    <mergeCell ref="J91:M91"/>
    <mergeCell ref="N91:T91"/>
    <mergeCell ref="U91:V91"/>
    <mergeCell ref="W91:AC91"/>
    <mergeCell ref="AD91:AE91"/>
    <mergeCell ref="AF91:AK91"/>
    <mergeCell ref="AL91:AM91"/>
    <mergeCell ref="AN91:AS91"/>
    <mergeCell ref="AT91:AU91"/>
    <mergeCell ref="AL89:AM89"/>
    <mergeCell ref="AN89:AS89"/>
    <mergeCell ref="AT89:AU89"/>
    <mergeCell ref="J90:M90"/>
    <mergeCell ref="N90:T90"/>
    <mergeCell ref="U90:V90"/>
    <mergeCell ref="W90:AC90"/>
    <mergeCell ref="AD90:AE90"/>
    <mergeCell ref="AF90:AK90"/>
    <mergeCell ref="AL90:AM90"/>
    <mergeCell ref="J89:M89"/>
    <mergeCell ref="N89:T89"/>
    <mergeCell ref="U89:V89"/>
    <mergeCell ref="W89:AC89"/>
    <mergeCell ref="AD89:AE89"/>
    <mergeCell ref="AF89:AK89"/>
    <mergeCell ref="AN90:AS90"/>
    <mergeCell ref="AT90:AU90"/>
    <mergeCell ref="J88:M88"/>
    <mergeCell ref="N88:T88"/>
    <mergeCell ref="U88:V88"/>
    <mergeCell ref="W88:AC88"/>
    <mergeCell ref="AD88:AE88"/>
    <mergeCell ref="AF88:AK88"/>
    <mergeCell ref="AL88:AM88"/>
    <mergeCell ref="AN88:AS88"/>
    <mergeCell ref="AT88:AU88"/>
    <mergeCell ref="J87:M87"/>
    <mergeCell ref="N87:T87"/>
    <mergeCell ref="U87:V87"/>
    <mergeCell ref="W87:AC87"/>
    <mergeCell ref="AD87:AE87"/>
    <mergeCell ref="AF87:AK87"/>
    <mergeCell ref="AL87:AM87"/>
    <mergeCell ref="AN87:AS87"/>
    <mergeCell ref="AT87:AU87"/>
    <mergeCell ref="AL85:AM85"/>
    <mergeCell ref="AN85:AS85"/>
    <mergeCell ref="AT85:AU85"/>
    <mergeCell ref="J86:M86"/>
    <mergeCell ref="N86:T86"/>
    <mergeCell ref="U86:V86"/>
    <mergeCell ref="W86:AC86"/>
    <mergeCell ref="AD86:AE86"/>
    <mergeCell ref="AF86:AK86"/>
    <mergeCell ref="AL86:AM86"/>
    <mergeCell ref="J85:M85"/>
    <mergeCell ref="N85:T85"/>
    <mergeCell ref="U85:V85"/>
    <mergeCell ref="W85:AC85"/>
    <mergeCell ref="AD85:AE85"/>
    <mergeCell ref="AF85:AK85"/>
    <mergeCell ref="AN86:AS86"/>
    <mergeCell ref="AT86:AU86"/>
    <mergeCell ref="J84:M84"/>
    <mergeCell ref="N84:T84"/>
    <mergeCell ref="U84:V84"/>
    <mergeCell ref="W84:AC84"/>
    <mergeCell ref="AD84:AE84"/>
    <mergeCell ref="AF84:AK84"/>
    <mergeCell ref="AL84:AM84"/>
    <mergeCell ref="AN84:AS84"/>
    <mergeCell ref="AT84:AU84"/>
    <mergeCell ref="J83:M83"/>
    <mergeCell ref="N83:T83"/>
    <mergeCell ref="U83:V83"/>
    <mergeCell ref="W83:AC83"/>
    <mergeCell ref="AD83:AE83"/>
    <mergeCell ref="AF83:AK83"/>
    <mergeCell ref="AL83:AM83"/>
    <mergeCell ref="AN83:AS83"/>
    <mergeCell ref="AT83:AU83"/>
    <mergeCell ref="AL81:AM81"/>
    <mergeCell ref="AN81:AS81"/>
    <mergeCell ref="AT81:AU81"/>
    <mergeCell ref="J82:M82"/>
    <mergeCell ref="N82:T82"/>
    <mergeCell ref="U82:V82"/>
    <mergeCell ref="W82:AC82"/>
    <mergeCell ref="AD82:AE82"/>
    <mergeCell ref="AF82:AK82"/>
    <mergeCell ref="AL82:AM82"/>
    <mergeCell ref="J81:M81"/>
    <mergeCell ref="N81:T81"/>
    <mergeCell ref="U81:V81"/>
    <mergeCell ref="W81:AC81"/>
    <mergeCell ref="AD81:AE81"/>
    <mergeCell ref="AF81:AK81"/>
    <mergeCell ref="AN82:AS82"/>
    <mergeCell ref="AT82:AU82"/>
    <mergeCell ref="J80:M80"/>
    <mergeCell ref="N80:T80"/>
    <mergeCell ref="U80:V80"/>
    <mergeCell ref="W80:AC80"/>
    <mergeCell ref="AD80:AE80"/>
    <mergeCell ref="AF80:AK80"/>
    <mergeCell ref="AL80:AM80"/>
    <mergeCell ref="AN80:AS80"/>
    <mergeCell ref="AT80:AU80"/>
    <mergeCell ref="J79:M79"/>
    <mergeCell ref="N79:T79"/>
    <mergeCell ref="U79:V79"/>
    <mergeCell ref="W79:AC79"/>
    <mergeCell ref="AD79:AE79"/>
    <mergeCell ref="AF79:AK79"/>
    <mergeCell ref="AL79:AM79"/>
    <mergeCell ref="AN79:AS79"/>
    <mergeCell ref="AT79:AU79"/>
    <mergeCell ref="AL77:AM77"/>
    <mergeCell ref="AN77:AS77"/>
    <mergeCell ref="AT77:AU77"/>
    <mergeCell ref="J78:M78"/>
    <mergeCell ref="N78:T78"/>
    <mergeCell ref="U78:V78"/>
    <mergeCell ref="W78:AC78"/>
    <mergeCell ref="AD78:AE78"/>
    <mergeCell ref="AF78:AK78"/>
    <mergeCell ref="AL78:AM78"/>
    <mergeCell ref="J77:M77"/>
    <mergeCell ref="N77:T77"/>
    <mergeCell ref="U77:V77"/>
    <mergeCell ref="W77:AC77"/>
    <mergeCell ref="AD77:AE77"/>
    <mergeCell ref="AF77:AK77"/>
    <mergeCell ref="AN78:AS78"/>
    <mergeCell ref="AT78:AU78"/>
    <mergeCell ref="J76:M76"/>
    <mergeCell ref="N76:T76"/>
    <mergeCell ref="U76:V76"/>
    <mergeCell ref="W76:AC76"/>
    <mergeCell ref="AD76:AE76"/>
    <mergeCell ref="AF76:AK76"/>
    <mergeCell ref="AL76:AM76"/>
    <mergeCell ref="AN76:AS76"/>
    <mergeCell ref="AT76:AU76"/>
    <mergeCell ref="J75:M75"/>
    <mergeCell ref="N75:T75"/>
    <mergeCell ref="U75:V75"/>
    <mergeCell ref="W75:AC75"/>
    <mergeCell ref="AD75:AE75"/>
    <mergeCell ref="AF75:AK75"/>
    <mergeCell ref="AL75:AM75"/>
    <mergeCell ref="AN75:AS75"/>
    <mergeCell ref="AT75:AU75"/>
    <mergeCell ref="J74:M74"/>
    <mergeCell ref="N74:T74"/>
    <mergeCell ref="U74:V74"/>
    <mergeCell ref="W74:AC74"/>
    <mergeCell ref="AD74:AE74"/>
    <mergeCell ref="AF74:AK74"/>
    <mergeCell ref="AL74:AM74"/>
    <mergeCell ref="AN74:AS74"/>
    <mergeCell ref="AT74:AU74"/>
    <mergeCell ref="J73:M73"/>
    <mergeCell ref="N73:T73"/>
    <mergeCell ref="U73:V73"/>
    <mergeCell ref="W73:AC73"/>
    <mergeCell ref="AD73:AE73"/>
    <mergeCell ref="AF73:AK73"/>
    <mergeCell ref="AL73:AM73"/>
    <mergeCell ref="AN73:AS73"/>
    <mergeCell ref="AT73:AU73"/>
    <mergeCell ref="J71:M71"/>
    <mergeCell ref="N71:V71"/>
    <mergeCell ref="W71:AE71"/>
    <mergeCell ref="AF71:AM71"/>
    <mergeCell ref="AN71:AU71"/>
    <mergeCell ref="J72:M72"/>
    <mergeCell ref="N72:T72"/>
    <mergeCell ref="U72:V72"/>
    <mergeCell ref="W72:AC72"/>
    <mergeCell ref="AD72:AE72"/>
    <mergeCell ref="AF72:AK72"/>
    <mergeCell ref="AL72:AM72"/>
    <mergeCell ref="AN72:AS72"/>
    <mergeCell ref="AT72:AU72"/>
    <mergeCell ref="J67:M67"/>
    <mergeCell ref="N67:R67"/>
    <mergeCell ref="S67:AB67"/>
    <mergeCell ref="AD67:AF67"/>
    <mergeCell ref="AG67:AU67"/>
    <mergeCell ref="J68:M68"/>
    <mergeCell ref="N68:R68"/>
    <mergeCell ref="S68:AB68"/>
    <mergeCell ref="AD68:AF68"/>
    <mergeCell ref="AG68:AU68"/>
    <mergeCell ref="J65:M65"/>
    <mergeCell ref="N65:R65"/>
    <mergeCell ref="S65:AB65"/>
    <mergeCell ref="AD65:AF65"/>
    <mergeCell ref="AG65:AU65"/>
    <mergeCell ref="J66:M66"/>
    <mergeCell ref="N66:R66"/>
    <mergeCell ref="S66:AB66"/>
    <mergeCell ref="AD66:AF66"/>
    <mergeCell ref="AG66:AU66"/>
    <mergeCell ref="J63:M63"/>
    <mergeCell ref="N63:R63"/>
    <mergeCell ref="S63:AB63"/>
    <mergeCell ref="AD63:AF63"/>
    <mergeCell ref="AG63:AU63"/>
    <mergeCell ref="J64:M64"/>
    <mergeCell ref="N64:R64"/>
    <mergeCell ref="S64:AB64"/>
    <mergeCell ref="AD64:AF64"/>
    <mergeCell ref="AG64:AU64"/>
    <mergeCell ref="J61:M61"/>
    <mergeCell ref="N61:R61"/>
    <mergeCell ref="S61:AB61"/>
    <mergeCell ref="AD61:AF61"/>
    <mergeCell ref="AG61:AU61"/>
    <mergeCell ref="J62:M62"/>
    <mergeCell ref="N62:R62"/>
    <mergeCell ref="S62:AB62"/>
    <mergeCell ref="AD62:AF62"/>
    <mergeCell ref="AG62:AU62"/>
    <mergeCell ref="J59:M59"/>
    <mergeCell ref="N59:R59"/>
    <mergeCell ref="S59:AB59"/>
    <mergeCell ref="AD59:AF59"/>
    <mergeCell ref="AG59:AU59"/>
    <mergeCell ref="J60:M60"/>
    <mergeCell ref="N60:R60"/>
    <mergeCell ref="S60:AB60"/>
    <mergeCell ref="AD60:AF60"/>
    <mergeCell ref="AG60:AU60"/>
    <mergeCell ref="L40:AU42"/>
    <mergeCell ref="L43:AU45"/>
    <mergeCell ref="J54:M58"/>
    <mergeCell ref="N54:R58"/>
    <mergeCell ref="S54:AB58"/>
    <mergeCell ref="AC54:AU58"/>
    <mergeCell ref="X29:AH29"/>
    <mergeCell ref="X30:AH30"/>
    <mergeCell ref="V36:AG36"/>
    <mergeCell ref="V37:W37"/>
    <mergeCell ref="X37:Y37"/>
    <mergeCell ref="AA37:AB37"/>
    <mergeCell ref="AE37:AF37"/>
    <mergeCell ref="AF11:AU12"/>
    <mergeCell ref="AF13:AU13"/>
    <mergeCell ref="M15:N15"/>
    <mergeCell ref="J19:AU23"/>
    <mergeCell ref="J25:AU25"/>
    <mergeCell ref="J27:AU27"/>
    <mergeCell ref="AO2:AT2"/>
    <mergeCell ref="AK3:AM3"/>
    <mergeCell ref="AO3:AP3"/>
    <mergeCell ref="AR3:AT3"/>
    <mergeCell ref="AF8:AU8"/>
    <mergeCell ref="AF9:AU9"/>
  </mergeCells>
  <phoneticPr fontId="4"/>
  <dataValidations count="1">
    <dataValidation imeMode="disabled" allowBlank="1" showInputMessage="1" showErrorMessage="1" sqref="AN3 Z37 AN141" xr:uid="{09221071-027E-44BF-84AC-954A29803432}"/>
  </dataValidations>
  <pageMargins left="0.98425196850393704" right="0.70866141732283472" top="0.6889763779527559" bottom="0.6889763779527559" header="0.31496062992125984" footer="0.31496062992125984"/>
  <pageSetup paperSize="9" scale="96" fitToWidth="0" fitToHeight="0" orientation="portrait" r:id="rId1"/>
  <rowBreaks count="2" manualBreakCount="2">
    <brk id="50" max="16383" man="1"/>
    <brk id="139" max="16383" man="1"/>
  </rowBreaks>
  <extLst>
    <ext xmlns:x14="http://schemas.microsoft.com/office/spreadsheetml/2009/9/main" uri="{78C0D931-6437-407d-A8EE-F0AAD7539E65}">
      <x14:conditionalFormattings>
        <x14:conditionalFormatting xmlns:xm="http://schemas.microsoft.com/office/excel/2006/main">
          <x14:cfRule type="containsText" priority="1" operator="containsText" id="{8464FA20-ECB4-404E-9DB3-771ACFBBFCFC}">
            <xm:f>NOT(ISERROR(SEARCH("-",AD59)))</xm:f>
            <xm:f>"-"</xm:f>
            <x14:dxf>
              <font>
                <b/>
                <i val="0"/>
              </font>
            </x14:dxf>
          </x14:cfRule>
          <xm:sqref>AD59:AD68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C756F-AB2D-4956-9D4C-ABD514A867BE}">
  <sheetPr codeName="Sheet7">
    <tabColor theme="9" tint="0.59999389629810485"/>
  </sheetPr>
  <dimension ref="A1:AU370"/>
  <sheetViews>
    <sheetView showGridLines="0" topLeftCell="I1" workbookViewId="0">
      <selection activeCell="AK341" sqref="AK341:AM341"/>
    </sheetView>
  </sheetViews>
  <sheetFormatPr defaultRowHeight="12.75" x14ac:dyDescent="0.15"/>
  <cols>
    <col min="1" max="3" width="9" style="58" hidden="1" customWidth="1"/>
    <col min="4" max="4" width="5.625" style="58" hidden="1" customWidth="1"/>
    <col min="5" max="8" width="3.25" style="58" hidden="1" customWidth="1"/>
    <col min="9" max="9" width="0.625" style="58" customWidth="1"/>
    <col min="10" max="12" width="2.5" style="58" customWidth="1"/>
    <col min="13" max="13" width="1.75" style="58" customWidth="1"/>
    <col min="14" max="14" width="3.25" style="58" customWidth="1"/>
    <col min="15" max="19" width="2.5" style="58" customWidth="1"/>
    <col min="20" max="20" width="2.125" style="58" customWidth="1"/>
    <col min="21" max="21" width="0.625" style="58" customWidth="1"/>
    <col min="22" max="28" width="2.5" style="58" customWidth="1"/>
    <col min="29" max="29" width="2.125" style="58" customWidth="1"/>
    <col min="30" max="30" width="0.625" style="58" customWidth="1"/>
    <col min="31" max="36" width="2.5" style="58" customWidth="1"/>
    <col min="37" max="37" width="2.125" style="58" customWidth="1"/>
    <col min="38" max="38" width="0.625" style="58" customWidth="1"/>
    <col min="39" max="44" width="2.5" style="58" customWidth="1"/>
    <col min="45" max="45" width="2.125" style="58" customWidth="1"/>
    <col min="46" max="46" width="0.625" style="58" customWidth="1"/>
    <col min="47" max="47" width="2.5" style="58" customWidth="1"/>
    <col min="48" max="48" width="0.625" style="58" customWidth="1"/>
    <col min="49" max="16384" width="9" style="58"/>
  </cols>
  <sheetData>
    <row r="1" spans="10:47" x14ac:dyDescent="0.15">
      <c r="J1" s="58" t="s">
        <v>223</v>
      </c>
    </row>
    <row r="2" spans="10:47" ht="17.100000000000001" customHeight="1" x14ac:dyDescent="0.15">
      <c r="AN2" s="59" t="s">
        <v>224</v>
      </c>
      <c r="AO2" s="434" t="str">
        <f>中間シート!G4</f>
        <v/>
      </c>
      <c r="AP2" s="434"/>
      <c r="AQ2" s="434"/>
      <c r="AR2" s="434"/>
      <c r="AS2" s="434"/>
      <c r="AT2" s="434"/>
      <c r="AU2" s="59" t="s">
        <v>225</v>
      </c>
    </row>
    <row r="3" spans="10:47" ht="17.100000000000001" customHeight="1" x14ac:dyDescent="0.15">
      <c r="AJ3" s="60" t="s">
        <v>226</v>
      </c>
      <c r="AK3" s="409" t="str">
        <f>IF(中間シート!F5&lt;&gt;0,4,"")</f>
        <v/>
      </c>
      <c r="AL3" s="409"/>
      <c r="AM3" s="409"/>
      <c r="AN3" s="59" t="s">
        <v>227</v>
      </c>
      <c r="AO3" s="415" t="str">
        <f>IF(中間シート!F5&lt;&gt;0,中間シート!F5,"")</f>
        <v/>
      </c>
      <c r="AP3" s="415"/>
      <c r="AQ3" s="58" t="s">
        <v>228</v>
      </c>
      <c r="AR3" s="416" t="str">
        <f>IF(中間シート!F5&lt;&gt;0,中間シート!F5,"")</f>
        <v/>
      </c>
      <c r="AS3" s="416"/>
      <c r="AT3" s="416"/>
      <c r="AU3" s="59" t="s">
        <v>229</v>
      </c>
    </row>
    <row r="4" spans="10:47" x14ac:dyDescent="0.15">
      <c r="J4" s="58" t="s">
        <v>230</v>
      </c>
    </row>
    <row r="5" spans="10:47" x14ac:dyDescent="0.15">
      <c r="J5" s="58" t="s">
        <v>231</v>
      </c>
    </row>
    <row r="6" spans="10:47" x14ac:dyDescent="0.15">
      <c r="J6" s="138" t="s">
        <v>232</v>
      </c>
    </row>
    <row r="7" spans="10:47" x14ac:dyDescent="0.15">
      <c r="J7" s="58" t="s">
        <v>233</v>
      </c>
    </row>
    <row r="8" spans="10:47" ht="17.100000000000001" customHeight="1" x14ac:dyDescent="0.15">
      <c r="Z8" s="60" t="s">
        <v>234</v>
      </c>
      <c r="AA8" s="58" t="s">
        <v>235</v>
      </c>
      <c r="AF8" s="443" t="str">
        <f>中間シート!F8&amp;中間シート!F9</f>
        <v/>
      </c>
      <c r="AG8" s="443"/>
      <c r="AH8" s="443"/>
      <c r="AI8" s="443"/>
      <c r="AJ8" s="443"/>
      <c r="AK8" s="443"/>
      <c r="AL8" s="443"/>
      <c r="AM8" s="443"/>
      <c r="AN8" s="443"/>
      <c r="AO8" s="443"/>
      <c r="AP8" s="443"/>
      <c r="AQ8" s="443"/>
      <c r="AR8" s="443"/>
      <c r="AS8" s="443"/>
      <c r="AT8" s="443"/>
      <c r="AU8" s="443"/>
    </row>
    <row r="9" spans="10:47" ht="17.100000000000001" customHeight="1" x14ac:dyDescent="0.15">
      <c r="AF9" s="443" t="str">
        <f>中間シート!F10&amp;中間シート!F11</f>
        <v/>
      </c>
      <c r="AG9" s="443"/>
      <c r="AH9" s="443"/>
      <c r="AI9" s="443"/>
      <c r="AJ9" s="443"/>
      <c r="AK9" s="443"/>
      <c r="AL9" s="443"/>
      <c r="AM9" s="443"/>
      <c r="AN9" s="443"/>
      <c r="AO9" s="443"/>
      <c r="AP9" s="443"/>
      <c r="AQ9" s="443"/>
      <c r="AR9" s="443"/>
      <c r="AS9" s="443"/>
      <c r="AT9" s="443"/>
      <c r="AU9" s="443"/>
    </row>
    <row r="10" spans="10:47" x14ac:dyDescent="0.15">
      <c r="AA10" s="58" t="s">
        <v>236</v>
      </c>
    </row>
    <row r="11" spans="10:47" ht="17.100000000000001" customHeight="1" x14ac:dyDescent="0.15">
      <c r="AF11" s="450" t="str">
        <f>中間シート!F12</f>
        <v/>
      </c>
      <c r="AG11" s="450"/>
      <c r="AH11" s="450"/>
      <c r="AI11" s="450"/>
      <c r="AJ11" s="450"/>
      <c r="AK11" s="450"/>
      <c r="AL11" s="450"/>
      <c r="AM11" s="450"/>
      <c r="AN11" s="450"/>
      <c r="AO11" s="450"/>
      <c r="AP11" s="450"/>
      <c r="AQ11" s="450"/>
      <c r="AR11" s="450"/>
      <c r="AS11" s="450"/>
      <c r="AT11" s="450"/>
      <c r="AU11" s="450"/>
    </row>
    <row r="12" spans="10:47" ht="17.100000000000001" customHeight="1" x14ac:dyDescent="0.15">
      <c r="AF12" s="450"/>
      <c r="AG12" s="450"/>
      <c r="AH12" s="450"/>
      <c r="AI12" s="450"/>
      <c r="AJ12" s="450"/>
      <c r="AK12" s="450"/>
      <c r="AL12" s="450"/>
      <c r="AM12" s="450"/>
      <c r="AN12" s="450"/>
      <c r="AO12" s="450"/>
      <c r="AP12" s="450"/>
      <c r="AQ12" s="450"/>
      <c r="AR12" s="450"/>
      <c r="AS12" s="450"/>
      <c r="AT12" s="450"/>
      <c r="AU12" s="450"/>
    </row>
    <row r="13" spans="10:47" ht="17.100000000000001" customHeight="1" x14ac:dyDescent="0.15">
      <c r="AA13" s="58" t="s">
        <v>237</v>
      </c>
      <c r="AF13" s="443" t="str">
        <f>IF(中間シート!F13&lt;&gt;"",中間シート!F13&amp;"　"&amp;中間シート!F14&amp;"　"&amp;中間シート!F15,中間シート!F14&amp;"　"&amp;中間シート!F15)</f>
        <v>　</v>
      </c>
      <c r="AG13" s="443"/>
      <c r="AH13" s="443"/>
      <c r="AI13" s="443"/>
      <c r="AJ13" s="443"/>
      <c r="AK13" s="443"/>
      <c r="AL13" s="443"/>
      <c r="AM13" s="443"/>
      <c r="AN13" s="443"/>
      <c r="AO13" s="443"/>
      <c r="AP13" s="443"/>
      <c r="AQ13" s="443"/>
      <c r="AR13" s="443"/>
      <c r="AS13" s="443"/>
      <c r="AT13" s="443"/>
      <c r="AU13" s="443"/>
    </row>
    <row r="15" spans="10:47" ht="17.100000000000001" customHeight="1" x14ac:dyDescent="0.15">
      <c r="K15" s="58" t="s">
        <v>238</v>
      </c>
      <c r="M15" s="409" t="str">
        <f>IF(OR(中間シート!F14&lt;&gt;"",中間シート!F15&lt;&gt;""),4,"")</f>
        <v/>
      </c>
      <c r="N15" s="409"/>
      <c r="O15" s="58" t="s">
        <v>239</v>
      </c>
    </row>
    <row r="16" spans="10:47" ht="17.100000000000001" customHeight="1" x14ac:dyDescent="0.15">
      <c r="K16" s="58" t="s">
        <v>240</v>
      </c>
    </row>
    <row r="17" spans="10:47" ht="17.100000000000001" customHeight="1" x14ac:dyDescent="0.15">
      <c r="K17" s="58" t="s">
        <v>241</v>
      </c>
    </row>
    <row r="19" spans="10:47" x14ac:dyDescent="0.15">
      <c r="J19" s="413" t="s">
        <v>242</v>
      </c>
      <c r="K19" s="413"/>
      <c r="L19" s="413"/>
      <c r="M19" s="413"/>
      <c r="N19" s="413"/>
      <c r="O19" s="413"/>
      <c r="P19" s="413"/>
      <c r="Q19" s="413"/>
      <c r="R19" s="413"/>
      <c r="S19" s="413"/>
      <c r="T19" s="413"/>
      <c r="U19" s="413"/>
      <c r="V19" s="413"/>
      <c r="W19" s="413"/>
      <c r="X19" s="413"/>
      <c r="Y19" s="413"/>
      <c r="Z19" s="413"/>
      <c r="AA19" s="413"/>
      <c r="AB19" s="413"/>
      <c r="AC19" s="413"/>
      <c r="AD19" s="413"/>
      <c r="AE19" s="413"/>
      <c r="AF19" s="413"/>
      <c r="AG19" s="413"/>
      <c r="AH19" s="413"/>
      <c r="AI19" s="413"/>
      <c r="AJ19" s="413"/>
      <c r="AK19" s="413"/>
      <c r="AL19" s="413"/>
      <c r="AM19" s="413"/>
      <c r="AN19" s="413"/>
      <c r="AO19" s="413"/>
      <c r="AP19" s="413"/>
      <c r="AQ19" s="413"/>
      <c r="AR19" s="413"/>
      <c r="AS19" s="413"/>
      <c r="AT19" s="413"/>
      <c r="AU19" s="413"/>
    </row>
    <row r="20" spans="10:47" x14ac:dyDescent="0.15">
      <c r="J20" s="413"/>
      <c r="K20" s="413"/>
      <c r="L20" s="413"/>
      <c r="M20" s="413"/>
      <c r="N20" s="413"/>
      <c r="O20" s="413"/>
      <c r="P20" s="413"/>
      <c r="Q20" s="413"/>
      <c r="R20" s="413"/>
      <c r="S20" s="413"/>
      <c r="T20" s="413"/>
      <c r="U20" s="413"/>
      <c r="V20" s="413"/>
      <c r="W20" s="413"/>
      <c r="X20" s="413"/>
      <c r="Y20" s="413"/>
      <c r="Z20" s="413"/>
      <c r="AA20" s="413"/>
      <c r="AB20" s="413"/>
      <c r="AC20" s="413"/>
      <c r="AD20" s="413"/>
      <c r="AE20" s="413"/>
      <c r="AF20" s="413"/>
      <c r="AG20" s="413"/>
      <c r="AH20" s="413"/>
      <c r="AI20" s="413"/>
      <c r="AJ20" s="413"/>
      <c r="AK20" s="413"/>
      <c r="AL20" s="413"/>
      <c r="AM20" s="413"/>
      <c r="AN20" s="413"/>
      <c r="AO20" s="413"/>
      <c r="AP20" s="413"/>
      <c r="AQ20" s="413"/>
      <c r="AR20" s="413"/>
      <c r="AS20" s="413"/>
      <c r="AT20" s="413"/>
      <c r="AU20" s="413"/>
    </row>
    <row r="21" spans="10:47" x14ac:dyDescent="0.15">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3"/>
      <c r="AU21" s="413"/>
    </row>
    <row r="22" spans="10:47" x14ac:dyDescent="0.15">
      <c r="J22" s="413"/>
      <c r="K22" s="413"/>
      <c r="L22" s="413"/>
      <c r="M22" s="413"/>
      <c r="N22" s="413"/>
      <c r="O22" s="413"/>
      <c r="P22" s="413"/>
      <c r="Q22" s="413"/>
      <c r="R22" s="413"/>
      <c r="S22" s="413"/>
      <c r="T22" s="413"/>
      <c r="U22" s="413"/>
      <c r="V22" s="413"/>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row>
    <row r="23" spans="10:47" x14ac:dyDescent="0.15">
      <c r="J23" s="413"/>
      <c r="K23" s="413"/>
      <c r="L23" s="413"/>
      <c r="M23" s="413"/>
      <c r="N23" s="413"/>
      <c r="O23" s="413"/>
      <c r="P23" s="413"/>
      <c r="Q23" s="413"/>
      <c r="R23" s="413"/>
      <c r="S23" s="413"/>
      <c r="T23" s="413"/>
      <c r="U23" s="413"/>
      <c r="V23" s="413"/>
      <c r="W23" s="413"/>
      <c r="X23" s="413"/>
      <c r="Y23" s="413"/>
      <c r="Z23" s="413"/>
      <c r="AA23" s="413"/>
      <c r="AB23" s="413"/>
      <c r="AC23" s="413"/>
      <c r="AD23" s="413"/>
      <c r="AE23" s="413"/>
      <c r="AF23" s="413"/>
      <c r="AG23" s="413"/>
      <c r="AH23" s="413"/>
      <c r="AI23" s="413"/>
      <c r="AJ23" s="413"/>
      <c r="AK23" s="413"/>
      <c r="AL23" s="413"/>
      <c r="AM23" s="413"/>
      <c r="AN23" s="413"/>
      <c r="AO23" s="413"/>
      <c r="AP23" s="413"/>
      <c r="AQ23" s="413"/>
      <c r="AR23" s="413"/>
      <c r="AS23" s="413"/>
      <c r="AT23" s="413"/>
      <c r="AU23" s="413"/>
    </row>
    <row r="25" spans="10:47" x14ac:dyDescent="0.15">
      <c r="J25" s="414" t="s">
        <v>243</v>
      </c>
      <c r="K25" s="414"/>
      <c r="L25" s="414"/>
      <c r="M25" s="414"/>
      <c r="N25" s="414"/>
      <c r="O25" s="414"/>
      <c r="P25" s="414"/>
      <c r="Q25" s="414"/>
      <c r="R25" s="414"/>
      <c r="S25" s="414"/>
      <c r="T25" s="414"/>
      <c r="U25" s="414"/>
      <c r="V25" s="414"/>
      <c r="W25" s="414"/>
      <c r="X25" s="414"/>
      <c r="Y25" s="414"/>
      <c r="Z25" s="414"/>
      <c r="AA25" s="414"/>
      <c r="AB25" s="414"/>
      <c r="AC25" s="414"/>
      <c r="AD25" s="414"/>
      <c r="AE25" s="414"/>
      <c r="AF25" s="414"/>
      <c r="AG25" s="414"/>
      <c r="AH25" s="414"/>
      <c r="AI25" s="414"/>
      <c r="AJ25" s="414"/>
      <c r="AK25" s="414"/>
      <c r="AL25" s="414"/>
      <c r="AM25" s="414"/>
      <c r="AN25" s="414"/>
      <c r="AO25" s="414"/>
      <c r="AP25" s="414"/>
      <c r="AQ25" s="414"/>
      <c r="AR25" s="414"/>
      <c r="AS25" s="414"/>
      <c r="AT25" s="414"/>
      <c r="AU25" s="414"/>
    </row>
    <row r="26" spans="10:47" x14ac:dyDescent="0.15">
      <c r="J26" s="58" t="s">
        <v>244</v>
      </c>
    </row>
    <row r="27" spans="10:47" ht="17.100000000000001" customHeight="1" x14ac:dyDescent="0.15">
      <c r="J27" s="409" t="str">
        <f>IF(中間シート!F3&lt;&gt;0,IF(中間シート!F3=1,中間シート!F12,IF(中間シート!F3=2,中間シート!F14&amp;"　"&amp;中間シート!F15))&amp;"のスキャンツール導入事業","")</f>
        <v/>
      </c>
      <c r="K27" s="409"/>
      <c r="L27" s="409"/>
      <c r="M27" s="409"/>
      <c r="N27" s="409"/>
      <c r="O27" s="409"/>
      <c r="P27" s="409"/>
      <c r="Q27" s="409"/>
      <c r="R27" s="409"/>
      <c r="S27" s="409"/>
      <c r="T27" s="409"/>
      <c r="U27" s="409"/>
      <c r="V27" s="409"/>
      <c r="W27" s="409"/>
      <c r="X27" s="409"/>
      <c r="Y27" s="409"/>
      <c r="Z27" s="409"/>
      <c r="AA27" s="409"/>
      <c r="AB27" s="409"/>
      <c r="AC27" s="409"/>
      <c r="AD27" s="409"/>
      <c r="AE27" s="409"/>
      <c r="AF27" s="409"/>
      <c r="AG27" s="409"/>
      <c r="AH27" s="409"/>
      <c r="AI27" s="409"/>
      <c r="AJ27" s="409"/>
      <c r="AK27" s="409"/>
      <c r="AL27" s="409"/>
      <c r="AM27" s="409"/>
      <c r="AN27" s="409"/>
      <c r="AO27" s="409"/>
      <c r="AP27" s="409"/>
      <c r="AQ27" s="409"/>
      <c r="AR27" s="409"/>
      <c r="AS27" s="409"/>
      <c r="AT27" s="409"/>
      <c r="AU27" s="409"/>
    </row>
    <row r="28" spans="10:47" x14ac:dyDescent="0.15">
      <c r="J28" s="58" t="s">
        <v>245</v>
      </c>
    </row>
    <row r="29" spans="10:47" ht="17.100000000000001" customHeight="1" x14ac:dyDescent="0.15">
      <c r="J29" s="58" t="s">
        <v>246</v>
      </c>
      <c r="X29" s="451" t="str">
        <f>IF(N319&lt;&gt;0,N319,"")</f>
        <v/>
      </c>
      <c r="Y29" s="451"/>
      <c r="Z29" s="451"/>
      <c r="AA29" s="451"/>
      <c r="AB29" s="451"/>
      <c r="AC29" s="451"/>
      <c r="AD29" s="451"/>
      <c r="AE29" s="451"/>
      <c r="AF29" s="451"/>
      <c r="AG29" s="451"/>
      <c r="AH29" s="451"/>
      <c r="AI29" s="139"/>
      <c r="AJ29" s="139"/>
      <c r="AM29" s="58" t="s">
        <v>247</v>
      </c>
    </row>
    <row r="30" spans="10:47" ht="17.100000000000001" customHeight="1" x14ac:dyDescent="0.15">
      <c r="J30" s="58" t="s">
        <v>248</v>
      </c>
      <c r="X30" s="451" t="str">
        <f>IF(W319&lt;&gt;0,W319,"")</f>
        <v/>
      </c>
      <c r="Y30" s="451"/>
      <c r="Z30" s="451"/>
      <c r="AA30" s="451"/>
      <c r="AB30" s="451"/>
      <c r="AC30" s="451"/>
      <c r="AD30" s="451"/>
      <c r="AE30" s="451"/>
      <c r="AF30" s="451"/>
      <c r="AG30" s="451"/>
      <c r="AH30" s="451"/>
      <c r="AI30" s="139"/>
      <c r="AJ30" s="139"/>
      <c r="AM30" s="58" t="s">
        <v>247</v>
      </c>
    </row>
    <row r="32" spans="10:47" x14ac:dyDescent="0.15">
      <c r="J32" s="58" t="s">
        <v>249</v>
      </c>
    </row>
    <row r="33" spans="10:47" x14ac:dyDescent="0.15">
      <c r="K33" s="58" t="s">
        <v>250</v>
      </c>
    </row>
    <row r="35" spans="10:47" x14ac:dyDescent="0.15">
      <c r="J35" s="58" t="s">
        <v>251</v>
      </c>
    </row>
    <row r="36" spans="10:47" ht="17.100000000000001" customHeight="1" x14ac:dyDescent="0.15">
      <c r="J36" s="58" t="s">
        <v>252</v>
      </c>
      <c r="V36" s="417" t="s">
        <v>253</v>
      </c>
      <c r="W36" s="417"/>
      <c r="X36" s="417"/>
      <c r="Y36" s="417"/>
      <c r="Z36" s="417"/>
      <c r="AA36" s="417"/>
      <c r="AB36" s="417"/>
      <c r="AC36" s="417"/>
      <c r="AD36" s="417"/>
      <c r="AE36" s="417"/>
      <c r="AF36" s="417"/>
      <c r="AG36" s="417"/>
    </row>
    <row r="37" spans="10:47" ht="17.100000000000001" customHeight="1" x14ac:dyDescent="0.15">
      <c r="J37" s="58" t="s">
        <v>254</v>
      </c>
      <c r="V37" s="417" t="s">
        <v>226</v>
      </c>
      <c r="W37" s="417"/>
      <c r="X37" s="409" t="str">
        <f>IF(中間シート!F6&lt;&gt;0,4,"")</f>
        <v/>
      </c>
      <c r="Y37" s="409"/>
      <c r="Z37" s="59" t="s">
        <v>227</v>
      </c>
      <c r="AA37" s="415" t="str">
        <f>IF(中間シート!F6&lt;&gt;0,中間シート!F6,"")</f>
        <v/>
      </c>
      <c r="AB37" s="415"/>
      <c r="AC37" s="58" t="s">
        <v>228</v>
      </c>
      <c r="AE37" s="416" t="str">
        <f>IF(中間シート!F6&lt;&gt;0,中間シート!F6,"")</f>
        <v/>
      </c>
      <c r="AF37" s="416"/>
      <c r="AG37" s="59" t="s">
        <v>229</v>
      </c>
    </row>
    <row r="38" spans="10:47" ht="13.5" x14ac:dyDescent="0.15">
      <c r="J38" s="61"/>
      <c r="K38" s="61"/>
    </row>
    <row r="39" spans="10:47" x14ac:dyDescent="0.15">
      <c r="J39" s="62" t="s">
        <v>255</v>
      </c>
      <c r="K39" s="62"/>
    </row>
    <row r="40" spans="10:47" ht="12.75" customHeight="1" x14ac:dyDescent="0.15">
      <c r="J40" s="63" t="s">
        <v>256</v>
      </c>
      <c r="K40" s="63"/>
      <c r="L40" s="410" t="s">
        <v>257</v>
      </c>
      <c r="M40" s="410"/>
      <c r="N40" s="410"/>
      <c r="O40" s="410"/>
      <c r="P40" s="410"/>
      <c r="Q40" s="410"/>
      <c r="R40" s="410"/>
      <c r="S40" s="410"/>
      <c r="T40" s="410"/>
      <c r="U40" s="410"/>
      <c r="V40" s="410"/>
      <c r="W40" s="410"/>
      <c r="X40" s="410"/>
      <c r="Y40" s="410"/>
      <c r="Z40" s="410"/>
      <c r="AA40" s="410"/>
      <c r="AB40" s="410"/>
      <c r="AC40" s="410"/>
      <c r="AD40" s="410"/>
      <c r="AE40" s="410"/>
      <c r="AF40" s="410"/>
      <c r="AG40" s="410"/>
      <c r="AH40" s="410"/>
      <c r="AI40" s="410"/>
      <c r="AJ40" s="410"/>
      <c r="AK40" s="410"/>
      <c r="AL40" s="410"/>
      <c r="AM40" s="410"/>
      <c r="AN40" s="410"/>
      <c r="AO40" s="410"/>
      <c r="AP40" s="410"/>
      <c r="AQ40" s="410"/>
      <c r="AR40" s="410"/>
      <c r="AS40" s="410"/>
      <c r="AT40" s="410"/>
      <c r="AU40" s="410"/>
    </row>
    <row r="41" spans="10:47" x14ac:dyDescent="0.15">
      <c r="J41" s="63"/>
      <c r="K41" s="63"/>
      <c r="L41" s="410"/>
      <c r="M41" s="410"/>
      <c r="N41" s="410"/>
      <c r="O41" s="410"/>
      <c r="P41" s="410"/>
      <c r="Q41" s="410"/>
      <c r="R41" s="410"/>
      <c r="S41" s="410"/>
      <c r="T41" s="410"/>
      <c r="U41" s="410"/>
      <c r="V41" s="410"/>
      <c r="W41" s="410"/>
      <c r="X41" s="410"/>
      <c r="Y41" s="410"/>
      <c r="Z41" s="410"/>
      <c r="AA41" s="410"/>
      <c r="AB41" s="410"/>
      <c r="AC41" s="410"/>
      <c r="AD41" s="410"/>
      <c r="AE41" s="410"/>
      <c r="AF41" s="410"/>
      <c r="AG41" s="410"/>
      <c r="AH41" s="410"/>
      <c r="AI41" s="410"/>
      <c r="AJ41" s="410"/>
      <c r="AK41" s="410"/>
      <c r="AL41" s="410"/>
      <c r="AM41" s="410"/>
      <c r="AN41" s="410"/>
      <c r="AO41" s="410"/>
      <c r="AP41" s="410"/>
      <c r="AQ41" s="410"/>
      <c r="AR41" s="410"/>
      <c r="AS41" s="410"/>
      <c r="AT41" s="410"/>
      <c r="AU41" s="410"/>
    </row>
    <row r="42" spans="10:47" x14ac:dyDescent="0.15">
      <c r="J42" s="63"/>
      <c r="K42" s="63"/>
      <c r="L42" s="410"/>
      <c r="M42" s="410"/>
      <c r="N42" s="410"/>
      <c r="O42" s="410"/>
      <c r="P42" s="410"/>
      <c r="Q42" s="410"/>
      <c r="R42" s="410"/>
      <c r="S42" s="410"/>
      <c r="T42" s="410"/>
      <c r="U42" s="410"/>
      <c r="V42" s="410"/>
      <c r="W42" s="410"/>
      <c r="X42" s="410"/>
      <c r="Y42" s="410"/>
      <c r="Z42" s="410"/>
      <c r="AA42" s="410"/>
      <c r="AB42" s="410"/>
      <c r="AC42" s="410"/>
      <c r="AD42" s="410"/>
      <c r="AE42" s="410"/>
      <c r="AF42" s="410"/>
      <c r="AG42" s="410"/>
      <c r="AH42" s="410"/>
      <c r="AI42" s="410"/>
      <c r="AJ42" s="410"/>
      <c r="AK42" s="410"/>
      <c r="AL42" s="410"/>
      <c r="AM42" s="410"/>
      <c r="AN42" s="410"/>
      <c r="AO42" s="410"/>
      <c r="AP42" s="410"/>
      <c r="AQ42" s="410"/>
      <c r="AR42" s="410"/>
      <c r="AS42" s="410"/>
      <c r="AT42" s="410"/>
      <c r="AU42" s="410"/>
    </row>
    <row r="43" spans="10:47" x14ac:dyDescent="0.15">
      <c r="J43" s="63" t="s">
        <v>258</v>
      </c>
      <c r="K43" s="63"/>
      <c r="L43" s="411" t="s">
        <v>259</v>
      </c>
      <c r="M43" s="411"/>
      <c r="N43" s="411"/>
      <c r="O43" s="411"/>
      <c r="P43" s="411"/>
      <c r="Q43" s="411"/>
      <c r="R43" s="411"/>
      <c r="S43" s="411"/>
      <c r="T43" s="411"/>
      <c r="U43" s="411"/>
      <c r="V43" s="411"/>
      <c r="W43" s="411"/>
      <c r="X43" s="411"/>
      <c r="Y43" s="411"/>
      <c r="Z43" s="411"/>
      <c r="AA43" s="411"/>
      <c r="AB43" s="411"/>
      <c r="AC43" s="411"/>
      <c r="AD43" s="411"/>
      <c r="AE43" s="411"/>
      <c r="AF43" s="411"/>
      <c r="AG43" s="411"/>
      <c r="AH43" s="411"/>
      <c r="AI43" s="411"/>
      <c r="AJ43" s="411"/>
      <c r="AK43" s="411"/>
      <c r="AL43" s="411"/>
      <c r="AM43" s="411"/>
      <c r="AN43" s="411"/>
      <c r="AO43" s="411"/>
      <c r="AP43" s="411"/>
      <c r="AQ43" s="411"/>
      <c r="AR43" s="411"/>
      <c r="AS43" s="411"/>
      <c r="AT43" s="411"/>
      <c r="AU43" s="411"/>
    </row>
    <row r="44" spans="10:47" x14ac:dyDescent="0.15">
      <c r="J44" s="63"/>
      <c r="K44" s="63"/>
      <c r="L44" s="411"/>
      <c r="M44" s="411"/>
      <c r="N44" s="411"/>
      <c r="O44" s="411"/>
      <c r="P44" s="411"/>
      <c r="Q44" s="411"/>
      <c r="R44" s="411"/>
      <c r="S44" s="411"/>
      <c r="T44" s="411"/>
      <c r="U44" s="411"/>
      <c r="V44" s="411"/>
      <c r="W44" s="411"/>
      <c r="X44" s="411"/>
      <c r="Y44" s="411"/>
      <c r="Z44" s="411"/>
      <c r="AA44" s="411"/>
      <c r="AB44" s="411"/>
      <c r="AC44" s="411"/>
      <c r="AD44" s="411"/>
      <c r="AE44" s="411"/>
      <c r="AF44" s="411"/>
      <c r="AG44" s="411"/>
      <c r="AH44" s="411"/>
      <c r="AI44" s="411"/>
      <c r="AJ44" s="411"/>
      <c r="AK44" s="411"/>
      <c r="AL44" s="411"/>
      <c r="AM44" s="411"/>
      <c r="AN44" s="411"/>
      <c r="AO44" s="411"/>
      <c r="AP44" s="411"/>
      <c r="AQ44" s="411"/>
      <c r="AR44" s="411"/>
      <c r="AS44" s="411"/>
      <c r="AT44" s="411"/>
      <c r="AU44" s="411"/>
    </row>
    <row r="45" spans="10:47" x14ac:dyDescent="0.15">
      <c r="J45" s="63"/>
      <c r="K45" s="63"/>
      <c r="L45" s="411"/>
      <c r="M45" s="411"/>
      <c r="N45" s="411"/>
      <c r="O45" s="411"/>
      <c r="P45" s="411"/>
      <c r="Q45" s="411"/>
      <c r="R45" s="411"/>
      <c r="S45" s="411"/>
      <c r="T45" s="411"/>
      <c r="U45" s="411"/>
      <c r="V45" s="411"/>
      <c r="W45" s="411"/>
      <c r="X45" s="411"/>
      <c r="Y45" s="411"/>
      <c r="Z45" s="411"/>
      <c r="AA45" s="411"/>
      <c r="AB45" s="411"/>
      <c r="AC45" s="411"/>
      <c r="AD45" s="411"/>
      <c r="AE45" s="411"/>
      <c r="AF45" s="411"/>
      <c r="AG45" s="411"/>
      <c r="AH45" s="411"/>
      <c r="AI45" s="411"/>
      <c r="AJ45" s="411"/>
      <c r="AK45" s="411"/>
      <c r="AL45" s="411"/>
      <c r="AM45" s="411"/>
      <c r="AN45" s="411"/>
      <c r="AO45" s="411"/>
      <c r="AP45" s="411"/>
      <c r="AQ45" s="411"/>
      <c r="AR45" s="411"/>
      <c r="AS45" s="411"/>
      <c r="AT45" s="411"/>
      <c r="AU45" s="411"/>
    </row>
    <row r="46" spans="10:47" x14ac:dyDescent="0.15">
      <c r="J46" s="63" t="s">
        <v>260</v>
      </c>
      <c r="K46" s="63"/>
      <c r="L46" s="140" t="s">
        <v>261</v>
      </c>
      <c r="M46" s="140"/>
      <c r="N46" s="140"/>
    </row>
    <row r="47" spans="10:47" x14ac:dyDescent="0.15">
      <c r="J47" s="63" t="s">
        <v>262</v>
      </c>
      <c r="K47" s="63"/>
      <c r="L47" s="140" t="s">
        <v>263</v>
      </c>
      <c r="M47" s="140"/>
      <c r="N47" s="140"/>
    </row>
    <row r="48" spans="10:47" ht="13.5" x14ac:dyDescent="0.15">
      <c r="J48" s="64"/>
      <c r="K48" s="64"/>
    </row>
    <row r="49" spans="7:47" x14ac:dyDescent="0.15">
      <c r="J49" s="63" t="s">
        <v>264</v>
      </c>
      <c r="K49" s="63"/>
    </row>
    <row r="51" spans="7:47" x14ac:dyDescent="0.15">
      <c r="J51" s="58" t="s">
        <v>265</v>
      </c>
    </row>
    <row r="53" spans="7:47" x14ac:dyDescent="0.15">
      <c r="J53" s="58" t="s">
        <v>266</v>
      </c>
    </row>
    <row r="54" spans="7:47" ht="16.5" customHeight="1" x14ac:dyDescent="0.15">
      <c r="J54" s="412" t="s">
        <v>267</v>
      </c>
      <c r="K54" s="412"/>
      <c r="L54" s="412"/>
      <c r="M54" s="412"/>
      <c r="N54" s="419" t="s">
        <v>268</v>
      </c>
      <c r="O54" s="419"/>
      <c r="P54" s="419"/>
      <c r="Q54" s="419"/>
      <c r="R54" s="419"/>
      <c r="S54" s="418" t="s">
        <v>269</v>
      </c>
      <c r="T54" s="418"/>
      <c r="U54" s="418"/>
      <c r="V54" s="418"/>
      <c r="W54" s="418"/>
      <c r="X54" s="418"/>
      <c r="Y54" s="418"/>
      <c r="Z54" s="418"/>
      <c r="AA54" s="418"/>
      <c r="AB54" s="418"/>
      <c r="AC54" s="412" t="s">
        <v>270</v>
      </c>
      <c r="AD54" s="412"/>
      <c r="AE54" s="412"/>
      <c r="AF54" s="412"/>
      <c r="AG54" s="412"/>
      <c r="AH54" s="412"/>
      <c r="AI54" s="412"/>
      <c r="AJ54" s="412"/>
      <c r="AK54" s="412"/>
      <c r="AL54" s="412"/>
      <c r="AM54" s="412"/>
      <c r="AN54" s="412"/>
      <c r="AO54" s="412"/>
      <c r="AP54" s="412"/>
      <c r="AQ54" s="412"/>
      <c r="AR54" s="412"/>
      <c r="AS54" s="412"/>
      <c r="AT54" s="412"/>
      <c r="AU54" s="412"/>
    </row>
    <row r="55" spans="7:47" ht="16.5" customHeight="1" x14ac:dyDescent="0.15">
      <c r="J55" s="412"/>
      <c r="K55" s="412"/>
      <c r="L55" s="412"/>
      <c r="M55" s="412"/>
      <c r="N55" s="419"/>
      <c r="O55" s="419"/>
      <c r="P55" s="419"/>
      <c r="Q55" s="419"/>
      <c r="R55" s="419"/>
      <c r="S55" s="418"/>
      <c r="T55" s="418"/>
      <c r="U55" s="418"/>
      <c r="V55" s="418"/>
      <c r="W55" s="418"/>
      <c r="X55" s="418"/>
      <c r="Y55" s="418"/>
      <c r="Z55" s="418"/>
      <c r="AA55" s="418"/>
      <c r="AB55" s="418"/>
      <c r="AC55" s="412"/>
      <c r="AD55" s="412"/>
      <c r="AE55" s="412"/>
      <c r="AF55" s="412"/>
      <c r="AG55" s="412"/>
      <c r="AH55" s="412"/>
      <c r="AI55" s="412"/>
      <c r="AJ55" s="412"/>
      <c r="AK55" s="412"/>
      <c r="AL55" s="412"/>
      <c r="AM55" s="412"/>
      <c r="AN55" s="412"/>
      <c r="AO55" s="412"/>
      <c r="AP55" s="412"/>
      <c r="AQ55" s="412"/>
      <c r="AR55" s="412"/>
      <c r="AS55" s="412"/>
      <c r="AT55" s="412"/>
      <c r="AU55" s="412"/>
    </row>
    <row r="56" spans="7:47" ht="16.5" customHeight="1" x14ac:dyDescent="0.15">
      <c r="J56" s="412"/>
      <c r="K56" s="412"/>
      <c r="L56" s="412"/>
      <c r="M56" s="412"/>
      <c r="N56" s="419"/>
      <c r="O56" s="419"/>
      <c r="P56" s="419"/>
      <c r="Q56" s="419"/>
      <c r="R56" s="419"/>
      <c r="S56" s="418"/>
      <c r="T56" s="418"/>
      <c r="U56" s="418"/>
      <c r="V56" s="418"/>
      <c r="W56" s="418"/>
      <c r="X56" s="418"/>
      <c r="Y56" s="418"/>
      <c r="Z56" s="418"/>
      <c r="AA56" s="418"/>
      <c r="AB56" s="418"/>
      <c r="AC56" s="412"/>
      <c r="AD56" s="412"/>
      <c r="AE56" s="412"/>
      <c r="AF56" s="412"/>
      <c r="AG56" s="412"/>
      <c r="AH56" s="412"/>
      <c r="AI56" s="412"/>
      <c r="AJ56" s="412"/>
      <c r="AK56" s="412"/>
      <c r="AL56" s="412"/>
      <c r="AM56" s="412"/>
      <c r="AN56" s="412"/>
      <c r="AO56" s="412"/>
      <c r="AP56" s="412"/>
      <c r="AQ56" s="412"/>
      <c r="AR56" s="412"/>
      <c r="AS56" s="412"/>
      <c r="AT56" s="412"/>
      <c r="AU56" s="412"/>
    </row>
    <row r="57" spans="7:47" ht="16.5" customHeight="1" x14ac:dyDescent="0.15">
      <c r="J57" s="412"/>
      <c r="K57" s="412"/>
      <c r="L57" s="412"/>
      <c r="M57" s="412"/>
      <c r="N57" s="419"/>
      <c r="O57" s="419"/>
      <c r="P57" s="419"/>
      <c r="Q57" s="419"/>
      <c r="R57" s="419"/>
      <c r="S57" s="418"/>
      <c r="T57" s="418"/>
      <c r="U57" s="418"/>
      <c r="V57" s="418"/>
      <c r="W57" s="418"/>
      <c r="X57" s="418"/>
      <c r="Y57" s="418"/>
      <c r="Z57" s="418"/>
      <c r="AA57" s="418"/>
      <c r="AB57" s="418"/>
      <c r="AC57" s="412"/>
      <c r="AD57" s="412"/>
      <c r="AE57" s="412"/>
      <c r="AF57" s="412"/>
      <c r="AG57" s="412"/>
      <c r="AH57" s="412"/>
      <c r="AI57" s="412"/>
      <c r="AJ57" s="412"/>
      <c r="AK57" s="412"/>
      <c r="AL57" s="412"/>
      <c r="AM57" s="412"/>
      <c r="AN57" s="412"/>
      <c r="AO57" s="412"/>
      <c r="AP57" s="412"/>
      <c r="AQ57" s="412"/>
      <c r="AR57" s="412"/>
      <c r="AS57" s="412"/>
      <c r="AT57" s="412"/>
      <c r="AU57" s="412"/>
    </row>
    <row r="58" spans="7:47" ht="16.5" customHeight="1" x14ac:dyDescent="0.15">
      <c r="G58" s="58" t="s">
        <v>329</v>
      </c>
      <c r="J58" s="412"/>
      <c r="K58" s="412"/>
      <c r="L58" s="412"/>
      <c r="M58" s="412"/>
      <c r="N58" s="419"/>
      <c r="O58" s="419"/>
      <c r="P58" s="419"/>
      <c r="Q58" s="419"/>
      <c r="R58" s="419"/>
      <c r="S58" s="418"/>
      <c r="T58" s="418"/>
      <c r="U58" s="418"/>
      <c r="V58" s="418"/>
      <c r="W58" s="418"/>
      <c r="X58" s="418"/>
      <c r="Y58" s="418"/>
      <c r="Z58" s="418"/>
      <c r="AA58" s="418"/>
      <c r="AB58" s="418"/>
      <c r="AC58" s="412"/>
      <c r="AD58" s="412"/>
      <c r="AE58" s="412"/>
      <c r="AF58" s="412"/>
      <c r="AG58" s="412"/>
      <c r="AH58" s="412"/>
      <c r="AI58" s="412"/>
      <c r="AJ58" s="412"/>
      <c r="AK58" s="412"/>
      <c r="AL58" s="412"/>
      <c r="AM58" s="412"/>
      <c r="AN58" s="412"/>
      <c r="AO58" s="412"/>
      <c r="AP58" s="412"/>
      <c r="AQ58" s="412"/>
      <c r="AR58" s="412"/>
      <c r="AS58" s="412"/>
      <c r="AT58" s="412"/>
      <c r="AU58" s="412"/>
    </row>
    <row r="59" spans="7:47" ht="17.100000000000001" customHeight="1" x14ac:dyDescent="0.15">
      <c r="G59" s="58">
        <v>1</v>
      </c>
      <c r="H59" s="58">
        <v>1</v>
      </c>
      <c r="J59" s="412" t="s">
        <v>271</v>
      </c>
      <c r="K59" s="412"/>
      <c r="L59" s="412"/>
      <c r="M59" s="412"/>
      <c r="N59" s="425" t="str">
        <f>中間シート!G62</f>
        <v/>
      </c>
      <c r="O59" s="425"/>
      <c r="P59" s="425"/>
      <c r="Q59" s="425"/>
      <c r="R59" s="425"/>
      <c r="S59" s="425" t="str">
        <f>IF(H59=1,中間シート!G64,"")</f>
        <v/>
      </c>
      <c r="T59" s="425"/>
      <c r="U59" s="425"/>
      <c r="V59" s="425"/>
      <c r="W59" s="425"/>
      <c r="X59" s="425"/>
      <c r="Y59" s="425"/>
      <c r="Z59" s="425"/>
      <c r="AA59" s="425"/>
      <c r="AB59" s="425"/>
      <c r="AC59" s="141" t="s">
        <v>272</v>
      </c>
      <c r="AD59" s="449" t="str">
        <f>IF(H59=1,IF(AND(中間シート!G65&lt;&gt;"",中間シート!H65&lt;&gt;""),中間シート!G65&amp;"-"&amp;中間シート!H65,""),"")</f>
        <v/>
      </c>
      <c r="AE59" s="449"/>
      <c r="AF59" s="449"/>
      <c r="AG59" s="420" t="str">
        <f>IF(H59=1,中間シート!G66&amp;中間シート!G67&amp;中間シート!G68&amp;中間シート!G69,"")</f>
        <v/>
      </c>
      <c r="AH59" s="420"/>
      <c r="AI59" s="420"/>
      <c r="AJ59" s="420"/>
      <c r="AK59" s="420"/>
      <c r="AL59" s="420"/>
      <c r="AM59" s="420"/>
      <c r="AN59" s="420"/>
      <c r="AO59" s="420"/>
      <c r="AP59" s="420"/>
      <c r="AQ59" s="420"/>
      <c r="AR59" s="420"/>
      <c r="AS59" s="420"/>
      <c r="AT59" s="420"/>
      <c r="AU59" s="421"/>
    </row>
    <row r="60" spans="7:47" ht="17.100000000000001" customHeight="1" x14ac:dyDescent="0.15">
      <c r="G60" s="58">
        <v>2</v>
      </c>
      <c r="H60" s="58">
        <f>IF(G60&lt;=中間シート!$G$60,1,0)</f>
        <v>0</v>
      </c>
      <c r="J60" s="412" t="s">
        <v>273</v>
      </c>
      <c r="K60" s="412"/>
      <c r="L60" s="412"/>
      <c r="M60" s="412"/>
      <c r="N60" s="425" t="str">
        <f>IF(H60=1,中間シート!G71,"")</f>
        <v/>
      </c>
      <c r="O60" s="425"/>
      <c r="P60" s="425"/>
      <c r="Q60" s="425"/>
      <c r="R60" s="425"/>
      <c r="S60" s="425" t="str">
        <f>IF(H60=1,中間シート!G73,"")</f>
        <v/>
      </c>
      <c r="T60" s="425"/>
      <c r="U60" s="425"/>
      <c r="V60" s="425"/>
      <c r="W60" s="425"/>
      <c r="X60" s="425"/>
      <c r="Y60" s="425"/>
      <c r="Z60" s="425"/>
      <c r="AA60" s="425"/>
      <c r="AB60" s="425"/>
      <c r="AC60" s="141" t="s">
        <v>272</v>
      </c>
      <c r="AD60" s="449" t="str">
        <f>IF(H60=1,IF(AND(中間シート!G74&lt;&gt;"",中間シート!H74&lt;&gt;""),中間シート!G74&amp;"-"&amp;中間シート!H74,""),"")</f>
        <v/>
      </c>
      <c r="AE60" s="449"/>
      <c r="AF60" s="449"/>
      <c r="AG60" s="420" t="str">
        <f>IF(H60=1,中間シート!G75&amp;中間シート!G76&amp;中間シート!G77&amp;中間シート!G78,"")</f>
        <v/>
      </c>
      <c r="AH60" s="420"/>
      <c r="AI60" s="420"/>
      <c r="AJ60" s="420"/>
      <c r="AK60" s="420"/>
      <c r="AL60" s="420"/>
      <c r="AM60" s="420"/>
      <c r="AN60" s="420"/>
      <c r="AO60" s="420"/>
      <c r="AP60" s="420"/>
      <c r="AQ60" s="420"/>
      <c r="AR60" s="420"/>
      <c r="AS60" s="420"/>
      <c r="AT60" s="420"/>
      <c r="AU60" s="421"/>
    </row>
    <row r="61" spans="7:47" ht="17.100000000000001" customHeight="1" x14ac:dyDescent="0.15">
      <c r="G61" s="58">
        <v>3</v>
      </c>
      <c r="H61" s="58">
        <f>IF(G61&lt;=中間シート!$G$60,1,0)</f>
        <v>0</v>
      </c>
      <c r="J61" s="412" t="s">
        <v>321</v>
      </c>
      <c r="K61" s="412"/>
      <c r="L61" s="412"/>
      <c r="M61" s="412"/>
      <c r="N61" s="425" t="str">
        <f>IF(H61=1,中間シート!G80,"")</f>
        <v/>
      </c>
      <c r="O61" s="425"/>
      <c r="P61" s="425"/>
      <c r="Q61" s="425"/>
      <c r="R61" s="425"/>
      <c r="S61" s="470" t="str">
        <f>IF(H61=1,中間シート!G82,"")</f>
        <v/>
      </c>
      <c r="T61" s="470"/>
      <c r="U61" s="470"/>
      <c r="V61" s="470"/>
      <c r="W61" s="470"/>
      <c r="X61" s="470"/>
      <c r="Y61" s="470"/>
      <c r="Z61" s="470"/>
      <c r="AA61" s="470"/>
      <c r="AB61" s="470"/>
      <c r="AC61" s="141" t="s">
        <v>272</v>
      </c>
      <c r="AD61" s="449" t="str">
        <f>IF(H61=1,IF(AND(中間シート!G83&lt;&gt;"",中間シート!H83&lt;&gt;""),中間シート!G83&amp;"-"&amp;中間シート!H83,""),"")</f>
        <v/>
      </c>
      <c r="AE61" s="449"/>
      <c r="AF61" s="449"/>
      <c r="AG61" s="420" t="str">
        <f>IF(H61=1,中間シート!G84&amp;中間シート!G85&amp;中間シート!G86&amp;中間シート!G87,"")</f>
        <v/>
      </c>
      <c r="AH61" s="420"/>
      <c r="AI61" s="420"/>
      <c r="AJ61" s="420"/>
      <c r="AK61" s="420"/>
      <c r="AL61" s="420"/>
      <c r="AM61" s="420"/>
      <c r="AN61" s="420"/>
      <c r="AO61" s="420"/>
      <c r="AP61" s="420"/>
      <c r="AQ61" s="420"/>
      <c r="AR61" s="420"/>
      <c r="AS61" s="420"/>
      <c r="AT61" s="420"/>
      <c r="AU61" s="421"/>
    </row>
    <row r="62" spans="7:47" ht="17.100000000000001" customHeight="1" x14ac:dyDescent="0.15">
      <c r="G62" s="58">
        <v>4</v>
      </c>
      <c r="H62" s="58">
        <f>IF(G62&lt;=中間シート!$G$60,1,0)</f>
        <v>0</v>
      </c>
      <c r="J62" s="412" t="s">
        <v>322</v>
      </c>
      <c r="K62" s="412"/>
      <c r="L62" s="412"/>
      <c r="M62" s="412"/>
      <c r="N62" s="425" t="str">
        <f>IF(H62=1,中間シート!G89,"")</f>
        <v/>
      </c>
      <c r="O62" s="425"/>
      <c r="P62" s="425"/>
      <c r="Q62" s="425"/>
      <c r="R62" s="425"/>
      <c r="S62" s="425" t="str">
        <f>IF(H62=1,中間シート!G91,"")</f>
        <v/>
      </c>
      <c r="T62" s="425"/>
      <c r="U62" s="425"/>
      <c r="V62" s="425"/>
      <c r="W62" s="425"/>
      <c r="X62" s="425"/>
      <c r="Y62" s="425"/>
      <c r="Z62" s="425"/>
      <c r="AA62" s="425"/>
      <c r="AB62" s="425"/>
      <c r="AC62" s="141" t="s">
        <v>272</v>
      </c>
      <c r="AD62" s="449" t="str">
        <f>IF(H62=1,IF(AND(中間シート!G92&lt;&gt;"",中間シート!H92&lt;&gt;""),中間シート!G92&amp;"-"&amp;中間シート!H92,""),"")</f>
        <v/>
      </c>
      <c r="AE62" s="449"/>
      <c r="AF62" s="449"/>
      <c r="AG62" s="420" t="str">
        <f>IF(H62=1,中間シート!G93&amp;中間シート!G94&amp;中間シート!G95&amp;中間シート!G96,"")</f>
        <v/>
      </c>
      <c r="AH62" s="420"/>
      <c r="AI62" s="420"/>
      <c r="AJ62" s="420"/>
      <c r="AK62" s="420"/>
      <c r="AL62" s="420"/>
      <c r="AM62" s="420"/>
      <c r="AN62" s="420"/>
      <c r="AO62" s="420"/>
      <c r="AP62" s="420"/>
      <c r="AQ62" s="420"/>
      <c r="AR62" s="420"/>
      <c r="AS62" s="420"/>
      <c r="AT62" s="420"/>
      <c r="AU62" s="421"/>
    </row>
    <row r="63" spans="7:47" ht="17.100000000000001" customHeight="1" x14ac:dyDescent="0.15">
      <c r="G63" s="58">
        <v>5</v>
      </c>
      <c r="H63" s="58">
        <f>IF(G63&lt;=中間シート!$G$60,1,0)</f>
        <v>0</v>
      </c>
      <c r="J63" s="412" t="s">
        <v>323</v>
      </c>
      <c r="K63" s="412"/>
      <c r="L63" s="412"/>
      <c r="M63" s="412"/>
      <c r="N63" s="425" t="str">
        <f>IF(H63=1,中間シート!G98,"")</f>
        <v/>
      </c>
      <c r="O63" s="425"/>
      <c r="P63" s="425"/>
      <c r="Q63" s="425"/>
      <c r="R63" s="425"/>
      <c r="S63" s="425" t="str">
        <f>IF(H63=1,中間シート!G100,"")</f>
        <v/>
      </c>
      <c r="T63" s="425"/>
      <c r="U63" s="425"/>
      <c r="V63" s="425"/>
      <c r="W63" s="425"/>
      <c r="X63" s="425"/>
      <c r="Y63" s="425"/>
      <c r="Z63" s="425"/>
      <c r="AA63" s="425"/>
      <c r="AB63" s="425"/>
      <c r="AC63" s="141" t="s">
        <v>272</v>
      </c>
      <c r="AD63" s="449" t="str">
        <f>IF(H63=1,IF(AND(中間シート!G101&lt;&gt;"",中間シート!H101&lt;&gt;""),中間シート!G101&amp;"-"&amp;中間シート!H101,""),"")</f>
        <v/>
      </c>
      <c r="AE63" s="449"/>
      <c r="AF63" s="449"/>
      <c r="AG63" s="420" t="str">
        <f>IF(H63=1,中間シート!G102&amp;中間シート!G103&amp;中間シート!G104&amp;中間シート!G105,"")</f>
        <v/>
      </c>
      <c r="AH63" s="420"/>
      <c r="AI63" s="420"/>
      <c r="AJ63" s="420"/>
      <c r="AK63" s="420"/>
      <c r="AL63" s="420"/>
      <c r="AM63" s="420"/>
      <c r="AN63" s="420"/>
      <c r="AO63" s="420"/>
      <c r="AP63" s="420"/>
      <c r="AQ63" s="420"/>
      <c r="AR63" s="420"/>
      <c r="AS63" s="420"/>
      <c r="AT63" s="420"/>
      <c r="AU63" s="421"/>
    </row>
    <row r="64" spans="7:47" ht="17.100000000000001" customHeight="1" x14ac:dyDescent="0.15">
      <c r="G64" s="58">
        <v>6</v>
      </c>
      <c r="H64" s="58">
        <f>IF(G64&lt;=中間シート!$G$60,1,0)</f>
        <v>0</v>
      </c>
      <c r="J64" s="412" t="s">
        <v>324</v>
      </c>
      <c r="K64" s="412"/>
      <c r="L64" s="412"/>
      <c r="M64" s="412"/>
      <c r="N64" s="425" t="str">
        <f>IF(H64=1,中間シート!G107,"")</f>
        <v/>
      </c>
      <c r="O64" s="425"/>
      <c r="P64" s="425"/>
      <c r="Q64" s="425"/>
      <c r="R64" s="425"/>
      <c r="S64" s="425" t="str">
        <f>IF(H64=1,中間シート!G109,"")</f>
        <v/>
      </c>
      <c r="T64" s="425"/>
      <c r="U64" s="425"/>
      <c r="V64" s="425"/>
      <c r="W64" s="425"/>
      <c r="X64" s="425"/>
      <c r="Y64" s="425"/>
      <c r="Z64" s="425"/>
      <c r="AA64" s="425"/>
      <c r="AB64" s="425"/>
      <c r="AC64" s="141" t="s">
        <v>272</v>
      </c>
      <c r="AD64" s="449" t="str">
        <f>IF(H64=1,IF(AND(中間シート!G110&lt;&gt;"",中間シート!H110&lt;&gt;""),中間シート!G110&amp;"-"&amp;中間シート!H110,""),"")</f>
        <v/>
      </c>
      <c r="AE64" s="449"/>
      <c r="AF64" s="449"/>
      <c r="AG64" s="420" t="str">
        <f>IF(H64=1,中間シート!G111&amp;中間シート!G112&amp;中間シート!G113&amp;中間シート!G114,"")</f>
        <v/>
      </c>
      <c r="AH64" s="420"/>
      <c r="AI64" s="420"/>
      <c r="AJ64" s="420"/>
      <c r="AK64" s="420"/>
      <c r="AL64" s="420"/>
      <c r="AM64" s="420"/>
      <c r="AN64" s="420"/>
      <c r="AO64" s="420"/>
      <c r="AP64" s="420"/>
      <c r="AQ64" s="420"/>
      <c r="AR64" s="420"/>
      <c r="AS64" s="420"/>
      <c r="AT64" s="420"/>
      <c r="AU64" s="421"/>
    </row>
    <row r="65" spans="7:47" ht="17.100000000000001" customHeight="1" x14ac:dyDescent="0.15">
      <c r="G65" s="58">
        <v>7</v>
      </c>
      <c r="H65" s="58">
        <f>IF(G65&lt;=中間シート!$G$60,1,0)</f>
        <v>0</v>
      </c>
      <c r="J65" s="412" t="s">
        <v>325</v>
      </c>
      <c r="K65" s="412"/>
      <c r="L65" s="412"/>
      <c r="M65" s="412"/>
      <c r="N65" s="425" t="str">
        <f>IF(H65=1,中間シート!G116,"")</f>
        <v/>
      </c>
      <c r="O65" s="425"/>
      <c r="P65" s="425"/>
      <c r="Q65" s="425"/>
      <c r="R65" s="425"/>
      <c r="S65" s="425" t="str">
        <f>IF(H65=1,中間シート!G118,"")</f>
        <v/>
      </c>
      <c r="T65" s="425"/>
      <c r="U65" s="425"/>
      <c r="V65" s="425"/>
      <c r="W65" s="425"/>
      <c r="X65" s="425"/>
      <c r="Y65" s="425"/>
      <c r="Z65" s="425"/>
      <c r="AA65" s="425"/>
      <c r="AB65" s="425"/>
      <c r="AC65" s="141" t="s">
        <v>272</v>
      </c>
      <c r="AD65" s="449" t="str">
        <f>IF(H65=1,IF(AND(中間シート!G119&lt;&gt;"",中間シート!H119&lt;&gt;""),中間シート!G119&amp;"-"&amp;中間シート!H119,""),"")</f>
        <v/>
      </c>
      <c r="AE65" s="449"/>
      <c r="AF65" s="449"/>
      <c r="AG65" s="420" t="str">
        <f>IF(H65=1,中間シート!G120&amp;中間シート!G121&amp;中間シート!G122&amp;中間シート!G123,"")</f>
        <v/>
      </c>
      <c r="AH65" s="420"/>
      <c r="AI65" s="420"/>
      <c r="AJ65" s="420"/>
      <c r="AK65" s="420"/>
      <c r="AL65" s="420"/>
      <c r="AM65" s="420"/>
      <c r="AN65" s="420"/>
      <c r="AO65" s="420"/>
      <c r="AP65" s="420"/>
      <c r="AQ65" s="420"/>
      <c r="AR65" s="420"/>
      <c r="AS65" s="420"/>
      <c r="AT65" s="420"/>
      <c r="AU65" s="421"/>
    </row>
    <row r="66" spans="7:47" ht="17.100000000000001" customHeight="1" x14ac:dyDescent="0.15">
      <c r="G66" s="58">
        <v>8</v>
      </c>
      <c r="H66" s="58">
        <f>IF(G66&lt;=中間シート!$G$60,1,0)</f>
        <v>0</v>
      </c>
      <c r="J66" s="412" t="s">
        <v>326</v>
      </c>
      <c r="K66" s="412"/>
      <c r="L66" s="412"/>
      <c r="M66" s="412"/>
      <c r="N66" s="425" t="str">
        <f>IF(H66=1,中間シート!G125,"")</f>
        <v/>
      </c>
      <c r="O66" s="425"/>
      <c r="P66" s="425"/>
      <c r="Q66" s="425"/>
      <c r="R66" s="425"/>
      <c r="S66" s="425" t="str">
        <f>IF(H66=1,中間シート!G127,"")</f>
        <v/>
      </c>
      <c r="T66" s="425"/>
      <c r="U66" s="425"/>
      <c r="V66" s="425"/>
      <c r="W66" s="425"/>
      <c r="X66" s="425"/>
      <c r="Y66" s="425"/>
      <c r="Z66" s="425"/>
      <c r="AA66" s="425"/>
      <c r="AB66" s="425"/>
      <c r="AC66" s="141" t="s">
        <v>272</v>
      </c>
      <c r="AD66" s="449" t="str">
        <f>IF(H66=1,IF(AND(中間シート!G128&lt;&gt;"",中間シート!H128&lt;&gt;""),中間シート!G128&amp;"-"&amp;中間シート!H128,""),"")</f>
        <v/>
      </c>
      <c r="AE66" s="449"/>
      <c r="AF66" s="449"/>
      <c r="AG66" s="420" t="str">
        <f>IF(H66=1,中間シート!G129&amp;中間シート!G130&amp;中間シート!G131&amp;中間シート!G132,"")</f>
        <v/>
      </c>
      <c r="AH66" s="420"/>
      <c r="AI66" s="420"/>
      <c r="AJ66" s="420"/>
      <c r="AK66" s="420"/>
      <c r="AL66" s="420"/>
      <c r="AM66" s="420"/>
      <c r="AN66" s="420"/>
      <c r="AO66" s="420"/>
      <c r="AP66" s="420"/>
      <c r="AQ66" s="420"/>
      <c r="AR66" s="420"/>
      <c r="AS66" s="420"/>
      <c r="AT66" s="420"/>
      <c r="AU66" s="421"/>
    </row>
    <row r="67" spans="7:47" ht="17.100000000000001" customHeight="1" x14ac:dyDescent="0.15">
      <c r="G67" s="58">
        <v>9</v>
      </c>
      <c r="H67" s="58">
        <f>IF(G67&lt;=中間シート!$G$60,1,0)</f>
        <v>0</v>
      </c>
      <c r="J67" s="412" t="s">
        <v>327</v>
      </c>
      <c r="K67" s="412"/>
      <c r="L67" s="412"/>
      <c r="M67" s="412"/>
      <c r="N67" s="425" t="str">
        <f>IF(H67=1,中間シート!G134,"")</f>
        <v/>
      </c>
      <c r="O67" s="425"/>
      <c r="P67" s="425"/>
      <c r="Q67" s="425"/>
      <c r="R67" s="425"/>
      <c r="S67" s="425" t="str">
        <f>IF(H67=1,中間シート!G136,"")</f>
        <v/>
      </c>
      <c r="T67" s="425"/>
      <c r="U67" s="425"/>
      <c r="V67" s="425"/>
      <c r="W67" s="425"/>
      <c r="X67" s="425"/>
      <c r="Y67" s="425"/>
      <c r="Z67" s="425"/>
      <c r="AA67" s="425"/>
      <c r="AB67" s="425"/>
      <c r="AC67" s="141" t="s">
        <v>272</v>
      </c>
      <c r="AD67" s="449" t="str">
        <f>IF(H67=1,IF(AND(中間シート!G137&lt;&gt;"",中間シート!H137&lt;&gt;""),中間シート!G137&amp;"-"&amp;中間シート!H137,""),"")</f>
        <v/>
      </c>
      <c r="AE67" s="449"/>
      <c r="AF67" s="449"/>
      <c r="AG67" s="420" t="str">
        <f>IF(H67=1,中間シート!G138&amp;中間シート!G139&amp;中間シート!G140&amp;中間シート!G141,"")</f>
        <v/>
      </c>
      <c r="AH67" s="420"/>
      <c r="AI67" s="420"/>
      <c r="AJ67" s="420"/>
      <c r="AK67" s="420"/>
      <c r="AL67" s="420"/>
      <c r="AM67" s="420"/>
      <c r="AN67" s="420"/>
      <c r="AO67" s="420"/>
      <c r="AP67" s="420"/>
      <c r="AQ67" s="420"/>
      <c r="AR67" s="420"/>
      <c r="AS67" s="420"/>
      <c r="AT67" s="420"/>
      <c r="AU67" s="421"/>
    </row>
    <row r="68" spans="7:47" ht="17.100000000000001" customHeight="1" x14ac:dyDescent="0.15">
      <c r="G68" s="58">
        <v>10</v>
      </c>
      <c r="H68" s="58">
        <f>IF(G68&lt;=中間シート!$G$60,1,0)</f>
        <v>0</v>
      </c>
      <c r="J68" s="412" t="s">
        <v>328</v>
      </c>
      <c r="K68" s="412"/>
      <c r="L68" s="412"/>
      <c r="M68" s="412"/>
      <c r="N68" s="425" t="str">
        <f>IF(H68=1,中間シート!G143,"")</f>
        <v/>
      </c>
      <c r="O68" s="425"/>
      <c r="P68" s="425"/>
      <c r="Q68" s="425"/>
      <c r="R68" s="425"/>
      <c r="S68" s="425" t="str">
        <f>IF(H68=1,中間シート!G145,"")</f>
        <v/>
      </c>
      <c r="T68" s="425"/>
      <c r="U68" s="425"/>
      <c r="V68" s="425"/>
      <c r="W68" s="425"/>
      <c r="X68" s="425"/>
      <c r="Y68" s="425"/>
      <c r="Z68" s="425"/>
      <c r="AA68" s="425"/>
      <c r="AB68" s="425"/>
      <c r="AC68" s="141" t="s">
        <v>272</v>
      </c>
      <c r="AD68" s="449" t="str">
        <f>IF(H68=1,IF(AND(中間シート!G146&lt;&gt;"",中間シート!H146&lt;&gt;""),中間シート!G146&amp;"-"&amp;中間シート!H146,""),"")</f>
        <v/>
      </c>
      <c r="AE68" s="449"/>
      <c r="AF68" s="449"/>
      <c r="AG68" s="420" t="str">
        <f>IF(H68=1,中間シート!G147&amp;中間シート!G148&amp;中間シート!G149&amp;中間シート!G150,"")</f>
        <v/>
      </c>
      <c r="AH68" s="420"/>
      <c r="AI68" s="420"/>
      <c r="AJ68" s="420"/>
      <c r="AK68" s="420"/>
      <c r="AL68" s="420"/>
      <c r="AM68" s="420"/>
      <c r="AN68" s="420"/>
      <c r="AO68" s="420"/>
      <c r="AP68" s="420"/>
      <c r="AQ68" s="420"/>
      <c r="AR68" s="420"/>
      <c r="AS68" s="420"/>
      <c r="AT68" s="420"/>
      <c r="AU68" s="421"/>
    </row>
    <row r="69" spans="7:47" ht="17.100000000000001" customHeight="1" x14ac:dyDescent="0.15">
      <c r="G69" s="58">
        <v>11</v>
      </c>
      <c r="H69" s="58">
        <f>IF(G69&lt;=中間シート!$G$60,1,0)</f>
        <v>0</v>
      </c>
      <c r="J69" s="412" t="s">
        <v>330</v>
      </c>
      <c r="K69" s="412"/>
      <c r="L69" s="412"/>
      <c r="M69" s="412"/>
      <c r="N69" s="425" t="str">
        <f>IF(H69=1,中間シート!G152,"")</f>
        <v/>
      </c>
      <c r="O69" s="425"/>
      <c r="P69" s="425"/>
      <c r="Q69" s="425"/>
      <c r="R69" s="425"/>
      <c r="S69" s="425" t="str">
        <f>IF(H69=1,中間シート!G154,"")</f>
        <v/>
      </c>
      <c r="T69" s="425"/>
      <c r="U69" s="425"/>
      <c r="V69" s="425"/>
      <c r="W69" s="425"/>
      <c r="X69" s="425"/>
      <c r="Y69" s="425"/>
      <c r="Z69" s="425"/>
      <c r="AA69" s="425"/>
      <c r="AB69" s="425"/>
      <c r="AC69" s="141" t="s">
        <v>272</v>
      </c>
      <c r="AD69" s="449" t="str">
        <f>IF(H69=1,IF(AND(中間シート!G155&lt;&gt;"",中間シート!H155&lt;&gt;""),中間シート!G155&amp;"-"&amp;中間シート!H155,""),"")</f>
        <v/>
      </c>
      <c r="AE69" s="449"/>
      <c r="AF69" s="449"/>
      <c r="AG69" s="420" t="str">
        <f>IF(H69=1,中間シート!G156&amp;中間シート!G157&amp;中間シート!G158&amp;中間シート!G159,"")</f>
        <v/>
      </c>
      <c r="AH69" s="420"/>
      <c r="AI69" s="420"/>
      <c r="AJ69" s="420"/>
      <c r="AK69" s="420"/>
      <c r="AL69" s="420"/>
      <c r="AM69" s="420"/>
      <c r="AN69" s="420"/>
      <c r="AO69" s="420"/>
      <c r="AP69" s="420"/>
      <c r="AQ69" s="420"/>
      <c r="AR69" s="420"/>
      <c r="AS69" s="420"/>
      <c r="AT69" s="420"/>
      <c r="AU69" s="421"/>
    </row>
    <row r="70" spans="7:47" ht="17.100000000000001" customHeight="1" x14ac:dyDescent="0.15">
      <c r="G70" s="58">
        <v>12</v>
      </c>
      <c r="H70" s="58">
        <f>IF(G70&lt;=中間シート!$G$60,1,0)</f>
        <v>0</v>
      </c>
      <c r="J70" s="412" t="s">
        <v>331</v>
      </c>
      <c r="K70" s="412"/>
      <c r="L70" s="412"/>
      <c r="M70" s="412"/>
      <c r="N70" s="425" t="str">
        <f>IF(H70=1,中間シート!G161,"")</f>
        <v/>
      </c>
      <c r="O70" s="425"/>
      <c r="P70" s="425"/>
      <c r="Q70" s="425"/>
      <c r="R70" s="425"/>
      <c r="S70" s="425" t="str">
        <f>IF(H70=1,中間シート!G163,"")</f>
        <v/>
      </c>
      <c r="T70" s="425"/>
      <c r="U70" s="425"/>
      <c r="V70" s="425"/>
      <c r="W70" s="425"/>
      <c r="X70" s="425"/>
      <c r="Y70" s="425"/>
      <c r="Z70" s="425"/>
      <c r="AA70" s="425"/>
      <c r="AB70" s="425"/>
      <c r="AC70" s="141" t="s">
        <v>272</v>
      </c>
      <c r="AD70" s="449" t="str">
        <f>IF(H70=1,IF(AND(中間シート!G164&lt;&gt;"",中間シート!H164&lt;&gt;""),中間シート!G164&amp;"-"&amp;中間シート!H164,""),"")</f>
        <v/>
      </c>
      <c r="AE70" s="449"/>
      <c r="AF70" s="449"/>
      <c r="AG70" s="420" t="str">
        <f>IF(H70=1,中間シート!G165&amp;中間シート!G166&amp;中間シート!G167&amp;中間シート!G168,"")</f>
        <v/>
      </c>
      <c r="AH70" s="420"/>
      <c r="AI70" s="420"/>
      <c r="AJ70" s="420"/>
      <c r="AK70" s="420"/>
      <c r="AL70" s="420"/>
      <c r="AM70" s="420"/>
      <c r="AN70" s="420"/>
      <c r="AO70" s="420"/>
      <c r="AP70" s="420"/>
      <c r="AQ70" s="420"/>
      <c r="AR70" s="420"/>
      <c r="AS70" s="420"/>
      <c r="AT70" s="420"/>
      <c r="AU70" s="421"/>
    </row>
    <row r="71" spans="7:47" ht="17.100000000000001" customHeight="1" x14ac:dyDescent="0.15">
      <c r="G71" s="58">
        <v>13</v>
      </c>
      <c r="H71" s="58">
        <f>IF(G71&lt;=中間シート!$G$60,1,0)</f>
        <v>0</v>
      </c>
      <c r="J71" s="412" t="s">
        <v>332</v>
      </c>
      <c r="K71" s="412"/>
      <c r="L71" s="412"/>
      <c r="M71" s="412"/>
      <c r="N71" s="425" t="str">
        <f>IF(H71=1,中間シート!G170,"")</f>
        <v/>
      </c>
      <c r="O71" s="425"/>
      <c r="P71" s="425"/>
      <c r="Q71" s="425"/>
      <c r="R71" s="425"/>
      <c r="S71" s="425" t="str">
        <f>IF(H71=1,中間シート!G172,"")</f>
        <v/>
      </c>
      <c r="T71" s="425"/>
      <c r="U71" s="425"/>
      <c r="V71" s="425"/>
      <c r="W71" s="425"/>
      <c r="X71" s="425"/>
      <c r="Y71" s="425"/>
      <c r="Z71" s="425"/>
      <c r="AA71" s="425"/>
      <c r="AB71" s="425"/>
      <c r="AC71" s="141" t="s">
        <v>272</v>
      </c>
      <c r="AD71" s="449" t="str">
        <f>IF(H71=1,IF(AND(中間シート!G173&lt;&gt;"",中間シート!H173&lt;&gt;""),中間シート!G173&amp;"-"&amp;中間シート!H173,""),"")</f>
        <v/>
      </c>
      <c r="AE71" s="449"/>
      <c r="AF71" s="449"/>
      <c r="AG71" s="420" t="str">
        <f>IF(H71=1,中間シート!G174&amp;中間シート!G175&amp;中間シート!G176&amp;中間シート!G177,"")</f>
        <v/>
      </c>
      <c r="AH71" s="420"/>
      <c r="AI71" s="420"/>
      <c r="AJ71" s="420"/>
      <c r="AK71" s="420"/>
      <c r="AL71" s="420"/>
      <c r="AM71" s="420"/>
      <c r="AN71" s="420"/>
      <c r="AO71" s="420"/>
      <c r="AP71" s="420"/>
      <c r="AQ71" s="420"/>
      <c r="AR71" s="420"/>
      <c r="AS71" s="420"/>
      <c r="AT71" s="420"/>
      <c r="AU71" s="421"/>
    </row>
    <row r="72" spans="7:47" ht="17.100000000000001" customHeight="1" x14ac:dyDescent="0.15">
      <c r="G72" s="58">
        <v>14</v>
      </c>
      <c r="H72" s="58">
        <f>IF(G72&lt;=中間シート!$G$60,1,0)</f>
        <v>0</v>
      </c>
      <c r="J72" s="412" t="s">
        <v>333</v>
      </c>
      <c r="K72" s="412"/>
      <c r="L72" s="412"/>
      <c r="M72" s="412"/>
      <c r="N72" s="425" t="str">
        <f>IF(H72=1,中間シート!G179,"")</f>
        <v/>
      </c>
      <c r="O72" s="425"/>
      <c r="P72" s="425"/>
      <c r="Q72" s="425"/>
      <c r="R72" s="425"/>
      <c r="S72" s="425" t="str">
        <f>IF(H72=1,中間シート!G181,"")</f>
        <v/>
      </c>
      <c r="T72" s="425"/>
      <c r="U72" s="425"/>
      <c r="V72" s="425"/>
      <c r="W72" s="425"/>
      <c r="X72" s="425"/>
      <c r="Y72" s="425"/>
      <c r="Z72" s="425"/>
      <c r="AA72" s="425"/>
      <c r="AB72" s="425"/>
      <c r="AC72" s="141" t="s">
        <v>272</v>
      </c>
      <c r="AD72" s="449" t="str">
        <f>IF(H72=1,IF(AND(中間シート!G182&lt;&gt;"",中間シート!H182&lt;&gt;""),中間シート!G182&amp;"-"&amp;中間シート!H182,""),"")</f>
        <v/>
      </c>
      <c r="AE72" s="449"/>
      <c r="AF72" s="449"/>
      <c r="AG72" s="420" t="str">
        <f>IF(H72=1,中間シート!G183&amp;中間シート!G184&amp;中間シート!G185&amp;中間シート!G186,"")</f>
        <v/>
      </c>
      <c r="AH72" s="420"/>
      <c r="AI72" s="420"/>
      <c r="AJ72" s="420"/>
      <c r="AK72" s="420"/>
      <c r="AL72" s="420"/>
      <c r="AM72" s="420"/>
      <c r="AN72" s="420"/>
      <c r="AO72" s="420"/>
      <c r="AP72" s="420"/>
      <c r="AQ72" s="420"/>
      <c r="AR72" s="420"/>
      <c r="AS72" s="420"/>
      <c r="AT72" s="420"/>
      <c r="AU72" s="421"/>
    </row>
    <row r="73" spans="7:47" ht="17.100000000000001" customHeight="1" x14ac:dyDescent="0.15">
      <c r="G73" s="58">
        <v>15</v>
      </c>
      <c r="H73" s="58">
        <f>IF(G73&lt;=中間シート!$G$60,1,0)</f>
        <v>0</v>
      </c>
      <c r="J73" s="412" t="s">
        <v>334</v>
      </c>
      <c r="K73" s="412"/>
      <c r="L73" s="412"/>
      <c r="M73" s="412"/>
      <c r="N73" s="425" t="str">
        <f>IF(H73=1,中間シート!G188,"")</f>
        <v/>
      </c>
      <c r="O73" s="425"/>
      <c r="P73" s="425"/>
      <c r="Q73" s="425"/>
      <c r="R73" s="425"/>
      <c r="S73" s="425" t="str">
        <f>IF(H73=1,中間シート!G190,"")</f>
        <v/>
      </c>
      <c r="T73" s="425"/>
      <c r="U73" s="425"/>
      <c r="V73" s="425"/>
      <c r="W73" s="425"/>
      <c r="X73" s="425"/>
      <c r="Y73" s="425"/>
      <c r="Z73" s="425"/>
      <c r="AA73" s="425"/>
      <c r="AB73" s="425"/>
      <c r="AC73" s="141" t="s">
        <v>272</v>
      </c>
      <c r="AD73" s="449" t="str">
        <f>IF(H73=1,IF(AND(中間シート!G191&lt;&gt;"",中間シート!H191&lt;&gt;""),中間シート!G191&amp;"-"&amp;中間シート!H191,""),"")</f>
        <v/>
      </c>
      <c r="AE73" s="449"/>
      <c r="AF73" s="449"/>
      <c r="AG73" s="420" t="str">
        <f>IF(H73=1,中間シート!G192&amp;中間シート!G193&amp;中間シート!G194&amp;中間シート!G195,"")</f>
        <v/>
      </c>
      <c r="AH73" s="420"/>
      <c r="AI73" s="420"/>
      <c r="AJ73" s="420"/>
      <c r="AK73" s="420"/>
      <c r="AL73" s="420"/>
      <c r="AM73" s="420"/>
      <c r="AN73" s="420"/>
      <c r="AO73" s="420"/>
      <c r="AP73" s="420"/>
      <c r="AQ73" s="420"/>
      <c r="AR73" s="420"/>
      <c r="AS73" s="420"/>
      <c r="AT73" s="420"/>
      <c r="AU73" s="421"/>
    </row>
    <row r="74" spans="7:47" ht="17.100000000000001" customHeight="1" x14ac:dyDescent="0.15">
      <c r="G74" s="58">
        <v>16</v>
      </c>
      <c r="H74" s="58">
        <f>IF(G74&lt;=中間シート!$G$60,1,0)</f>
        <v>0</v>
      </c>
      <c r="J74" s="412" t="s">
        <v>335</v>
      </c>
      <c r="K74" s="412"/>
      <c r="L74" s="412"/>
      <c r="M74" s="412"/>
      <c r="N74" s="425" t="str">
        <f>IF(H74=1,中間シート!G197,"")</f>
        <v/>
      </c>
      <c r="O74" s="425"/>
      <c r="P74" s="425"/>
      <c r="Q74" s="425"/>
      <c r="R74" s="425"/>
      <c r="S74" s="425" t="str">
        <f>IF(H74=1,中間シート!G199,"")</f>
        <v/>
      </c>
      <c r="T74" s="425"/>
      <c r="U74" s="425"/>
      <c r="V74" s="425"/>
      <c r="W74" s="425"/>
      <c r="X74" s="425"/>
      <c r="Y74" s="425"/>
      <c r="Z74" s="425"/>
      <c r="AA74" s="425"/>
      <c r="AB74" s="425"/>
      <c r="AC74" s="141" t="s">
        <v>272</v>
      </c>
      <c r="AD74" s="449" t="str">
        <f>IF(H74=1,IF(AND(中間シート!G200&lt;&gt;"",中間シート!H200&lt;&gt;""),中間シート!G200&amp;"-"&amp;中間シート!H200,""),"")</f>
        <v/>
      </c>
      <c r="AE74" s="449"/>
      <c r="AF74" s="449"/>
      <c r="AG74" s="420" t="str">
        <f>IF(H74=1,中間シート!G201&amp;中間シート!G202&amp;中間シート!G203&amp;中間シート!G204,"")</f>
        <v/>
      </c>
      <c r="AH74" s="420"/>
      <c r="AI74" s="420"/>
      <c r="AJ74" s="420"/>
      <c r="AK74" s="420"/>
      <c r="AL74" s="420"/>
      <c r="AM74" s="420"/>
      <c r="AN74" s="420"/>
      <c r="AO74" s="420"/>
      <c r="AP74" s="420"/>
      <c r="AQ74" s="420"/>
      <c r="AR74" s="420"/>
      <c r="AS74" s="420"/>
      <c r="AT74" s="420"/>
      <c r="AU74" s="421"/>
    </row>
    <row r="75" spans="7:47" ht="17.100000000000001" customHeight="1" x14ac:dyDescent="0.15">
      <c r="G75" s="58">
        <v>17</v>
      </c>
      <c r="H75" s="58">
        <f>IF(G75&lt;=中間シート!$G$60,1,0)</f>
        <v>0</v>
      </c>
      <c r="J75" s="412" t="s">
        <v>336</v>
      </c>
      <c r="K75" s="412"/>
      <c r="L75" s="412"/>
      <c r="M75" s="412"/>
      <c r="N75" s="425" t="str">
        <f>IF(H75=1,中間シート!G206,"")</f>
        <v/>
      </c>
      <c r="O75" s="425"/>
      <c r="P75" s="425"/>
      <c r="Q75" s="425"/>
      <c r="R75" s="425"/>
      <c r="S75" s="425" t="str">
        <f>IF(H75=1,中間シート!G208,"")</f>
        <v/>
      </c>
      <c r="T75" s="425"/>
      <c r="U75" s="425"/>
      <c r="V75" s="425"/>
      <c r="W75" s="425"/>
      <c r="X75" s="425"/>
      <c r="Y75" s="425"/>
      <c r="Z75" s="425"/>
      <c r="AA75" s="425"/>
      <c r="AB75" s="425"/>
      <c r="AC75" s="141" t="s">
        <v>272</v>
      </c>
      <c r="AD75" s="449" t="str">
        <f>IF(H75=1,IF(AND(中間シート!G209&lt;&gt;"",中間シート!H209&lt;&gt;""),中間シート!G209&amp;"-"&amp;中間シート!H209,""),"")</f>
        <v/>
      </c>
      <c r="AE75" s="449"/>
      <c r="AF75" s="449"/>
      <c r="AG75" s="420" t="str">
        <f>IF(H75=1,中間シート!G210&amp;中間シート!G211&amp;中間シート!G212&amp;中間シート!G213,"")</f>
        <v/>
      </c>
      <c r="AH75" s="420"/>
      <c r="AI75" s="420"/>
      <c r="AJ75" s="420"/>
      <c r="AK75" s="420"/>
      <c r="AL75" s="420"/>
      <c r="AM75" s="420"/>
      <c r="AN75" s="420"/>
      <c r="AO75" s="420"/>
      <c r="AP75" s="420"/>
      <c r="AQ75" s="420"/>
      <c r="AR75" s="420"/>
      <c r="AS75" s="420"/>
      <c r="AT75" s="420"/>
      <c r="AU75" s="421"/>
    </row>
    <row r="76" spans="7:47" ht="17.100000000000001" customHeight="1" x14ac:dyDescent="0.15">
      <c r="G76" s="58">
        <v>18</v>
      </c>
      <c r="H76" s="58">
        <f>IF(G76&lt;=中間シート!$G$60,1,0)</f>
        <v>0</v>
      </c>
      <c r="J76" s="412" t="s">
        <v>337</v>
      </c>
      <c r="K76" s="412"/>
      <c r="L76" s="412"/>
      <c r="M76" s="412"/>
      <c r="N76" s="425" t="str">
        <f>IF(H76=1,中間シート!G215,"")</f>
        <v/>
      </c>
      <c r="O76" s="425"/>
      <c r="P76" s="425"/>
      <c r="Q76" s="425"/>
      <c r="R76" s="425"/>
      <c r="S76" s="425" t="str">
        <f>IF(H76=1,中間シート!G217,"")</f>
        <v/>
      </c>
      <c r="T76" s="425"/>
      <c r="U76" s="425"/>
      <c r="V76" s="425"/>
      <c r="W76" s="425"/>
      <c r="X76" s="425"/>
      <c r="Y76" s="425"/>
      <c r="Z76" s="425"/>
      <c r="AA76" s="425"/>
      <c r="AB76" s="425"/>
      <c r="AC76" s="141" t="s">
        <v>272</v>
      </c>
      <c r="AD76" s="449" t="str">
        <f>IF(H76=1,IF(AND(中間シート!G218&lt;&gt;"",中間シート!H218&lt;&gt;""),中間シート!G218&amp;"-"&amp;中間シート!H218,""),"")</f>
        <v/>
      </c>
      <c r="AE76" s="449"/>
      <c r="AF76" s="449"/>
      <c r="AG76" s="420" t="str">
        <f>IF(H76=1,中間シート!G219&amp;中間シート!G220&amp;中間シート!G221&amp;中間シート!G222,"")</f>
        <v/>
      </c>
      <c r="AH76" s="420"/>
      <c r="AI76" s="420"/>
      <c r="AJ76" s="420"/>
      <c r="AK76" s="420"/>
      <c r="AL76" s="420"/>
      <c r="AM76" s="420"/>
      <c r="AN76" s="420"/>
      <c r="AO76" s="420"/>
      <c r="AP76" s="420"/>
      <c r="AQ76" s="420"/>
      <c r="AR76" s="420"/>
      <c r="AS76" s="420"/>
      <c r="AT76" s="420"/>
      <c r="AU76" s="421"/>
    </row>
    <row r="77" spans="7:47" ht="17.100000000000001" customHeight="1" x14ac:dyDescent="0.15">
      <c r="G77" s="58">
        <v>19</v>
      </c>
      <c r="H77" s="58">
        <f>IF(G77&lt;=中間シート!$G$60,1,0)</f>
        <v>0</v>
      </c>
      <c r="J77" s="412" t="s">
        <v>338</v>
      </c>
      <c r="K77" s="412"/>
      <c r="L77" s="412"/>
      <c r="M77" s="412"/>
      <c r="N77" s="425" t="str">
        <f>IF(H77=1,中間シート!G224,"")</f>
        <v/>
      </c>
      <c r="O77" s="425"/>
      <c r="P77" s="425"/>
      <c r="Q77" s="425"/>
      <c r="R77" s="425"/>
      <c r="S77" s="425" t="str">
        <f>IF(H77=1,中間シート!G226,"")</f>
        <v/>
      </c>
      <c r="T77" s="425"/>
      <c r="U77" s="425"/>
      <c r="V77" s="425"/>
      <c r="W77" s="425"/>
      <c r="X77" s="425"/>
      <c r="Y77" s="425"/>
      <c r="Z77" s="425"/>
      <c r="AA77" s="425"/>
      <c r="AB77" s="425"/>
      <c r="AC77" s="141" t="s">
        <v>272</v>
      </c>
      <c r="AD77" s="449" t="str">
        <f>IF(H77=1,IF(AND(中間シート!G227&lt;&gt;"",中間シート!H227&lt;&gt;""),中間シート!G227&amp;"-"&amp;中間シート!H227,""),"")</f>
        <v/>
      </c>
      <c r="AE77" s="449"/>
      <c r="AF77" s="449"/>
      <c r="AG77" s="420" t="str">
        <f>IF(H77=1,中間シート!G228&amp;中間シート!G229&amp;中間シート!G230&amp;中間シート!G231,"")</f>
        <v/>
      </c>
      <c r="AH77" s="420"/>
      <c r="AI77" s="420"/>
      <c r="AJ77" s="420"/>
      <c r="AK77" s="420"/>
      <c r="AL77" s="420"/>
      <c r="AM77" s="420"/>
      <c r="AN77" s="420"/>
      <c r="AO77" s="420"/>
      <c r="AP77" s="420"/>
      <c r="AQ77" s="420"/>
      <c r="AR77" s="420"/>
      <c r="AS77" s="420"/>
      <c r="AT77" s="420"/>
      <c r="AU77" s="421"/>
    </row>
    <row r="78" spans="7:47" ht="17.100000000000001" customHeight="1" x14ac:dyDescent="0.15">
      <c r="G78" s="58">
        <v>20</v>
      </c>
      <c r="H78" s="58">
        <f>IF(G78&lt;=中間シート!$G$60,1,0)</f>
        <v>0</v>
      </c>
      <c r="J78" s="412" t="s">
        <v>339</v>
      </c>
      <c r="K78" s="412"/>
      <c r="L78" s="412"/>
      <c r="M78" s="412"/>
      <c r="N78" s="425" t="str">
        <f>IF(H78=1,中間シート!G233,"")</f>
        <v/>
      </c>
      <c r="O78" s="425"/>
      <c r="P78" s="425"/>
      <c r="Q78" s="425"/>
      <c r="R78" s="425"/>
      <c r="S78" s="425" t="str">
        <f>IF(H78=1,中間シート!G235,"")</f>
        <v/>
      </c>
      <c r="T78" s="425"/>
      <c r="U78" s="425"/>
      <c r="V78" s="425"/>
      <c r="W78" s="425"/>
      <c r="X78" s="425"/>
      <c r="Y78" s="425"/>
      <c r="Z78" s="425"/>
      <c r="AA78" s="425"/>
      <c r="AB78" s="425"/>
      <c r="AC78" s="141" t="s">
        <v>272</v>
      </c>
      <c r="AD78" s="449" t="str">
        <f>IF(H78=1,IF(AND(中間シート!G236&lt;&gt;"",中間シート!H236&lt;&gt;""),中間シート!G236&amp;"-"&amp;中間シート!H236,""),"")</f>
        <v/>
      </c>
      <c r="AE78" s="449"/>
      <c r="AF78" s="449"/>
      <c r="AG78" s="420" t="str">
        <f>IF(H78=1,中間シート!G237&amp;中間シート!G238&amp;中間シート!G239&amp;中間シート!G240,"")</f>
        <v/>
      </c>
      <c r="AH78" s="420"/>
      <c r="AI78" s="420"/>
      <c r="AJ78" s="420"/>
      <c r="AK78" s="420"/>
      <c r="AL78" s="420"/>
      <c r="AM78" s="420"/>
      <c r="AN78" s="420"/>
      <c r="AO78" s="420"/>
      <c r="AP78" s="420"/>
      <c r="AQ78" s="420"/>
      <c r="AR78" s="420"/>
      <c r="AS78" s="420"/>
      <c r="AT78" s="420"/>
      <c r="AU78" s="421"/>
    </row>
    <row r="79" spans="7:47" ht="17.100000000000001" customHeight="1" x14ac:dyDescent="0.15">
      <c r="G79" s="58">
        <v>21</v>
      </c>
      <c r="H79" s="58">
        <f>IF(G79&lt;=中間シート!$G$60,1,0)</f>
        <v>0</v>
      </c>
      <c r="J79" s="412" t="s">
        <v>340</v>
      </c>
      <c r="K79" s="412"/>
      <c r="L79" s="412"/>
      <c r="M79" s="412"/>
      <c r="N79" s="425" t="str">
        <f>IF(H79=1,中間シート!G242,"")</f>
        <v/>
      </c>
      <c r="O79" s="425"/>
      <c r="P79" s="425"/>
      <c r="Q79" s="425"/>
      <c r="R79" s="425"/>
      <c r="S79" s="425" t="str">
        <f>IF(H79=1,中間シート!G244,"")</f>
        <v/>
      </c>
      <c r="T79" s="425"/>
      <c r="U79" s="425"/>
      <c r="V79" s="425"/>
      <c r="W79" s="425"/>
      <c r="X79" s="425"/>
      <c r="Y79" s="425"/>
      <c r="Z79" s="425"/>
      <c r="AA79" s="425"/>
      <c r="AB79" s="425"/>
      <c r="AC79" s="141" t="s">
        <v>272</v>
      </c>
      <c r="AD79" s="449" t="str">
        <f>IF(H79=1,IF(AND(中間シート!G245&lt;&gt;"",中間シート!H245&lt;&gt;""),中間シート!G245&amp;"-"&amp;中間シート!H245,""),"")</f>
        <v/>
      </c>
      <c r="AE79" s="449"/>
      <c r="AF79" s="449"/>
      <c r="AG79" s="420" t="str">
        <f>IF(H79=1,中間シート!G246&amp;中間シート!G247&amp;中間シート!G248&amp;中間シート!G249,"")</f>
        <v/>
      </c>
      <c r="AH79" s="420"/>
      <c r="AI79" s="420"/>
      <c r="AJ79" s="420"/>
      <c r="AK79" s="420"/>
      <c r="AL79" s="420"/>
      <c r="AM79" s="420"/>
      <c r="AN79" s="420"/>
      <c r="AO79" s="420"/>
      <c r="AP79" s="420"/>
      <c r="AQ79" s="420"/>
      <c r="AR79" s="420"/>
      <c r="AS79" s="420"/>
      <c r="AT79" s="420"/>
      <c r="AU79" s="421"/>
    </row>
    <row r="80" spans="7:47" ht="17.100000000000001" customHeight="1" x14ac:dyDescent="0.15">
      <c r="G80" s="58">
        <v>22</v>
      </c>
      <c r="H80" s="58">
        <f>IF(G80&lt;=中間シート!$G$60,1,0)</f>
        <v>0</v>
      </c>
      <c r="J80" s="412" t="s">
        <v>341</v>
      </c>
      <c r="K80" s="412"/>
      <c r="L80" s="412"/>
      <c r="M80" s="412"/>
      <c r="N80" s="425" t="str">
        <f>IF(H80=1,中間シート!G251,"")</f>
        <v/>
      </c>
      <c r="O80" s="425"/>
      <c r="P80" s="425"/>
      <c r="Q80" s="425"/>
      <c r="R80" s="425"/>
      <c r="S80" s="425" t="str">
        <f>IF(H80=1,中間シート!G253,"")</f>
        <v/>
      </c>
      <c r="T80" s="425"/>
      <c r="U80" s="425"/>
      <c r="V80" s="425"/>
      <c r="W80" s="425"/>
      <c r="X80" s="425"/>
      <c r="Y80" s="425"/>
      <c r="Z80" s="425"/>
      <c r="AA80" s="425"/>
      <c r="AB80" s="425"/>
      <c r="AC80" s="141" t="s">
        <v>272</v>
      </c>
      <c r="AD80" s="449" t="str">
        <f>IF(H80=1,IF(AND(中間シート!G254&lt;&gt;"",中間シート!H254&lt;&gt;""),中間シート!G254&amp;"-"&amp;中間シート!H254,""),"")</f>
        <v/>
      </c>
      <c r="AE80" s="449"/>
      <c r="AF80" s="449"/>
      <c r="AG80" s="420" t="str">
        <f>IF(H80=1,中間シート!G255&amp;中間シート!G256&amp;中間シート!G257&amp;中間シート!G258,"")</f>
        <v/>
      </c>
      <c r="AH80" s="420"/>
      <c r="AI80" s="420"/>
      <c r="AJ80" s="420"/>
      <c r="AK80" s="420"/>
      <c r="AL80" s="420"/>
      <c r="AM80" s="420"/>
      <c r="AN80" s="420"/>
      <c r="AO80" s="420"/>
      <c r="AP80" s="420"/>
      <c r="AQ80" s="420"/>
      <c r="AR80" s="420"/>
      <c r="AS80" s="420"/>
      <c r="AT80" s="420"/>
      <c r="AU80" s="421"/>
    </row>
    <row r="81" spans="7:47" ht="17.100000000000001" customHeight="1" x14ac:dyDescent="0.15">
      <c r="G81" s="58">
        <v>23</v>
      </c>
      <c r="H81" s="58">
        <f>IF(G81&lt;=中間シート!$G$60,1,0)</f>
        <v>0</v>
      </c>
      <c r="J81" s="412" t="s">
        <v>342</v>
      </c>
      <c r="K81" s="412"/>
      <c r="L81" s="412"/>
      <c r="M81" s="412"/>
      <c r="N81" s="425" t="str">
        <f>IF(H81=1,中間シート!G260,"")</f>
        <v/>
      </c>
      <c r="O81" s="425"/>
      <c r="P81" s="425"/>
      <c r="Q81" s="425"/>
      <c r="R81" s="425"/>
      <c r="S81" s="425" t="str">
        <f>IF(H81=1,中間シート!G262,"")</f>
        <v/>
      </c>
      <c r="T81" s="425"/>
      <c r="U81" s="425"/>
      <c r="V81" s="425"/>
      <c r="W81" s="425"/>
      <c r="X81" s="425"/>
      <c r="Y81" s="425"/>
      <c r="Z81" s="425"/>
      <c r="AA81" s="425"/>
      <c r="AB81" s="425"/>
      <c r="AC81" s="141" t="s">
        <v>272</v>
      </c>
      <c r="AD81" s="449" t="str">
        <f>IF(H81=1,IF(AND(中間シート!G263&lt;&gt;"",中間シート!H263&lt;&gt;""),中間シート!G263&amp;"-"&amp;中間シート!H263,""),"")</f>
        <v/>
      </c>
      <c r="AE81" s="449"/>
      <c r="AF81" s="449"/>
      <c r="AG81" s="420" t="str">
        <f>IF(H81=1,中間シート!G264&amp;中間シート!G265&amp;中間シート!G266&amp;中間シート!G267,"")</f>
        <v/>
      </c>
      <c r="AH81" s="420"/>
      <c r="AI81" s="420"/>
      <c r="AJ81" s="420"/>
      <c r="AK81" s="420"/>
      <c r="AL81" s="420"/>
      <c r="AM81" s="420"/>
      <c r="AN81" s="420"/>
      <c r="AO81" s="420"/>
      <c r="AP81" s="420"/>
      <c r="AQ81" s="420"/>
      <c r="AR81" s="420"/>
      <c r="AS81" s="420"/>
      <c r="AT81" s="420"/>
      <c r="AU81" s="421"/>
    </row>
    <row r="82" spans="7:47" ht="17.100000000000001" customHeight="1" x14ac:dyDescent="0.15">
      <c r="G82" s="58">
        <v>24</v>
      </c>
      <c r="H82" s="58">
        <f>IF(G82&lt;=中間シート!$G$60,1,0)</f>
        <v>0</v>
      </c>
      <c r="J82" s="412" t="s">
        <v>343</v>
      </c>
      <c r="K82" s="412"/>
      <c r="L82" s="412"/>
      <c r="M82" s="412"/>
      <c r="N82" s="425" t="str">
        <f>IF(H82=1,中間シート!G269,"")</f>
        <v/>
      </c>
      <c r="O82" s="425"/>
      <c r="P82" s="425"/>
      <c r="Q82" s="425"/>
      <c r="R82" s="425"/>
      <c r="S82" s="425" t="str">
        <f>IF(H82=1,中間シート!G271,"")</f>
        <v/>
      </c>
      <c r="T82" s="425"/>
      <c r="U82" s="425"/>
      <c r="V82" s="425"/>
      <c r="W82" s="425"/>
      <c r="X82" s="425"/>
      <c r="Y82" s="425"/>
      <c r="Z82" s="425"/>
      <c r="AA82" s="425"/>
      <c r="AB82" s="425"/>
      <c r="AC82" s="141" t="s">
        <v>272</v>
      </c>
      <c r="AD82" s="449" t="str">
        <f>IF(H82=1,IF(AND(中間シート!G272&lt;&gt;"",中間シート!H272&lt;&gt;""),中間シート!G272&amp;"-"&amp;中間シート!H272,""),"")</f>
        <v/>
      </c>
      <c r="AE82" s="449"/>
      <c r="AF82" s="449"/>
      <c r="AG82" s="420" t="str">
        <f>IF(H82=1,中間シート!G273&amp;中間シート!G274&amp;中間シート!G275&amp;中間シート!G276,"")</f>
        <v/>
      </c>
      <c r="AH82" s="420"/>
      <c r="AI82" s="420"/>
      <c r="AJ82" s="420"/>
      <c r="AK82" s="420"/>
      <c r="AL82" s="420"/>
      <c r="AM82" s="420"/>
      <c r="AN82" s="420"/>
      <c r="AO82" s="420"/>
      <c r="AP82" s="420"/>
      <c r="AQ82" s="420"/>
      <c r="AR82" s="420"/>
      <c r="AS82" s="420"/>
      <c r="AT82" s="420"/>
      <c r="AU82" s="421"/>
    </row>
    <row r="83" spans="7:47" ht="17.100000000000001" customHeight="1" x14ac:dyDescent="0.15">
      <c r="G83" s="58">
        <v>25</v>
      </c>
      <c r="H83" s="58">
        <f>IF(G83&lt;=中間シート!$G$60,1,0)</f>
        <v>0</v>
      </c>
      <c r="J83" s="412" t="s">
        <v>344</v>
      </c>
      <c r="K83" s="412"/>
      <c r="L83" s="412"/>
      <c r="M83" s="412"/>
      <c r="N83" s="425" t="str">
        <f>IF(H83=1,中間シート!G278,"")</f>
        <v/>
      </c>
      <c r="O83" s="425"/>
      <c r="P83" s="425"/>
      <c r="Q83" s="425"/>
      <c r="R83" s="425"/>
      <c r="S83" s="425" t="str">
        <f>IF(H83=1,中間シート!G280,"")</f>
        <v/>
      </c>
      <c r="T83" s="425"/>
      <c r="U83" s="425"/>
      <c r="V83" s="425"/>
      <c r="W83" s="425"/>
      <c r="X83" s="425"/>
      <c r="Y83" s="425"/>
      <c r="Z83" s="425"/>
      <c r="AA83" s="425"/>
      <c r="AB83" s="425"/>
      <c r="AC83" s="141" t="s">
        <v>272</v>
      </c>
      <c r="AD83" s="449" t="str">
        <f>IF(H83=1,IF(AND(中間シート!G281&lt;&gt;"",中間シート!H281&lt;&gt;""),中間シート!G281&amp;"-"&amp;中間シート!H281,""),"")</f>
        <v/>
      </c>
      <c r="AE83" s="449"/>
      <c r="AF83" s="449"/>
      <c r="AG83" s="420" t="str">
        <f>IF(H83=1,中間シート!G282&amp;中間シート!G283&amp;中間シート!G284&amp;中間シート!G285,"")</f>
        <v/>
      </c>
      <c r="AH83" s="420"/>
      <c r="AI83" s="420"/>
      <c r="AJ83" s="420"/>
      <c r="AK83" s="420"/>
      <c r="AL83" s="420"/>
      <c r="AM83" s="420"/>
      <c r="AN83" s="420"/>
      <c r="AO83" s="420"/>
      <c r="AP83" s="420"/>
      <c r="AQ83" s="420"/>
      <c r="AR83" s="420"/>
      <c r="AS83" s="420"/>
      <c r="AT83" s="420"/>
      <c r="AU83" s="421"/>
    </row>
    <row r="84" spans="7:47" ht="17.100000000000001" customHeight="1" x14ac:dyDescent="0.15">
      <c r="G84" s="58">
        <v>26</v>
      </c>
      <c r="H84" s="58">
        <f>IF(G84&lt;=中間シート!$G$60,1,0)</f>
        <v>0</v>
      </c>
      <c r="J84" s="412" t="s">
        <v>345</v>
      </c>
      <c r="K84" s="412"/>
      <c r="L84" s="412"/>
      <c r="M84" s="412"/>
      <c r="N84" s="425" t="str">
        <f>IF(H84=1,中間シート!G287,"")</f>
        <v/>
      </c>
      <c r="O84" s="425"/>
      <c r="P84" s="425"/>
      <c r="Q84" s="425"/>
      <c r="R84" s="425"/>
      <c r="S84" s="425" t="str">
        <f>IF(H84=1,中間シート!G289,"")</f>
        <v/>
      </c>
      <c r="T84" s="425"/>
      <c r="U84" s="425"/>
      <c r="V84" s="425"/>
      <c r="W84" s="425"/>
      <c r="X84" s="425"/>
      <c r="Y84" s="425"/>
      <c r="Z84" s="425"/>
      <c r="AA84" s="425"/>
      <c r="AB84" s="425"/>
      <c r="AC84" s="141" t="s">
        <v>272</v>
      </c>
      <c r="AD84" s="449" t="str">
        <f>IF(H84=1,IF(AND(中間シート!G290&lt;&gt;"",中間シート!H290&lt;&gt;""),中間シート!G290&amp;"-"&amp;中間シート!H290,""),"")</f>
        <v/>
      </c>
      <c r="AE84" s="449"/>
      <c r="AF84" s="449"/>
      <c r="AG84" s="420" t="str">
        <f>IF(H84=1,中間シート!G291&amp;中間シート!G292&amp;中間シート!G293&amp;中間シート!G294,"")</f>
        <v/>
      </c>
      <c r="AH84" s="420"/>
      <c r="AI84" s="420"/>
      <c r="AJ84" s="420"/>
      <c r="AK84" s="420"/>
      <c r="AL84" s="420"/>
      <c r="AM84" s="420"/>
      <c r="AN84" s="420"/>
      <c r="AO84" s="420"/>
      <c r="AP84" s="420"/>
      <c r="AQ84" s="420"/>
      <c r="AR84" s="420"/>
      <c r="AS84" s="420"/>
      <c r="AT84" s="420"/>
      <c r="AU84" s="421"/>
    </row>
    <row r="85" spans="7:47" ht="17.100000000000001" customHeight="1" x14ac:dyDescent="0.15">
      <c r="G85" s="58">
        <v>27</v>
      </c>
      <c r="H85" s="58">
        <f>IF(G85&lt;=中間シート!$G$60,1,0)</f>
        <v>0</v>
      </c>
      <c r="J85" s="412" t="s">
        <v>346</v>
      </c>
      <c r="K85" s="412"/>
      <c r="L85" s="412"/>
      <c r="M85" s="412"/>
      <c r="N85" s="425" t="str">
        <f>IF(H85=1,中間シート!G296,"")</f>
        <v/>
      </c>
      <c r="O85" s="425"/>
      <c r="P85" s="425"/>
      <c r="Q85" s="425"/>
      <c r="R85" s="425"/>
      <c r="S85" s="425" t="str">
        <f>IF(H85=1,中間シート!G298,"")</f>
        <v/>
      </c>
      <c r="T85" s="425"/>
      <c r="U85" s="425"/>
      <c r="V85" s="425"/>
      <c r="W85" s="425"/>
      <c r="X85" s="425"/>
      <c r="Y85" s="425"/>
      <c r="Z85" s="425"/>
      <c r="AA85" s="425"/>
      <c r="AB85" s="425"/>
      <c r="AC85" s="141" t="s">
        <v>272</v>
      </c>
      <c r="AD85" s="449" t="str">
        <f>IF(H85=1,IF(AND(中間シート!G299&lt;&gt;"",中間シート!H299&lt;&gt;""),中間シート!G299&amp;"-"&amp;中間シート!H299,""),"")</f>
        <v/>
      </c>
      <c r="AE85" s="449"/>
      <c r="AF85" s="449"/>
      <c r="AG85" s="420" t="str">
        <f>IF(H85=1,中間シート!G300&amp;中間シート!G301&amp;中間シート!G302&amp;中間シート!G303,"")</f>
        <v/>
      </c>
      <c r="AH85" s="420"/>
      <c r="AI85" s="420"/>
      <c r="AJ85" s="420"/>
      <c r="AK85" s="420"/>
      <c r="AL85" s="420"/>
      <c r="AM85" s="420"/>
      <c r="AN85" s="420"/>
      <c r="AO85" s="420"/>
      <c r="AP85" s="420"/>
      <c r="AQ85" s="420"/>
      <c r="AR85" s="420"/>
      <c r="AS85" s="420"/>
      <c r="AT85" s="420"/>
      <c r="AU85" s="421"/>
    </row>
    <row r="86" spans="7:47" ht="17.100000000000001" customHeight="1" x14ac:dyDescent="0.15">
      <c r="G86" s="58">
        <v>28</v>
      </c>
      <c r="H86" s="58">
        <f>IF(G86&lt;=中間シート!$G$60,1,0)</f>
        <v>0</v>
      </c>
      <c r="J86" s="412" t="s">
        <v>347</v>
      </c>
      <c r="K86" s="412"/>
      <c r="L86" s="412"/>
      <c r="M86" s="412"/>
      <c r="N86" s="425" t="str">
        <f>IF(H86=1,中間シート!G305,"")</f>
        <v/>
      </c>
      <c r="O86" s="425"/>
      <c r="P86" s="425"/>
      <c r="Q86" s="425"/>
      <c r="R86" s="425"/>
      <c r="S86" s="425" t="str">
        <f>IF(H86=1,中間シート!G307,"")</f>
        <v/>
      </c>
      <c r="T86" s="425"/>
      <c r="U86" s="425"/>
      <c r="V86" s="425"/>
      <c r="W86" s="425"/>
      <c r="X86" s="425"/>
      <c r="Y86" s="425"/>
      <c r="Z86" s="425"/>
      <c r="AA86" s="425"/>
      <c r="AB86" s="425"/>
      <c r="AC86" s="141" t="s">
        <v>272</v>
      </c>
      <c r="AD86" s="449" t="str">
        <f>IF(H86=1,IF(AND(中間シート!G308&lt;&gt;"",中間シート!H308&lt;&gt;""),中間シート!G308&amp;"-"&amp;中間シート!H308,""),"")</f>
        <v/>
      </c>
      <c r="AE86" s="449"/>
      <c r="AF86" s="449"/>
      <c r="AG86" s="420" t="str">
        <f>IF(H86=1,中間シート!G309&amp;中間シート!G310&amp;中間シート!G311&amp;中間シート!G312,"")</f>
        <v/>
      </c>
      <c r="AH86" s="420"/>
      <c r="AI86" s="420"/>
      <c r="AJ86" s="420"/>
      <c r="AK86" s="420"/>
      <c r="AL86" s="420"/>
      <c r="AM86" s="420"/>
      <c r="AN86" s="420"/>
      <c r="AO86" s="420"/>
      <c r="AP86" s="420"/>
      <c r="AQ86" s="420"/>
      <c r="AR86" s="420"/>
      <c r="AS86" s="420"/>
      <c r="AT86" s="420"/>
      <c r="AU86" s="421"/>
    </row>
    <row r="87" spans="7:47" ht="17.100000000000001" customHeight="1" x14ac:dyDescent="0.15">
      <c r="G87" s="58">
        <v>29</v>
      </c>
      <c r="H87" s="58">
        <f>IF(G87&lt;=中間シート!$G$60,1,0)</f>
        <v>0</v>
      </c>
      <c r="J87" s="412" t="s">
        <v>348</v>
      </c>
      <c r="K87" s="412"/>
      <c r="L87" s="412"/>
      <c r="M87" s="412"/>
      <c r="N87" s="425" t="str">
        <f>IF(H87=1,中間シート!G314,"")</f>
        <v/>
      </c>
      <c r="O87" s="425"/>
      <c r="P87" s="425"/>
      <c r="Q87" s="425"/>
      <c r="R87" s="425"/>
      <c r="S87" s="425" t="str">
        <f>IF(H87=1,中間シート!G316,"")</f>
        <v/>
      </c>
      <c r="T87" s="425"/>
      <c r="U87" s="425"/>
      <c r="V87" s="425"/>
      <c r="W87" s="425"/>
      <c r="X87" s="425"/>
      <c r="Y87" s="425"/>
      <c r="Z87" s="425"/>
      <c r="AA87" s="425"/>
      <c r="AB87" s="425"/>
      <c r="AC87" s="141" t="s">
        <v>272</v>
      </c>
      <c r="AD87" s="449" t="str">
        <f>IF(H87=1,IF(AND(中間シート!G317&lt;&gt;"",中間シート!H317&lt;&gt;""),中間シート!G317&amp;"-"&amp;中間シート!H317,""),"")</f>
        <v/>
      </c>
      <c r="AE87" s="449"/>
      <c r="AF87" s="449"/>
      <c r="AG87" s="420" t="str">
        <f>IF(H87=1,中間シート!G318&amp;中間シート!G319&amp;中間シート!G320&amp;中間シート!G321,"")</f>
        <v/>
      </c>
      <c r="AH87" s="420"/>
      <c r="AI87" s="420"/>
      <c r="AJ87" s="420"/>
      <c r="AK87" s="420"/>
      <c r="AL87" s="420"/>
      <c r="AM87" s="420"/>
      <c r="AN87" s="420"/>
      <c r="AO87" s="420"/>
      <c r="AP87" s="420"/>
      <c r="AQ87" s="420"/>
      <c r="AR87" s="420"/>
      <c r="AS87" s="420"/>
      <c r="AT87" s="420"/>
      <c r="AU87" s="421"/>
    </row>
    <row r="88" spans="7:47" ht="17.100000000000001" customHeight="1" x14ac:dyDescent="0.15">
      <c r="G88" s="58">
        <v>30</v>
      </c>
      <c r="H88" s="58">
        <f>IF(G88&lt;=中間シート!$G$60,1,0)</f>
        <v>0</v>
      </c>
      <c r="J88" s="412" t="s">
        <v>349</v>
      </c>
      <c r="K88" s="412"/>
      <c r="L88" s="412"/>
      <c r="M88" s="412"/>
      <c r="N88" s="425" t="str">
        <f>IF(H88=1,中間シート!G323,"")</f>
        <v/>
      </c>
      <c r="O88" s="425"/>
      <c r="P88" s="425"/>
      <c r="Q88" s="425"/>
      <c r="R88" s="425"/>
      <c r="S88" s="425" t="str">
        <f>IF(H88=1,中間シート!G325,"")</f>
        <v/>
      </c>
      <c r="T88" s="425"/>
      <c r="U88" s="425"/>
      <c r="V88" s="425"/>
      <c r="W88" s="425"/>
      <c r="X88" s="425"/>
      <c r="Y88" s="425"/>
      <c r="Z88" s="425"/>
      <c r="AA88" s="425"/>
      <c r="AB88" s="425"/>
      <c r="AC88" s="141" t="s">
        <v>272</v>
      </c>
      <c r="AD88" s="449" t="str">
        <f>IF(H88=1,IF(AND(中間シート!G326&lt;&gt;"",中間シート!H326&lt;&gt;""),中間シート!G326&amp;"-"&amp;中間シート!H326,""),"")</f>
        <v/>
      </c>
      <c r="AE88" s="449"/>
      <c r="AF88" s="449"/>
      <c r="AG88" s="420" t="str">
        <f>IF(H88=1,中間シート!G327&amp;中間シート!G328&amp;中間シート!G329&amp;中間シート!G330,"")</f>
        <v/>
      </c>
      <c r="AH88" s="420"/>
      <c r="AI88" s="420"/>
      <c r="AJ88" s="420"/>
      <c r="AK88" s="420"/>
      <c r="AL88" s="420"/>
      <c r="AM88" s="420"/>
      <c r="AN88" s="420"/>
      <c r="AO88" s="420"/>
      <c r="AP88" s="420"/>
      <c r="AQ88" s="420"/>
      <c r="AR88" s="420"/>
      <c r="AS88" s="420"/>
      <c r="AT88" s="420"/>
      <c r="AU88" s="421"/>
    </row>
    <row r="89" spans="7:47" ht="17.100000000000001" customHeight="1" x14ac:dyDescent="0.15">
      <c r="G89" s="58">
        <v>31</v>
      </c>
      <c r="H89" s="58">
        <f>IF(G89&lt;=中間シート!$G$60,1,0)</f>
        <v>0</v>
      </c>
      <c r="J89" s="412" t="s">
        <v>350</v>
      </c>
      <c r="K89" s="412"/>
      <c r="L89" s="412"/>
      <c r="M89" s="412"/>
      <c r="N89" s="425" t="str">
        <f>IF(H89=1,中間シート!G332,"")</f>
        <v/>
      </c>
      <c r="O89" s="425"/>
      <c r="P89" s="425"/>
      <c r="Q89" s="425"/>
      <c r="R89" s="425"/>
      <c r="S89" s="425" t="str">
        <f>IF(H89=1,中間シート!G334,"")</f>
        <v/>
      </c>
      <c r="T89" s="425"/>
      <c r="U89" s="425"/>
      <c r="V89" s="425"/>
      <c r="W89" s="425"/>
      <c r="X89" s="425"/>
      <c r="Y89" s="425"/>
      <c r="Z89" s="425"/>
      <c r="AA89" s="425"/>
      <c r="AB89" s="425"/>
      <c r="AC89" s="141" t="s">
        <v>272</v>
      </c>
      <c r="AD89" s="449" t="str">
        <f>IF(H89=1,IF(AND(中間シート!G335&lt;&gt;"",中間シート!H335&lt;&gt;""),中間シート!G335&amp;"-"&amp;中間シート!H335,""),"")</f>
        <v/>
      </c>
      <c r="AE89" s="449"/>
      <c r="AF89" s="449"/>
      <c r="AG89" s="420" t="str">
        <f>IF(H89=1,中間シート!G336&amp;中間シート!G337&amp;中間シート!G338&amp;中間シート!G339,"")</f>
        <v/>
      </c>
      <c r="AH89" s="420"/>
      <c r="AI89" s="420"/>
      <c r="AJ89" s="420"/>
      <c r="AK89" s="420"/>
      <c r="AL89" s="420"/>
      <c r="AM89" s="420"/>
      <c r="AN89" s="420"/>
      <c r="AO89" s="420"/>
      <c r="AP89" s="420"/>
      <c r="AQ89" s="420"/>
      <c r="AR89" s="420"/>
      <c r="AS89" s="420"/>
      <c r="AT89" s="420"/>
      <c r="AU89" s="421"/>
    </row>
    <row r="90" spans="7:47" ht="17.100000000000001" customHeight="1" x14ac:dyDescent="0.15">
      <c r="G90" s="58">
        <v>32</v>
      </c>
      <c r="H90" s="58">
        <f>IF(G90&lt;=中間シート!$G$60,1,0)</f>
        <v>0</v>
      </c>
      <c r="J90" s="412" t="s">
        <v>351</v>
      </c>
      <c r="K90" s="412"/>
      <c r="L90" s="412"/>
      <c r="M90" s="412"/>
      <c r="N90" s="425" t="str">
        <f>IF(H90=1,中間シート!G341,"")</f>
        <v/>
      </c>
      <c r="O90" s="425"/>
      <c r="P90" s="425"/>
      <c r="Q90" s="425"/>
      <c r="R90" s="425"/>
      <c r="S90" s="425" t="str">
        <f>IF(H90=1,中間シート!G343,"")</f>
        <v/>
      </c>
      <c r="T90" s="425"/>
      <c r="U90" s="425"/>
      <c r="V90" s="425"/>
      <c r="W90" s="425"/>
      <c r="X90" s="425"/>
      <c r="Y90" s="425"/>
      <c r="Z90" s="425"/>
      <c r="AA90" s="425"/>
      <c r="AB90" s="425"/>
      <c r="AC90" s="141" t="s">
        <v>272</v>
      </c>
      <c r="AD90" s="449" t="str">
        <f>IF(H90=1,IF(AND(中間シート!G344&lt;&gt;"",中間シート!H344&lt;&gt;""),中間シート!G344&amp;"-"&amp;中間シート!H344,""),"")</f>
        <v/>
      </c>
      <c r="AE90" s="449"/>
      <c r="AF90" s="449"/>
      <c r="AG90" s="420" t="str">
        <f>IF(H90=1,中間シート!G345&amp;中間シート!G346&amp;中間シート!G347&amp;中間シート!G348,"")</f>
        <v/>
      </c>
      <c r="AH90" s="420"/>
      <c r="AI90" s="420"/>
      <c r="AJ90" s="420"/>
      <c r="AK90" s="420"/>
      <c r="AL90" s="420"/>
      <c r="AM90" s="420"/>
      <c r="AN90" s="420"/>
      <c r="AO90" s="420"/>
      <c r="AP90" s="420"/>
      <c r="AQ90" s="420"/>
      <c r="AR90" s="420"/>
      <c r="AS90" s="420"/>
      <c r="AT90" s="420"/>
      <c r="AU90" s="421"/>
    </row>
    <row r="91" spans="7:47" ht="17.100000000000001" customHeight="1" x14ac:dyDescent="0.15">
      <c r="G91" s="58">
        <v>33</v>
      </c>
      <c r="H91" s="58">
        <f>IF(G91&lt;=中間シート!$G$60,1,0)</f>
        <v>0</v>
      </c>
      <c r="J91" s="412" t="s">
        <v>352</v>
      </c>
      <c r="K91" s="412"/>
      <c r="L91" s="412"/>
      <c r="M91" s="412"/>
      <c r="N91" s="425" t="str">
        <f>IF(H91=1,中間シート!G350,"")</f>
        <v/>
      </c>
      <c r="O91" s="425"/>
      <c r="P91" s="425"/>
      <c r="Q91" s="425"/>
      <c r="R91" s="425"/>
      <c r="S91" s="425" t="str">
        <f>IF(H91=1,中間シート!G352,"")</f>
        <v/>
      </c>
      <c r="T91" s="425"/>
      <c r="U91" s="425"/>
      <c r="V91" s="425"/>
      <c r="W91" s="425"/>
      <c r="X91" s="425"/>
      <c r="Y91" s="425"/>
      <c r="Z91" s="425"/>
      <c r="AA91" s="425"/>
      <c r="AB91" s="425"/>
      <c r="AC91" s="141" t="s">
        <v>272</v>
      </c>
      <c r="AD91" s="449" t="str">
        <f>IF(H91=1,IF(AND(中間シート!G353&lt;&gt;"",中間シート!H353&lt;&gt;""),中間シート!G353&amp;"-"&amp;中間シート!H353,""),"")</f>
        <v/>
      </c>
      <c r="AE91" s="449"/>
      <c r="AF91" s="449"/>
      <c r="AG91" s="420" t="str">
        <f>IF(H91=1,中間シート!G354&amp;中間シート!G355&amp;中間シート!G356&amp;中間シート!G357,"")</f>
        <v/>
      </c>
      <c r="AH91" s="420"/>
      <c r="AI91" s="420"/>
      <c r="AJ91" s="420"/>
      <c r="AK91" s="420"/>
      <c r="AL91" s="420"/>
      <c r="AM91" s="420"/>
      <c r="AN91" s="420"/>
      <c r="AO91" s="420"/>
      <c r="AP91" s="420"/>
      <c r="AQ91" s="420"/>
      <c r="AR91" s="420"/>
      <c r="AS91" s="420"/>
      <c r="AT91" s="420"/>
      <c r="AU91" s="421"/>
    </row>
    <row r="92" spans="7:47" ht="17.100000000000001" customHeight="1" x14ac:dyDescent="0.15">
      <c r="G92" s="58">
        <v>34</v>
      </c>
      <c r="H92" s="58">
        <f>IF(G92&lt;=中間シート!$G$60,1,0)</f>
        <v>0</v>
      </c>
      <c r="J92" s="412" t="s">
        <v>353</v>
      </c>
      <c r="K92" s="412"/>
      <c r="L92" s="412"/>
      <c r="M92" s="412"/>
      <c r="N92" s="425" t="str">
        <f>IF(H92=1,中間シート!G359,"")</f>
        <v/>
      </c>
      <c r="O92" s="425"/>
      <c r="P92" s="425"/>
      <c r="Q92" s="425"/>
      <c r="R92" s="425"/>
      <c r="S92" s="425" t="str">
        <f>IF(H92=1,中間シート!G361,"")</f>
        <v/>
      </c>
      <c r="T92" s="425"/>
      <c r="U92" s="425"/>
      <c r="V92" s="425"/>
      <c r="W92" s="425"/>
      <c r="X92" s="425"/>
      <c r="Y92" s="425"/>
      <c r="Z92" s="425"/>
      <c r="AA92" s="425"/>
      <c r="AB92" s="425"/>
      <c r="AC92" s="141" t="s">
        <v>272</v>
      </c>
      <c r="AD92" s="449" t="str">
        <f>IF(H92=1,IF(AND(中間シート!G362&lt;&gt;"",中間シート!H362&lt;&gt;""),中間シート!G362&amp;"-"&amp;中間シート!H362,""),"")</f>
        <v/>
      </c>
      <c r="AE92" s="449"/>
      <c r="AF92" s="449"/>
      <c r="AG92" s="420" t="str">
        <f>IF(H92=1,中間シート!G363&amp;中間シート!G364&amp;中間シート!G365&amp;中間シート!G366,"")</f>
        <v/>
      </c>
      <c r="AH92" s="420"/>
      <c r="AI92" s="420"/>
      <c r="AJ92" s="420"/>
      <c r="AK92" s="420"/>
      <c r="AL92" s="420"/>
      <c r="AM92" s="420"/>
      <c r="AN92" s="420"/>
      <c r="AO92" s="420"/>
      <c r="AP92" s="420"/>
      <c r="AQ92" s="420"/>
      <c r="AR92" s="420"/>
      <c r="AS92" s="420"/>
      <c r="AT92" s="420"/>
      <c r="AU92" s="421"/>
    </row>
    <row r="93" spans="7:47" ht="17.100000000000001" customHeight="1" x14ac:dyDescent="0.15">
      <c r="G93" s="58">
        <v>35</v>
      </c>
      <c r="H93" s="58">
        <f>IF(G93&lt;=中間シート!$G$60,1,0)</f>
        <v>0</v>
      </c>
      <c r="J93" s="412" t="s">
        <v>354</v>
      </c>
      <c r="K93" s="412"/>
      <c r="L93" s="412"/>
      <c r="M93" s="412"/>
      <c r="N93" s="425" t="str">
        <f>IF(H93=1,中間シート!G368,"")</f>
        <v/>
      </c>
      <c r="O93" s="425"/>
      <c r="P93" s="425"/>
      <c r="Q93" s="425"/>
      <c r="R93" s="425"/>
      <c r="S93" s="425" t="str">
        <f>IF(H93=1,中間シート!G370,"")</f>
        <v/>
      </c>
      <c r="T93" s="425"/>
      <c r="U93" s="425"/>
      <c r="V93" s="425"/>
      <c r="W93" s="425"/>
      <c r="X93" s="425"/>
      <c r="Y93" s="425"/>
      <c r="Z93" s="425"/>
      <c r="AA93" s="425"/>
      <c r="AB93" s="425"/>
      <c r="AC93" s="141" t="s">
        <v>272</v>
      </c>
      <c r="AD93" s="449" t="str">
        <f>IF(H93=1,IF(AND(中間シート!G371&lt;&gt;"",中間シート!H371&lt;&gt;""),中間シート!G371&amp;"-"&amp;中間シート!H371,""),"")</f>
        <v/>
      </c>
      <c r="AE93" s="449"/>
      <c r="AF93" s="449"/>
      <c r="AG93" s="420" t="str">
        <f>IF(H93=1,中間シート!G372&amp;中間シート!G373&amp;中間シート!G374&amp;中間シート!G375,"")</f>
        <v/>
      </c>
      <c r="AH93" s="420"/>
      <c r="AI93" s="420"/>
      <c r="AJ93" s="420"/>
      <c r="AK93" s="420"/>
      <c r="AL93" s="420"/>
      <c r="AM93" s="420"/>
      <c r="AN93" s="420"/>
      <c r="AO93" s="420"/>
      <c r="AP93" s="420"/>
      <c r="AQ93" s="420"/>
      <c r="AR93" s="420"/>
      <c r="AS93" s="420"/>
      <c r="AT93" s="420"/>
      <c r="AU93" s="421"/>
    </row>
    <row r="94" spans="7:47" ht="17.100000000000001" customHeight="1" x14ac:dyDescent="0.15">
      <c r="G94" s="58">
        <v>36</v>
      </c>
      <c r="H94" s="58">
        <f>IF(G94&lt;=中間シート!$G$60,1,0)</f>
        <v>0</v>
      </c>
      <c r="J94" s="412" t="s">
        <v>355</v>
      </c>
      <c r="K94" s="412"/>
      <c r="L94" s="412"/>
      <c r="M94" s="412"/>
      <c r="N94" s="425" t="str">
        <f>IF(H94=1,中間シート!G377,"")</f>
        <v/>
      </c>
      <c r="O94" s="425"/>
      <c r="P94" s="425"/>
      <c r="Q94" s="425"/>
      <c r="R94" s="425"/>
      <c r="S94" s="425" t="str">
        <f>IF(H94=1,中間シート!G379,"")</f>
        <v/>
      </c>
      <c r="T94" s="425"/>
      <c r="U94" s="425"/>
      <c r="V94" s="425"/>
      <c r="W94" s="425"/>
      <c r="X94" s="425"/>
      <c r="Y94" s="425"/>
      <c r="Z94" s="425"/>
      <c r="AA94" s="425"/>
      <c r="AB94" s="425"/>
      <c r="AC94" s="141" t="s">
        <v>272</v>
      </c>
      <c r="AD94" s="449" t="str">
        <f>IF(H94=1,IF(AND(中間シート!G380&lt;&gt;"",中間シート!H380&lt;&gt;""),中間シート!G380&amp;"-"&amp;中間シート!H380,""),"")</f>
        <v/>
      </c>
      <c r="AE94" s="449"/>
      <c r="AF94" s="449"/>
      <c r="AG94" s="420" t="str">
        <f>IF(H94=1,中間シート!G381&amp;中間シート!G382&amp;中間シート!G383&amp;中間シート!G384,"")</f>
        <v/>
      </c>
      <c r="AH94" s="420"/>
      <c r="AI94" s="420"/>
      <c r="AJ94" s="420"/>
      <c r="AK94" s="420"/>
      <c r="AL94" s="420"/>
      <c r="AM94" s="420"/>
      <c r="AN94" s="420"/>
      <c r="AO94" s="420"/>
      <c r="AP94" s="420"/>
      <c r="AQ94" s="420"/>
      <c r="AR94" s="420"/>
      <c r="AS94" s="420"/>
      <c r="AT94" s="420"/>
      <c r="AU94" s="421"/>
    </row>
    <row r="95" spans="7:47" ht="17.100000000000001" customHeight="1" x14ac:dyDescent="0.15">
      <c r="G95" s="58">
        <v>37</v>
      </c>
      <c r="H95" s="58">
        <f>IF(G95&lt;=中間シート!$G$60,1,0)</f>
        <v>0</v>
      </c>
      <c r="J95" s="412" t="s">
        <v>356</v>
      </c>
      <c r="K95" s="412"/>
      <c r="L95" s="412"/>
      <c r="M95" s="412"/>
      <c r="N95" s="425" t="str">
        <f>IF(H95=1,中間シート!G386,"")</f>
        <v/>
      </c>
      <c r="O95" s="425"/>
      <c r="P95" s="425"/>
      <c r="Q95" s="425"/>
      <c r="R95" s="425"/>
      <c r="S95" s="425" t="str">
        <f>IF(H95=1,中間シート!G388,"")</f>
        <v/>
      </c>
      <c r="T95" s="425"/>
      <c r="U95" s="425"/>
      <c r="V95" s="425"/>
      <c r="W95" s="425"/>
      <c r="X95" s="425"/>
      <c r="Y95" s="425"/>
      <c r="Z95" s="425"/>
      <c r="AA95" s="425"/>
      <c r="AB95" s="425"/>
      <c r="AC95" s="141" t="s">
        <v>272</v>
      </c>
      <c r="AD95" s="449" t="str">
        <f>IF(H95=1,IF(AND(中間シート!G389&lt;&gt;"",中間シート!H389&lt;&gt;""),中間シート!G389&amp;"-"&amp;中間シート!H389,""),"")</f>
        <v/>
      </c>
      <c r="AE95" s="449"/>
      <c r="AF95" s="449"/>
      <c r="AG95" s="420" t="str">
        <f>IF(H95=1,中間シート!G390&amp;中間シート!G391&amp;中間シート!G392&amp;中間シート!G393,"")</f>
        <v/>
      </c>
      <c r="AH95" s="420"/>
      <c r="AI95" s="420"/>
      <c r="AJ95" s="420"/>
      <c r="AK95" s="420"/>
      <c r="AL95" s="420"/>
      <c r="AM95" s="420"/>
      <c r="AN95" s="420"/>
      <c r="AO95" s="420"/>
      <c r="AP95" s="420"/>
      <c r="AQ95" s="420"/>
      <c r="AR95" s="420"/>
      <c r="AS95" s="420"/>
      <c r="AT95" s="420"/>
      <c r="AU95" s="421"/>
    </row>
    <row r="96" spans="7:47" ht="17.100000000000001" customHeight="1" x14ac:dyDescent="0.15">
      <c r="G96" s="58">
        <v>38</v>
      </c>
      <c r="H96" s="58">
        <f>IF(G96&lt;=中間シート!$G$60,1,0)</f>
        <v>0</v>
      </c>
      <c r="J96" s="412" t="s">
        <v>357</v>
      </c>
      <c r="K96" s="412"/>
      <c r="L96" s="412"/>
      <c r="M96" s="412"/>
      <c r="N96" s="425" t="str">
        <f>IF(H96=1,中間シート!G395,"")</f>
        <v/>
      </c>
      <c r="O96" s="425"/>
      <c r="P96" s="425"/>
      <c r="Q96" s="425"/>
      <c r="R96" s="425"/>
      <c r="S96" s="425" t="str">
        <f>IF(H96=1,中間シート!G397,"")</f>
        <v/>
      </c>
      <c r="T96" s="425"/>
      <c r="U96" s="425"/>
      <c r="V96" s="425"/>
      <c r="W96" s="425"/>
      <c r="X96" s="425"/>
      <c r="Y96" s="425"/>
      <c r="Z96" s="425"/>
      <c r="AA96" s="425"/>
      <c r="AB96" s="425"/>
      <c r="AC96" s="141" t="s">
        <v>272</v>
      </c>
      <c r="AD96" s="449" t="str">
        <f>IF(H96=1,IF(AND(中間シート!G398&lt;&gt;"",中間シート!H398&lt;&gt;""),中間シート!G398&amp;"-"&amp;中間シート!H398,""),"")</f>
        <v/>
      </c>
      <c r="AE96" s="449"/>
      <c r="AF96" s="449"/>
      <c r="AG96" s="420" t="str">
        <f>IF(H96=1,中間シート!G399&amp;中間シート!G400&amp;中間シート!G401&amp;中間シート!G402,"")</f>
        <v/>
      </c>
      <c r="AH96" s="420"/>
      <c r="AI96" s="420"/>
      <c r="AJ96" s="420"/>
      <c r="AK96" s="420"/>
      <c r="AL96" s="420"/>
      <c r="AM96" s="420"/>
      <c r="AN96" s="420"/>
      <c r="AO96" s="420"/>
      <c r="AP96" s="420"/>
      <c r="AQ96" s="420"/>
      <c r="AR96" s="420"/>
      <c r="AS96" s="420"/>
      <c r="AT96" s="420"/>
      <c r="AU96" s="421"/>
    </row>
    <row r="97" spans="1:47" ht="17.100000000000001" customHeight="1" x14ac:dyDescent="0.15">
      <c r="G97" s="58">
        <v>39</v>
      </c>
      <c r="H97" s="58">
        <f>IF(G97&lt;=中間シート!$G$60,1,0)</f>
        <v>0</v>
      </c>
      <c r="J97" s="412" t="s">
        <v>358</v>
      </c>
      <c r="K97" s="412"/>
      <c r="L97" s="412"/>
      <c r="M97" s="412"/>
      <c r="N97" s="425" t="str">
        <f>IF(H97=1,中間シート!G404,"")</f>
        <v/>
      </c>
      <c r="O97" s="425"/>
      <c r="P97" s="425"/>
      <c r="Q97" s="425"/>
      <c r="R97" s="425"/>
      <c r="S97" s="425" t="str">
        <f>IF(H97=1,中間シート!G406,"")</f>
        <v/>
      </c>
      <c r="T97" s="425"/>
      <c r="U97" s="425"/>
      <c r="V97" s="425"/>
      <c r="W97" s="425"/>
      <c r="X97" s="425"/>
      <c r="Y97" s="425"/>
      <c r="Z97" s="425"/>
      <c r="AA97" s="425"/>
      <c r="AB97" s="425"/>
      <c r="AC97" s="141" t="s">
        <v>272</v>
      </c>
      <c r="AD97" s="449" t="str">
        <f>IF(H97=1,IF(AND(中間シート!G407&lt;&gt;"",中間シート!H407&lt;&gt;""),中間シート!G407&amp;"-"&amp;中間シート!H407,""),"")</f>
        <v/>
      </c>
      <c r="AE97" s="449"/>
      <c r="AF97" s="449"/>
      <c r="AG97" s="420" t="str">
        <f>IF(H97=1,中間シート!G408&amp;中間シート!G409&amp;中間シート!G410&amp;中間シート!G411,"")</f>
        <v/>
      </c>
      <c r="AH97" s="420"/>
      <c r="AI97" s="420"/>
      <c r="AJ97" s="420"/>
      <c r="AK97" s="420"/>
      <c r="AL97" s="420"/>
      <c r="AM97" s="420"/>
      <c r="AN97" s="420"/>
      <c r="AO97" s="420"/>
      <c r="AP97" s="420"/>
      <c r="AQ97" s="420"/>
      <c r="AR97" s="420"/>
      <c r="AS97" s="420"/>
      <c r="AT97" s="420"/>
      <c r="AU97" s="421"/>
    </row>
    <row r="98" spans="1:47" ht="17.100000000000001" customHeight="1" x14ac:dyDescent="0.15">
      <c r="G98" s="58">
        <v>40</v>
      </c>
      <c r="H98" s="58">
        <f>IF(G98&lt;=中間シート!$G$60,1,0)</f>
        <v>0</v>
      </c>
      <c r="J98" s="412" t="s">
        <v>359</v>
      </c>
      <c r="K98" s="412"/>
      <c r="L98" s="412"/>
      <c r="M98" s="412"/>
      <c r="N98" s="425" t="str">
        <f>IF(H98=1,中間シート!G413,"")</f>
        <v/>
      </c>
      <c r="O98" s="425"/>
      <c r="P98" s="425"/>
      <c r="Q98" s="425"/>
      <c r="R98" s="425"/>
      <c r="S98" s="425" t="str">
        <f>IF(H98=1,中間シート!G415,"")</f>
        <v/>
      </c>
      <c r="T98" s="425"/>
      <c r="U98" s="425"/>
      <c r="V98" s="425"/>
      <c r="W98" s="425"/>
      <c r="X98" s="425"/>
      <c r="Y98" s="425"/>
      <c r="Z98" s="425"/>
      <c r="AA98" s="425"/>
      <c r="AB98" s="425"/>
      <c r="AC98" s="141" t="s">
        <v>272</v>
      </c>
      <c r="AD98" s="449" t="str">
        <f>IF(H98=1,IF(AND(中間シート!G416&lt;&gt;"",中間シート!H416&lt;&gt;""),中間シート!G416&amp;"-"&amp;中間シート!H416,""),"")</f>
        <v/>
      </c>
      <c r="AE98" s="449"/>
      <c r="AF98" s="449"/>
      <c r="AG98" s="420" t="str">
        <f>IF(H98=1,中間シート!G417&amp;中間シート!G418&amp;中間シート!G419&amp;中間シート!G420,"")</f>
        <v/>
      </c>
      <c r="AH98" s="420"/>
      <c r="AI98" s="420"/>
      <c r="AJ98" s="420"/>
      <c r="AK98" s="420"/>
      <c r="AL98" s="420"/>
      <c r="AM98" s="420"/>
      <c r="AN98" s="420"/>
      <c r="AO98" s="420"/>
      <c r="AP98" s="420"/>
      <c r="AQ98" s="420"/>
      <c r="AR98" s="420"/>
      <c r="AS98" s="420"/>
      <c r="AT98" s="420"/>
      <c r="AU98" s="421"/>
    </row>
    <row r="99" spans="1:47" ht="17.100000000000001" customHeight="1" x14ac:dyDescent="0.15">
      <c r="G99" s="58">
        <v>41</v>
      </c>
      <c r="H99" s="58">
        <f>IF(G99&lt;=中間シート!$G$60,1,0)</f>
        <v>0</v>
      </c>
      <c r="J99" s="412" t="s">
        <v>360</v>
      </c>
      <c r="K99" s="412"/>
      <c r="L99" s="412"/>
      <c r="M99" s="412"/>
      <c r="N99" s="425" t="str">
        <f>IF(H99=1,中間シート!G422,"")</f>
        <v/>
      </c>
      <c r="O99" s="425"/>
      <c r="P99" s="425"/>
      <c r="Q99" s="425"/>
      <c r="R99" s="425"/>
      <c r="S99" s="425" t="str">
        <f>IF(H99=1,中間シート!G424,"")</f>
        <v/>
      </c>
      <c r="T99" s="425"/>
      <c r="U99" s="425"/>
      <c r="V99" s="425"/>
      <c r="W99" s="425"/>
      <c r="X99" s="425"/>
      <c r="Y99" s="425"/>
      <c r="Z99" s="425"/>
      <c r="AA99" s="425"/>
      <c r="AB99" s="425"/>
      <c r="AC99" s="141" t="s">
        <v>272</v>
      </c>
      <c r="AD99" s="449" t="str">
        <f>IF(H99=1,IF(AND(中間シート!G425&lt;&gt;"",中間シート!H425&lt;&gt;""),中間シート!G425&amp;"-"&amp;中間シート!H425,""),"")</f>
        <v/>
      </c>
      <c r="AE99" s="449"/>
      <c r="AF99" s="449"/>
      <c r="AG99" s="420" t="str">
        <f>IF(H99=1,中間シート!G426&amp;中間シート!G427&amp;中間シート!G428&amp;中間シート!G429,"")</f>
        <v/>
      </c>
      <c r="AH99" s="420"/>
      <c r="AI99" s="420"/>
      <c r="AJ99" s="420"/>
      <c r="AK99" s="420"/>
      <c r="AL99" s="420"/>
      <c r="AM99" s="420"/>
      <c r="AN99" s="420"/>
      <c r="AO99" s="420"/>
      <c r="AP99" s="420"/>
      <c r="AQ99" s="420"/>
      <c r="AR99" s="420"/>
      <c r="AS99" s="420"/>
      <c r="AT99" s="420"/>
      <c r="AU99" s="421"/>
    </row>
    <row r="100" spans="1:47" ht="17.100000000000001" customHeight="1" x14ac:dyDescent="0.15">
      <c r="G100" s="58">
        <v>42</v>
      </c>
      <c r="H100" s="58">
        <f>IF(G100&lt;=中間シート!$G$60,1,0)</f>
        <v>0</v>
      </c>
      <c r="J100" s="412" t="s">
        <v>361</v>
      </c>
      <c r="K100" s="412"/>
      <c r="L100" s="412"/>
      <c r="M100" s="412"/>
      <c r="N100" s="425" t="str">
        <f>IF(H100=1,中間シート!G431,"")</f>
        <v/>
      </c>
      <c r="O100" s="425"/>
      <c r="P100" s="425"/>
      <c r="Q100" s="425"/>
      <c r="R100" s="425"/>
      <c r="S100" s="425" t="str">
        <f>IF(H100=1,中間シート!G433,"")</f>
        <v/>
      </c>
      <c r="T100" s="425"/>
      <c r="U100" s="425"/>
      <c r="V100" s="425"/>
      <c r="W100" s="425"/>
      <c r="X100" s="425"/>
      <c r="Y100" s="425"/>
      <c r="Z100" s="425"/>
      <c r="AA100" s="425"/>
      <c r="AB100" s="425"/>
      <c r="AC100" s="141" t="s">
        <v>272</v>
      </c>
      <c r="AD100" s="449" t="str">
        <f>IF(H100=1,IF(AND(中間シート!G434&lt;&gt;"",中間シート!H434&lt;&gt;""),中間シート!G434&amp;"-"&amp;中間シート!H434,""),"")</f>
        <v/>
      </c>
      <c r="AE100" s="449"/>
      <c r="AF100" s="449"/>
      <c r="AG100" s="420" t="str">
        <f>IF(H100=1,中間シート!G435&amp;中間シート!G436&amp;中間シート!G437&amp;中間シート!G438,"")</f>
        <v/>
      </c>
      <c r="AH100" s="420"/>
      <c r="AI100" s="420"/>
      <c r="AJ100" s="420"/>
      <c r="AK100" s="420"/>
      <c r="AL100" s="420"/>
      <c r="AM100" s="420"/>
      <c r="AN100" s="420"/>
      <c r="AO100" s="420"/>
      <c r="AP100" s="420"/>
      <c r="AQ100" s="420"/>
      <c r="AR100" s="420"/>
      <c r="AS100" s="420"/>
      <c r="AT100" s="420"/>
      <c r="AU100" s="421"/>
    </row>
    <row r="101" spans="1:47" ht="17.100000000000001" customHeight="1" x14ac:dyDescent="0.15">
      <c r="G101" s="58">
        <v>43</v>
      </c>
      <c r="H101" s="58">
        <f>IF(G101&lt;=中間シート!$G$60,1,0)</f>
        <v>0</v>
      </c>
      <c r="J101" s="412" t="s">
        <v>362</v>
      </c>
      <c r="K101" s="412"/>
      <c r="L101" s="412"/>
      <c r="M101" s="412"/>
      <c r="N101" s="425" t="str">
        <f>IF(H101=1,中間シート!G440,"")</f>
        <v/>
      </c>
      <c r="O101" s="425"/>
      <c r="P101" s="425"/>
      <c r="Q101" s="425"/>
      <c r="R101" s="425"/>
      <c r="S101" s="425" t="str">
        <f>IF(H101=1,中間シート!G442,"")</f>
        <v/>
      </c>
      <c r="T101" s="425"/>
      <c r="U101" s="425"/>
      <c r="V101" s="425"/>
      <c r="W101" s="425"/>
      <c r="X101" s="425"/>
      <c r="Y101" s="425"/>
      <c r="Z101" s="425"/>
      <c r="AA101" s="425"/>
      <c r="AB101" s="425"/>
      <c r="AC101" s="141" t="s">
        <v>272</v>
      </c>
      <c r="AD101" s="449" t="str">
        <f>IF(H101=1,IF(AND(中間シート!G443&lt;&gt;"",中間シート!H443&lt;&gt;""),中間シート!G443&amp;"-"&amp;中間シート!H443,""),"")</f>
        <v/>
      </c>
      <c r="AE101" s="449"/>
      <c r="AF101" s="449"/>
      <c r="AG101" s="420" t="str">
        <f>IF(H101=1,中間シート!G444&amp;中間シート!G445&amp;中間シート!G446&amp;中間シート!G447,"")</f>
        <v/>
      </c>
      <c r="AH101" s="420"/>
      <c r="AI101" s="420"/>
      <c r="AJ101" s="420"/>
      <c r="AK101" s="420"/>
      <c r="AL101" s="420"/>
      <c r="AM101" s="420"/>
      <c r="AN101" s="420"/>
      <c r="AO101" s="420"/>
      <c r="AP101" s="420"/>
      <c r="AQ101" s="420"/>
      <c r="AR101" s="420"/>
      <c r="AS101" s="420"/>
      <c r="AT101" s="420"/>
      <c r="AU101" s="421"/>
    </row>
    <row r="102" spans="1:47" ht="17.100000000000001" customHeight="1" x14ac:dyDescent="0.15">
      <c r="G102" s="58">
        <v>44</v>
      </c>
      <c r="H102" s="58">
        <f>IF(G102&lt;=中間シート!$G$60,1,0)</f>
        <v>0</v>
      </c>
      <c r="J102" s="412" t="s">
        <v>363</v>
      </c>
      <c r="K102" s="412"/>
      <c r="L102" s="412"/>
      <c r="M102" s="412"/>
      <c r="N102" s="425" t="str">
        <f>IF(H102=1,中間シート!G449,"")</f>
        <v/>
      </c>
      <c r="O102" s="425"/>
      <c r="P102" s="425"/>
      <c r="Q102" s="425"/>
      <c r="R102" s="425"/>
      <c r="S102" s="425" t="str">
        <f>IF(H102=1,中間シート!G451,"")</f>
        <v/>
      </c>
      <c r="T102" s="425"/>
      <c r="U102" s="425"/>
      <c r="V102" s="425"/>
      <c r="W102" s="425"/>
      <c r="X102" s="425"/>
      <c r="Y102" s="425"/>
      <c r="Z102" s="425"/>
      <c r="AA102" s="425"/>
      <c r="AB102" s="425"/>
      <c r="AC102" s="141" t="s">
        <v>272</v>
      </c>
      <c r="AD102" s="449" t="str">
        <f>IF(H102=1,IF(AND(中間シート!G452&lt;&gt;"",中間シート!H452&lt;&gt;""),中間シート!G452&amp;"-"&amp;中間シート!H452,""),"")</f>
        <v/>
      </c>
      <c r="AE102" s="449"/>
      <c r="AF102" s="449"/>
      <c r="AG102" s="420" t="str">
        <f>IF(H102=1,中間シート!G453&amp;中間シート!G454&amp;中間シート!G455&amp;中間シート!G456,"")</f>
        <v/>
      </c>
      <c r="AH102" s="420"/>
      <c r="AI102" s="420"/>
      <c r="AJ102" s="420"/>
      <c r="AK102" s="420"/>
      <c r="AL102" s="420"/>
      <c r="AM102" s="420"/>
      <c r="AN102" s="420"/>
      <c r="AO102" s="420"/>
      <c r="AP102" s="420"/>
      <c r="AQ102" s="420"/>
      <c r="AR102" s="420"/>
      <c r="AS102" s="420"/>
      <c r="AT102" s="420"/>
      <c r="AU102" s="421"/>
    </row>
    <row r="103" spans="1:47" ht="17.100000000000001" customHeight="1" x14ac:dyDescent="0.15">
      <c r="G103" s="58">
        <v>45</v>
      </c>
      <c r="H103" s="58">
        <f>IF(G103&lt;=中間シート!$G$60,1,0)</f>
        <v>0</v>
      </c>
      <c r="J103" s="412" t="s">
        <v>364</v>
      </c>
      <c r="K103" s="412"/>
      <c r="L103" s="412"/>
      <c r="M103" s="412"/>
      <c r="N103" s="425" t="str">
        <f>IF(H103=1,中間シート!G458,"")</f>
        <v/>
      </c>
      <c r="O103" s="425"/>
      <c r="P103" s="425"/>
      <c r="Q103" s="425"/>
      <c r="R103" s="425"/>
      <c r="S103" s="425" t="str">
        <f>IF(H103=1,中間シート!G460,"")</f>
        <v/>
      </c>
      <c r="T103" s="425"/>
      <c r="U103" s="425"/>
      <c r="V103" s="425"/>
      <c r="W103" s="425"/>
      <c r="X103" s="425"/>
      <c r="Y103" s="425"/>
      <c r="Z103" s="425"/>
      <c r="AA103" s="425"/>
      <c r="AB103" s="425"/>
      <c r="AC103" s="141" t="s">
        <v>272</v>
      </c>
      <c r="AD103" s="449" t="str">
        <f>IF(H103=1,IF(AND(中間シート!G461&lt;&gt;"",中間シート!H461&lt;&gt;""),中間シート!G461&amp;"-"&amp;中間シート!H461,""),"")</f>
        <v/>
      </c>
      <c r="AE103" s="449"/>
      <c r="AF103" s="449"/>
      <c r="AG103" s="420" t="str">
        <f>IF(H103=1,中間シート!G462&amp;中間シート!G463&amp;中間シート!G464&amp;中間シート!G465,"")</f>
        <v/>
      </c>
      <c r="AH103" s="420"/>
      <c r="AI103" s="420"/>
      <c r="AJ103" s="420"/>
      <c r="AK103" s="420"/>
      <c r="AL103" s="420"/>
      <c r="AM103" s="420"/>
      <c r="AN103" s="420"/>
      <c r="AO103" s="420"/>
      <c r="AP103" s="420"/>
      <c r="AQ103" s="420"/>
      <c r="AR103" s="420"/>
      <c r="AS103" s="420"/>
      <c r="AT103" s="420"/>
      <c r="AU103" s="421"/>
    </row>
    <row r="104" spans="1:47" ht="17.100000000000001" customHeight="1" x14ac:dyDescent="0.15">
      <c r="G104" s="58">
        <v>46</v>
      </c>
      <c r="H104" s="58">
        <f>IF(G104&lt;=中間シート!$G$60,1,0)</f>
        <v>0</v>
      </c>
      <c r="J104" s="412" t="s">
        <v>365</v>
      </c>
      <c r="K104" s="412"/>
      <c r="L104" s="412"/>
      <c r="M104" s="412"/>
      <c r="N104" s="425" t="str">
        <f>IF(H104=1,中間シート!G467,"")</f>
        <v/>
      </c>
      <c r="O104" s="425"/>
      <c r="P104" s="425"/>
      <c r="Q104" s="425"/>
      <c r="R104" s="425"/>
      <c r="S104" s="425" t="str">
        <f>IF(H104=1,中間シート!G469,"")</f>
        <v/>
      </c>
      <c r="T104" s="425"/>
      <c r="U104" s="425"/>
      <c r="V104" s="425"/>
      <c r="W104" s="425"/>
      <c r="X104" s="425"/>
      <c r="Y104" s="425"/>
      <c r="Z104" s="425"/>
      <c r="AA104" s="425"/>
      <c r="AB104" s="425"/>
      <c r="AC104" s="141" t="s">
        <v>272</v>
      </c>
      <c r="AD104" s="449" t="str">
        <f>IF(H104=1,IF(AND(中間シート!G470&lt;&gt;"",中間シート!H470&lt;&gt;""),中間シート!G470&amp;"-"&amp;中間シート!H470,""),"")</f>
        <v/>
      </c>
      <c r="AE104" s="449"/>
      <c r="AF104" s="449"/>
      <c r="AG104" s="420" t="str">
        <f>IF(H104=1,中間シート!G471&amp;中間シート!G472&amp;中間シート!G473&amp;中間シート!G474,"")</f>
        <v/>
      </c>
      <c r="AH104" s="420"/>
      <c r="AI104" s="420"/>
      <c r="AJ104" s="420"/>
      <c r="AK104" s="420"/>
      <c r="AL104" s="420"/>
      <c r="AM104" s="420"/>
      <c r="AN104" s="420"/>
      <c r="AO104" s="420"/>
      <c r="AP104" s="420"/>
      <c r="AQ104" s="420"/>
      <c r="AR104" s="420"/>
      <c r="AS104" s="420"/>
      <c r="AT104" s="420"/>
      <c r="AU104" s="421"/>
    </row>
    <row r="105" spans="1:47" ht="17.100000000000001" customHeight="1" x14ac:dyDescent="0.15">
      <c r="G105" s="58">
        <v>47</v>
      </c>
      <c r="H105" s="58">
        <f>IF(G105&lt;=中間シート!$G$60,1,0)</f>
        <v>0</v>
      </c>
      <c r="J105" s="412" t="s">
        <v>366</v>
      </c>
      <c r="K105" s="412"/>
      <c r="L105" s="412"/>
      <c r="M105" s="412"/>
      <c r="N105" s="425" t="str">
        <f>IF(H105=1,中間シート!G476,"")</f>
        <v/>
      </c>
      <c r="O105" s="425"/>
      <c r="P105" s="425"/>
      <c r="Q105" s="425"/>
      <c r="R105" s="425"/>
      <c r="S105" s="425" t="str">
        <f>IF(H105=1,中間シート!G478,"")</f>
        <v/>
      </c>
      <c r="T105" s="425"/>
      <c r="U105" s="425"/>
      <c r="V105" s="425"/>
      <c r="W105" s="425"/>
      <c r="X105" s="425"/>
      <c r="Y105" s="425"/>
      <c r="Z105" s="425"/>
      <c r="AA105" s="425"/>
      <c r="AB105" s="425"/>
      <c r="AC105" s="141" t="s">
        <v>272</v>
      </c>
      <c r="AD105" s="449" t="str">
        <f>IF(H105=1,IF(AND(中間シート!G479&lt;&gt;"",中間シート!H479&lt;&gt;""),中間シート!G479&amp;"-"&amp;中間シート!H479,""),"")</f>
        <v/>
      </c>
      <c r="AE105" s="449"/>
      <c r="AF105" s="449"/>
      <c r="AG105" s="420" t="str">
        <f>IF(H105=1,中間シート!G480&amp;中間シート!G481&amp;中間シート!G482&amp;中間シート!G483,"")</f>
        <v/>
      </c>
      <c r="AH105" s="420"/>
      <c r="AI105" s="420"/>
      <c r="AJ105" s="420"/>
      <c r="AK105" s="420"/>
      <c r="AL105" s="420"/>
      <c r="AM105" s="420"/>
      <c r="AN105" s="420"/>
      <c r="AO105" s="420"/>
      <c r="AP105" s="420"/>
      <c r="AQ105" s="420"/>
      <c r="AR105" s="420"/>
      <c r="AS105" s="420"/>
      <c r="AT105" s="420"/>
      <c r="AU105" s="421"/>
    </row>
    <row r="106" spans="1:47" ht="17.100000000000001" customHeight="1" x14ac:dyDescent="0.15">
      <c r="G106" s="58">
        <v>48</v>
      </c>
      <c r="H106" s="58">
        <f>IF(G106&lt;=中間シート!$G$60,1,0)</f>
        <v>0</v>
      </c>
      <c r="J106" s="412" t="s">
        <v>367</v>
      </c>
      <c r="K106" s="412"/>
      <c r="L106" s="412"/>
      <c r="M106" s="412"/>
      <c r="N106" s="425" t="str">
        <f>IF(H106=1,中間シート!G485,"")</f>
        <v/>
      </c>
      <c r="O106" s="425"/>
      <c r="P106" s="425"/>
      <c r="Q106" s="425"/>
      <c r="R106" s="425"/>
      <c r="S106" s="425" t="str">
        <f>IF(H106=1,中間シート!G487,"")</f>
        <v/>
      </c>
      <c r="T106" s="425"/>
      <c r="U106" s="425"/>
      <c r="V106" s="425"/>
      <c r="W106" s="425"/>
      <c r="X106" s="425"/>
      <c r="Y106" s="425"/>
      <c r="Z106" s="425"/>
      <c r="AA106" s="425"/>
      <c r="AB106" s="425"/>
      <c r="AC106" s="141" t="s">
        <v>272</v>
      </c>
      <c r="AD106" s="449" t="str">
        <f>IF(H106=1,IF(AND(中間シート!G488&lt;&gt;"",中間シート!H488&lt;&gt;""),中間シート!G488&amp;"-"&amp;中間シート!H488,""),"")</f>
        <v/>
      </c>
      <c r="AE106" s="449"/>
      <c r="AF106" s="449"/>
      <c r="AG106" s="420" t="str">
        <f>IF(H106=1,中間シート!G489&amp;中間シート!G490&amp;中間シート!G491&amp;中間シート!G492,"")</f>
        <v/>
      </c>
      <c r="AH106" s="420"/>
      <c r="AI106" s="420"/>
      <c r="AJ106" s="420"/>
      <c r="AK106" s="420"/>
      <c r="AL106" s="420"/>
      <c r="AM106" s="420"/>
      <c r="AN106" s="420"/>
      <c r="AO106" s="420"/>
      <c r="AP106" s="420"/>
      <c r="AQ106" s="420"/>
      <c r="AR106" s="420"/>
      <c r="AS106" s="420"/>
      <c r="AT106" s="420"/>
      <c r="AU106" s="421"/>
    </row>
    <row r="107" spans="1:47" ht="17.100000000000001" customHeight="1" x14ac:dyDescent="0.15">
      <c r="G107" s="58">
        <v>49</v>
      </c>
      <c r="H107" s="58">
        <f>IF(G107&lt;=中間シート!$G$60,1,0)</f>
        <v>0</v>
      </c>
      <c r="J107" s="412" t="s">
        <v>368</v>
      </c>
      <c r="K107" s="412"/>
      <c r="L107" s="412"/>
      <c r="M107" s="412"/>
      <c r="N107" s="425" t="str">
        <f>IF(H107=1,中間シート!G494,"")</f>
        <v/>
      </c>
      <c r="O107" s="425"/>
      <c r="P107" s="425"/>
      <c r="Q107" s="425"/>
      <c r="R107" s="425"/>
      <c r="S107" s="425" t="str">
        <f>IF(H107=1,中間シート!G496,"")</f>
        <v/>
      </c>
      <c r="T107" s="425"/>
      <c r="U107" s="425"/>
      <c r="V107" s="425"/>
      <c r="W107" s="425"/>
      <c r="X107" s="425"/>
      <c r="Y107" s="425"/>
      <c r="Z107" s="425"/>
      <c r="AA107" s="425"/>
      <c r="AB107" s="425"/>
      <c r="AC107" s="141" t="s">
        <v>272</v>
      </c>
      <c r="AD107" s="449" t="str">
        <f>IF(H107=1,IF(AND(中間シート!G497&lt;&gt;"",中間シート!H497&lt;&gt;""),中間シート!G497&amp;"-"&amp;中間シート!H497,""),"")</f>
        <v/>
      </c>
      <c r="AE107" s="449"/>
      <c r="AF107" s="449"/>
      <c r="AG107" s="420" t="str">
        <f>IF(H107=1,中間シート!G498&amp;中間シート!G499&amp;中間シート!G500&amp;中間シート!G501,"")</f>
        <v/>
      </c>
      <c r="AH107" s="420"/>
      <c r="AI107" s="420"/>
      <c r="AJ107" s="420"/>
      <c r="AK107" s="420"/>
      <c r="AL107" s="420"/>
      <c r="AM107" s="420"/>
      <c r="AN107" s="420"/>
      <c r="AO107" s="420"/>
      <c r="AP107" s="420"/>
      <c r="AQ107" s="420"/>
      <c r="AR107" s="420"/>
      <c r="AS107" s="420"/>
      <c r="AT107" s="420"/>
      <c r="AU107" s="421"/>
    </row>
    <row r="108" spans="1:47" ht="17.100000000000001" customHeight="1" x14ac:dyDescent="0.15">
      <c r="G108" s="58">
        <v>50</v>
      </c>
      <c r="H108" s="58">
        <f>IF(G108&lt;=中間シート!$G$60,1,0)</f>
        <v>0</v>
      </c>
      <c r="J108" s="412" t="s">
        <v>369</v>
      </c>
      <c r="K108" s="412"/>
      <c r="L108" s="412"/>
      <c r="M108" s="412"/>
      <c r="N108" s="425" t="str">
        <f>IF(H108=1,中間シート!G503,"")</f>
        <v/>
      </c>
      <c r="O108" s="425"/>
      <c r="P108" s="425"/>
      <c r="Q108" s="425"/>
      <c r="R108" s="425"/>
      <c r="S108" s="425" t="str">
        <f>IF(H108=1,中間シート!G505,"")</f>
        <v/>
      </c>
      <c r="T108" s="425"/>
      <c r="U108" s="425"/>
      <c r="V108" s="425"/>
      <c r="W108" s="425"/>
      <c r="X108" s="425"/>
      <c r="Y108" s="425"/>
      <c r="Z108" s="425"/>
      <c r="AA108" s="425"/>
      <c r="AB108" s="425"/>
      <c r="AC108" s="141" t="s">
        <v>272</v>
      </c>
      <c r="AD108" s="449" t="str">
        <f>IF(H108=1,IF(AND(中間シート!G506&lt;&gt;"",中間シート!H506&lt;&gt;""),中間シート!G506&amp;"-"&amp;中間シート!H506,""),"")</f>
        <v/>
      </c>
      <c r="AE108" s="449"/>
      <c r="AF108" s="449"/>
      <c r="AG108" s="420" t="str">
        <f>IF(H108=1,中間シート!G507&amp;中間シート!G508&amp;中間シート!G509&amp;中間シート!G510,"")</f>
        <v/>
      </c>
      <c r="AH108" s="420"/>
      <c r="AI108" s="420"/>
      <c r="AJ108" s="420"/>
      <c r="AK108" s="420"/>
      <c r="AL108" s="420"/>
      <c r="AM108" s="420"/>
      <c r="AN108" s="420"/>
      <c r="AO108" s="420"/>
      <c r="AP108" s="420"/>
      <c r="AQ108" s="420"/>
      <c r="AR108" s="420"/>
      <c r="AS108" s="420"/>
      <c r="AT108" s="420"/>
      <c r="AU108" s="421"/>
    </row>
    <row r="110" spans="1:47" x14ac:dyDescent="0.15">
      <c r="J110" s="65" t="s">
        <v>274</v>
      </c>
    </row>
    <row r="111" spans="1:47" ht="16.5" customHeight="1" x14ac:dyDescent="0.15">
      <c r="A111" s="58" t="s">
        <v>275</v>
      </c>
      <c r="B111" s="58" t="s">
        <v>276</v>
      </c>
      <c r="C111" s="58" t="s">
        <v>277</v>
      </c>
      <c r="D111" s="58" t="s">
        <v>278</v>
      </c>
      <c r="E111" s="58">
        <v>1</v>
      </c>
      <c r="F111" s="58">
        <v>2</v>
      </c>
      <c r="G111" s="58">
        <v>3</v>
      </c>
      <c r="H111" s="58">
        <v>4</v>
      </c>
      <c r="J111" s="412" t="s">
        <v>279</v>
      </c>
      <c r="K111" s="412"/>
      <c r="L111" s="412"/>
      <c r="M111" s="412"/>
      <c r="N111" s="412" t="s">
        <v>280</v>
      </c>
      <c r="O111" s="412"/>
      <c r="P111" s="412"/>
      <c r="Q111" s="412"/>
      <c r="R111" s="412"/>
      <c r="S111" s="412"/>
      <c r="T111" s="412"/>
      <c r="U111" s="412"/>
      <c r="V111" s="412"/>
      <c r="W111" s="412" t="s">
        <v>281</v>
      </c>
      <c r="X111" s="412"/>
      <c r="Y111" s="412"/>
      <c r="Z111" s="412"/>
      <c r="AA111" s="412"/>
      <c r="AB111" s="412"/>
      <c r="AC111" s="412"/>
      <c r="AD111" s="412"/>
      <c r="AE111" s="412"/>
      <c r="AF111" s="412" t="s">
        <v>282</v>
      </c>
      <c r="AG111" s="412"/>
      <c r="AH111" s="412"/>
      <c r="AI111" s="412"/>
      <c r="AJ111" s="412"/>
      <c r="AK111" s="412"/>
      <c r="AL111" s="412"/>
      <c r="AM111" s="412"/>
      <c r="AN111" s="412" t="s">
        <v>283</v>
      </c>
      <c r="AO111" s="412"/>
      <c r="AP111" s="412"/>
      <c r="AQ111" s="412"/>
      <c r="AR111" s="412"/>
      <c r="AS111" s="412"/>
      <c r="AT111" s="412"/>
      <c r="AU111" s="412"/>
    </row>
    <row r="112" spans="1:47" ht="16.5" customHeight="1" x14ac:dyDescent="0.15">
      <c r="A112" s="58">
        <f>中間シート!AI514</f>
        <v>9999</v>
      </c>
      <c r="B112" s="58" t="str">
        <f>中間シート!AK514</f>
        <v>事業場99</v>
      </c>
      <c r="C112" s="58" t="e">
        <f>中間シート!AJ514</f>
        <v>#N/A</v>
      </c>
      <c r="D112" s="58" t="str">
        <f>VLOOKUP($A112,中間シート!$D$514:$K$663,4)</f>
        <v/>
      </c>
      <c r="E112" s="58" t="str">
        <f>VLOOKUP($A112,中間シート!$D$514:$K$663,5)</f>
        <v/>
      </c>
      <c r="F112" s="58" t="str">
        <f>VLOOKUP($A112,中間シート!$D$514:$K$663,6)</f>
        <v/>
      </c>
      <c r="G112" s="58" t="str">
        <f>VLOOKUP($A112,中間シート!$D$514:$K$663,7)</f>
        <v/>
      </c>
      <c r="H112" s="58" t="str">
        <f>VLOOKUP($A112,中間シート!$D$514:$K$663,8)</f>
        <v/>
      </c>
      <c r="J112" s="412" t="s">
        <v>271</v>
      </c>
      <c r="K112" s="412"/>
      <c r="L112" s="412"/>
      <c r="M112" s="412"/>
      <c r="N112" s="422" t="str">
        <f>IF($A112&lt;&gt;9999,IF($C112=2,VLOOKUP($A112,中間シート!$D$514:$T$663,14,FALSE),VLOOKUP($A112,中間シート!$D$514:$T$663,9,FALSE)),"")</f>
        <v/>
      </c>
      <c r="O112" s="423"/>
      <c r="P112" s="423"/>
      <c r="Q112" s="423"/>
      <c r="R112" s="423"/>
      <c r="S112" s="423"/>
      <c r="T112" s="424"/>
      <c r="U112" s="422" t="str">
        <f>IF($A112&lt;&gt;9999,IF($C112=2,"",E112),"")</f>
        <v/>
      </c>
      <c r="V112" s="424"/>
      <c r="W112" s="422" t="str">
        <f>IF($A112&lt;&gt;9999,IF($C112=2,VLOOKUP($A112,中間シート!$D$514:$T$663,15,FALSE),VLOOKUP($A112,中間シート!$D$514:$T$663,10,FALSE)),"")</f>
        <v/>
      </c>
      <c r="X112" s="423"/>
      <c r="Y112" s="423"/>
      <c r="Z112" s="423"/>
      <c r="AA112" s="423"/>
      <c r="AB112" s="423"/>
      <c r="AC112" s="424"/>
      <c r="AD112" s="422" t="str">
        <f>IF($A112&lt;&gt;9999,IF($C112=2,"",F112),"")</f>
        <v/>
      </c>
      <c r="AE112" s="424"/>
      <c r="AF112" s="422" t="str">
        <f>IF($A112&lt;&gt;9999,IF($C112=2,VLOOKUP($A112,中間シート!$D$514:$T$663,16,FALSE),VLOOKUP($A112,中間シート!$D$514:$T$663,11,FALSE)),"")</f>
        <v/>
      </c>
      <c r="AG112" s="423"/>
      <c r="AH112" s="423"/>
      <c r="AI112" s="423"/>
      <c r="AJ112" s="423"/>
      <c r="AK112" s="424"/>
      <c r="AL112" s="422" t="str">
        <f>IF($A112&lt;&gt;9999,IF($C112=2,"",G112),"")</f>
        <v/>
      </c>
      <c r="AM112" s="424"/>
      <c r="AN112" s="422" t="str">
        <f>IF($A112&lt;&gt;9999,IF($C112=2,VLOOKUP($A112,中間シート!$D$514:$T$663,17,FALSE),VLOOKUP($A112,中間シート!$D$514:$T$663,12,FALSE)),"")</f>
        <v/>
      </c>
      <c r="AO112" s="423"/>
      <c r="AP112" s="423"/>
      <c r="AQ112" s="423"/>
      <c r="AR112" s="423"/>
      <c r="AS112" s="424"/>
      <c r="AT112" s="422" t="str">
        <f>IF($A112&lt;&gt;9999,IF($C112=2,"",H112),"")</f>
        <v/>
      </c>
      <c r="AU112" s="424"/>
    </row>
    <row r="113" spans="1:47" ht="16.5" customHeight="1" x14ac:dyDescent="0.15">
      <c r="A113" s="58">
        <f>中間シート!AI515</f>
        <v>9999</v>
      </c>
      <c r="B113" s="58" t="str">
        <f>中間シート!AK515</f>
        <v>事業場99</v>
      </c>
      <c r="C113" s="58" t="e">
        <f>中間シート!AJ515</f>
        <v>#N/A</v>
      </c>
      <c r="D113" s="58" t="str">
        <f>VLOOKUP($A113,中間シート!$D$514:$K$663,4)</f>
        <v/>
      </c>
      <c r="E113" s="58" t="str">
        <f>VLOOKUP($A113,中間シート!$D$514:$K$663,5)</f>
        <v/>
      </c>
      <c r="F113" s="58" t="str">
        <f>VLOOKUP($A113,中間シート!$D$514:$K$663,6)</f>
        <v/>
      </c>
      <c r="G113" s="58" t="str">
        <f>VLOOKUP($A113,中間シート!$D$514:$K$663,7)</f>
        <v/>
      </c>
      <c r="H113" s="58" t="str">
        <f>VLOOKUP($A113,中間シート!$D$514:$K$663,8)</f>
        <v/>
      </c>
      <c r="J113" s="412" t="str">
        <f>IF(B113="事業場99","事業場2",B113)</f>
        <v>事業場2</v>
      </c>
      <c r="K113" s="412"/>
      <c r="L113" s="412"/>
      <c r="M113" s="412"/>
      <c r="N113" s="422" t="str">
        <f>IF($A113&lt;&gt;9999,IF($C113=2,VLOOKUP($A113,中間シート!$D$514:$T$663,14,FALSE),VLOOKUP($A113,中間シート!$D$514:$T$663,9,FALSE)),"")</f>
        <v/>
      </c>
      <c r="O113" s="423"/>
      <c r="P113" s="423"/>
      <c r="Q113" s="423"/>
      <c r="R113" s="423"/>
      <c r="S113" s="423"/>
      <c r="T113" s="424"/>
      <c r="U113" s="422" t="str">
        <f t="shared" ref="U113:U176" si="0">IF($A113&lt;&gt;9999,IF($C113=2,"",E113),"")</f>
        <v/>
      </c>
      <c r="V113" s="424"/>
      <c r="W113" s="422" t="str">
        <f>IF($A113&lt;&gt;9999,IF($C113=2,VLOOKUP($A113,中間シート!$D$514:$T$663,15,FALSE),VLOOKUP($A113,中間シート!$D$514:$T$663,10,FALSE)),"")</f>
        <v/>
      </c>
      <c r="X113" s="423"/>
      <c r="Y113" s="423"/>
      <c r="Z113" s="423"/>
      <c r="AA113" s="423"/>
      <c r="AB113" s="423"/>
      <c r="AC113" s="424"/>
      <c r="AD113" s="422" t="str">
        <f>IF($A113&lt;&gt;9999,IF($C113=2,"",F113),"")</f>
        <v/>
      </c>
      <c r="AE113" s="424"/>
      <c r="AF113" s="422" t="str">
        <f>IF($A113&lt;&gt;9999,IF($C113=2,VLOOKUP($A113,中間シート!$D$514:$T$663,16,FALSE),VLOOKUP($A113,中間シート!$D$514:$T$663,11,FALSE)),"")</f>
        <v/>
      </c>
      <c r="AG113" s="423"/>
      <c r="AH113" s="423"/>
      <c r="AI113" s="423"/>
      <c r="AJ113" s="423"/>
      <c r="AK113" s="424"/>
      <c r="AL113" s="422" t="str">
        <f>IF($A113&lt;&gt;9999,IF($C113=2,"",G113),"")</f>
        <v/>
      </c>
      <c r="AM113" s="424"/>
      <c r="AN113" s="422" t="str">
        <f>IF($A113&lt;&gt;9999,IF($C113=2,VLOOKUP($A113,中間シート!$D$514:$T$663,17,FALSE),VLOOKUP($A113,中間シート!$D$514:$T$663,12,FALSE)),"")</f>
        <v/>
      </c>
      <c r="AO113" s="423"/>
      <c r="AP113" s="423"/>
      <c r="AQ113" s="423"/>
      <c r="AR113" s="423"/>
      <c r="AS113" s="424"/>
      <c r="AT113" s="422" t="str">
        <f>IF($A113&lt;&gt;9999,IF($C113=2,"",H113),"")</f>
        <v/>
      </c>
      <c r="AU113" s="424"/>
    </row>
    <row r="114" spans="1:47" ht="16.5" customHeight="1" x14ac:dyDescent="0.15">
      <c r="A114" s="58">
        <f>中間シート!AI516</f>
        <v>9999</v>
      </c>
      <c r="B114" s="58" t="str">
        <f>中間シート!AK516</f>
        <v>事業場99</v>
      </c>
      <c r="C114" s="58" t="e">
        <f>中間シート!AJ516</f>
        <v>#N/A</v>
      </c>
      <c r="D114" s="58" t="str">
        <f>VLOOKUP($A114,中間シート!$D$514:$K$663,4)</f>
        <v/>
      </c>
      <c r="E114" s="58" t="str">
        <f>VLOOKUP($A114,中間シート!$D$514:$K$663,5)</f>
        <v/>
      </c>
      <c r="F114" s="58" t="str">
        <f>VLOOKUP($A114,中間シート!$D$514:$K$663,6)</f>
        <v/>
      </c>
      <c r="G114" s="58" t="str">
        <f>VLOOKUP($A114,中間シート!$D$514:$K$663,7)</f>
        <v/>
      </c>
      <c r="H114" s="58" t="str">
        <f>VLOOKUP($A114,中間シート!$D$514:$K$663,8)</f>
        <v/>
      </c>
      <c r="J114" s="412" t="str">
        <f>IF(B114="事業場99","",B114)</f>
        <v/>
      </c>
      <c r="K114" s="412"/>
      <c r="L114" s="412"/>
      <c r="M114" s="412"/>
      <c r="N114" s="422" t="str">
        <f>IF($A114&lt;&gt;9999,IF($C114=2,VLOOKUP($A114,中間シート!$D$514:$T$663,14,FALSE),VLOOKUP($A114,中間シート!$D$514:$T$663,9,FALSE)),"")</f>
        <v/>
      </c>
      <c r="O114" s="423"/>
      <c r="P114" s="423"/>
      <c r="Q114" s="423"/>
      <c r="R114" s="423"/>
      <c r="S114" s="423"/>
      <c r="T114" s="424"/>
      <c r="U114" s="422" t="str">
        <f t="shared" si="0"/>
        <v/>
      </c>
      <c r="V114" s="424"/>
      <c r="W114" s="422" t="str">
        <f>IF($A114&lt;&gt;9999,IF($C114=2,VLOOKUP($A114,中間シート!$D$514:$T$663,15,FALSE),VLOOKUP($A114,中間シート!$D$514:$T$663,10,FALSE)),"")</f>
        <v/>
      </c>
      <c r="X114" s="423"/>
      <c r="Y114" s="423"/>
      <c r="Z114" s="423"/>
      <c r="AA114" s="423"/>
      <c r="AB114" s="423"/>
      <c r="AC114" s="424"/>
      <c r="AD114" s="422" t="str">
        <f t="shared" ref="AD114:AD177" si="1">IF($A114&lt;&gt;9999,IF($C114=2,"",F114),"")</f>
        <v/>
      </c>
      <c r="AE114" s="424"/>
      <c r="AF114" s="422" t="str">
        <f>IF($A114&lt;&gt;9999,IF($C114=2,VLOOKUP($A114,中間シート!$D$514:$T$663,16,FALSE),VLOOKUP($A114,中間シート!$D$514:$T$663,11,FALSE)),"")</f>
        <v/>
      </c>
      <c r="AG114" s="423"/>
      <c r="AH114" s="423"/>
      <c r="AI114" s="423"/>
      <c r="AJ114" s="423"/>
      <c r="AK114" s="424"/>
      <c r="AL114" s="422" t="str">
        <f t="shared" ref="AL114:AL177" si="2">IF($A114&lt;&gt;9999,IF($C114=2,"",G114),"")</f>
        <v/>
      </c>
      <c r="AM114" s="424"/>
      <c r="AN114" s="422" t="str">
        <f>IF($A114&lt;&gt;9999,IF($C114=2,VLOOKUP($A114,中間シート!$D$514:$T$663,17,FALSE),VLOOKUP($A114,中間シート!$D$514:$T$663,12,FALSE)),"")</f>
        <v/>
      </c>
      <c r="AO114" s="423"/>
      <c r="AP114" s="423"/>
      <c r="AQ114" s="423"/>
      <c r="AR114" s="423"/>
      <c r="AS114" s="424"/>
      <c r="AT114" s="422" t="str">
        <f t="shared" ref="AT114:AT117" si="3">IF($A114&lt;&gt;9999,IF($C114=2,"",H114),"")</f>
        <v/>
      </c>
      <c r="AU114" s="424"/>
    </row>
    <row r="115" spans="1:47" ht="16.5" customHeight="1" x14ac:dyDescent="0.15">
      <c r="A115" s="58">
        <f>中間シート!AI517</f>
        <v>9999</v>
      </c>
      <c r="B115" s="58" t="str">
        <f>中間シート!AK517</f>
        <v>事業場99</v>
      </c>
      <c r="C115" s="58" t="e">
        <f>中間シート!AJ517</f>
        <v>#N/A</v>
      </c>
      <c r="D115" s="58" t="str">
        <f>VLOOKUP($A115,中間シート!$D$514:$K$663,4)</f>
        <v/>
      </c>
      <c r="E115" s="58" t="str">
        <f>VLOOKUP($A115,中間シート!$D$514:$K$663,5)</f>
        <v/>
      </c>
      <c r="F115" s="58" t="str">
        <f>VLOOKUP($A115,中間シート!$D$514:$K$663,6)</f>
        <v/>
      </c>
      <c r="G115" s="58" t="str">
        <f>VLOOKUP($A115,中間シート!$D$514:$K$663,7)</f>
        <v/>
      </c>
      <c r="H115" s="58" t="str">
        <f>VLOOKUP($A115,中間シート!$D$514:$K$663,8)</f>
        <v/>
      </c>
      <c r="J115" s="412" t="str">
        <f t="shared" ref="J115:J178" si="4">IF(B115="事業場99","",B115)</f>
        <v/>
      </c>
      <c r="K115" s="412"/>
      <c r="L115" s="412"/>
      <c r="M115" s="412"/>
      <c r="N115" s="422" t="str">
        <f>IF($A115&lt;&gt;9999,IF($C115=2,VLOOKUP($A115,中間シート!$D$514:$T$663,14,FALSE),VLOOKUP($A115,中間シート!$D$514:$T$663,9,FALSE)),"")</f>
        <v/>
      </c>
      <c r="O115" s="423"/>
      <c r="P115" s="423"/>
      <c r="Q115" s="423"/>
      <c r="R115" s="423"/>
      <c r="S115" s="423"/>
      <c r="T115" s="424"/>
      <c r="U115" s="422" t="str">
        <f t="shared" si="0"/>
        <v/>
      </c>
      <c r="V115" s="424"/>
      <c r="W115" s="422" t="str">
        <f>IF($A115&lt;&gt;9999,IF($C115=2,VLOOKUP($A115,中間シート!$D$514:$T$663,15,FALSE),VLOOKUP($A115,中間シート!$D$514:$T$663,10,FALSE)),"")</f>
        <v/>
      </c>
      <c r="X115" s="423"/>
      <c r="Y115" s="423"/>
      <c r="Z115" s="423"/>
      <c r="AA115" s="423"/>
      <c r="AB115" s="423"/>
      <c r="AC115" s="424"/>
      <c r="AD115" s="422" t="str">
        <f t="shared" si="1"/>
        <v/>
      </c>
      <c r="AE115" s="424"/>
      <c r="AF115" s="422" t="str">
        <f>IF($A115&lt;&gt;9999,IF($C115=2,VLOOKUP($A115,中間シート!$D$514:$T$663,16,FALSE),VLOOKUP($A115,中間シート!$D$514:$T$663,11,FALSE)),"")</f>
        <v/>
      </c>
      <c r="AG115" s="423"/>
      <c r="AH115" s="423"/>
      <c r="AI115" s="423"/>
      <c r="AJ115" s="423"/>
      <c r="AK115" s="424"/>
      <c r="AL115" s="422" t="str">
        <f t="shared" si="2"/>
        <v/>
      </c>
      <c r="AM115" s="424"/>
      <c r="AN115" s="422" t="str">
        <f>IF($A115&lt;&gt;9999,IF($C115=2,VLOOKUP($A115,中間シート!$D$514:$T$663,17,FALSE),VLOOKUP($A115,中間シート!$D$514:$T$663,12,FALSE)),"")</f>
        <v/>
      </c>
      <c r="AO115" s="423"/>
      <c r="AP115" s="423"/>
      <c r="AQ115" s="423"/>
      <c r="AR115" s="423"/>
      <c r="AS115" s="424"/>
      <c r="AT115" s="422" t="str">
        <f t="shared" si="3"/>
        <v/>
      </c>
      <c r="AU115" s="424"/>
    </row>
    <row r="116" spans="1:47" ht="16.5" customHeight="1" x14ac:dyDescent="0.15">
      <c r="A116" s="58">
        <f>中間シート!AI518</f>
        <v>9999</v>
      </c>
      <c r="B116" s="58" t="str">
        <f>中間シート!AK518</f>
        <v>事業場99</v>
      </c>
      <c r="C116" s="58" t="e">
        <f>中間シート!AJ518</f>
        <v>#N/A</v>
      </c>
      <c r="D116" s="58" t="str">
        <f>VLOOKUP($A116,中間シート!$D$514:$K$663,4)</f>
        <v/>
      </c>
      <c r="E116" s="58" t="str">
        <f>VLOOKUP($A116,中間シート!$D$514:$K$663,5)</f>
        <v/>
      </c>
      <c r="F116" s="58" t="str">
        <f>VLOOKUP($A116,中間シート!$D$514:$K$663,6)</f>
        <v/>
      </c>
      <c r="G116" s="58" t="str">
        <f>VLOOKUP($A116,中間シート!$D$514:$K$663,7)</f>
        <v/>
      </c>
      <c r="H116" s="58" t="str">
        <f>VLOOKUP($A116,中間シート!$D$514:$K$663,8)</f>
        <v/>
      </c>
      <c r="J116" s="412" t="str">
        <f t="shared" si="4"/>
        <v/>
      </c>
      <c r="K116" s="412"/>
      <c r="L116" s="412"/>
      <c r="M116" s="412"/>
      <c r="N116" s="422" t="str">
        <f>IF($A116&lt;&gt;9999,IF($C116=2,VLOOKUP($A116,中間シート!$D$514:$T$663,14,FALSE),VLOOKUP($A116,中間シート!$D$514:$T$663,9,FALSE)),"")</f>
        <v/>
      </c>
      <c r="O116" s="423"/>
      <c r="P116" s="423"/>
      <c r="Q116" s="423"/>
      <c r="R116" s="423"/>
      <c r="S116" s="423"/>
      <c r="T116" s="424"/>
      <c r="U116" s="422" t="str">
        <f t="shared" si="0"/>
        <v/>
      </c>
      <c r="V116" s="424"/>
      <c r="W116" s="422" t="str">
        <f>IF($A116&lt;&gt;9999,IF($C116=2,VLOOKUP($A116,中間シート!$D$514:$T$663,15,FALSE),VLOOKUP($A116,中間シート!$D$514:$T$663,10,FALSE)),"")</f>
        <v/>
      </c>
      <c r="X116" s="423"/>
      <c r="Y116" s="423"/>
      <c r="Z116" s="423"/>
      <c r="AA116" s="423"/>
      <c r="AB116" s="423"/>
      <c r="AC116" s="424"/>
      <c r="AD116" s="422" t="str">
        <f t="shared" si="1"/>
        <v/>
      </c>
      <c r="AE116" s="424"/>
      <c r="AF116" s="422" t="str">
        <f>IF($A116&lt;&gt;9999,IF($C116=2,VLOOKUP($A116,中間シート!$D$514:$T$663,16,FALSE),VLOOKUP($A116,中間シート!$D$514:$T$663,11,FALSE)),"")</f>
        <v/>
      </c>
      <c r="AG116" s="423"/>
      <c r="AH116" s="423"/>
      <c r="AI116" s="423"/>
      <c r="AJ116" s="423"/>
      <c r="AK116" s="424"/>
      <c r="AL116" s="422" t="str">
        <f t="shared" si="2"/>
        <v/>
      </c>
      <c r="AM116" s="424"/>
      <c r="AN116" s="422" t="str">
        <f>IF($A116&lt;&gt;9999,IF($C116=2,VLOOKUP($A116,中間シート!$D$514:$T$663,17,FALSE),VLOOKUP($A116,中間シート!$D$514:$T$663,12,FALSE)),"")</f>
        <v/>
      </c>
      <c r="AO116" s="423"/>
      <c r="AP116" s="423"/>
      <c r="AQ116" s="423"/>
      <c r="AR116" s="423"/>
      <c r="AS116" s="424"/>
      <c r="AT116" s="422" t="str">
        <f t="shared" si="3"/>
        <v/>
      </c>
      <c r="AU116" s="424"/>
    </row>
    <row r="117" spans="1:47" ht="16.5" customHeight="1" x14ac:dyDescent="0.15">
      <c r="A117" s="58">
        <f>中間シート!AI519</f>
        <v>9999</v>
      </c>
      <c r="B117" s="58" t="str">
        <f>中間シート!AK519</f>
        <v>事業場99</v>
      </c>
      <c r="C117" s="58" t="e">
        <f>中間シート!AJ519</f>
        <v>#N/A</v>
      </c>
      <c r="D117" s="58" t="str">
        <f>VLOOKUP($A117,中間シート!$D$514:$K$663,4)</f>
        <v/>
      </c>
      <c r="E117" s="58" t="str">
        <f>VLOOKUP($A117,中間シート!$D$514:$K$663,5)</f>
        <v/>
      </c>
      <c r="F117" s="58" t="str">
        <f>VLOOKUP($A117,中間シート!$D$514:$K$663,6)</f>
        <v/>
      </c>
      <c r="G117" s="58" t="str">
        <f>VLOOKUP($A117,中間シート!$D$514:$K$663,7)</f>
        <v/>
      </c>
      <c r="H117" s="58" t="str">
        <f>VLOOKUP($A117,中間シート!$D$514:$K$663,8)</f>
        <v/>
      </c>
      <c r="J117" s="412" t="str">
        <f t="shared" si="4"/>
        <v/>
      </c>
      <c r="K117" s="412"/>
      <c r="L117" s="412"/>
      <c r="M117" s="412"/>
      <c r="N117" s="422" t="str">
        <f>IF($A117&lt;&gt;9999,IF($C117=2,VLOOKUP($A117,中間シート!$D$514:$T$663,14,FALSE),VLOOKUP($A117,中間シート!$D$514:$T$663,9,FALSE)),"")</f>
        <v/>
      </c>
      <c r="O117" s="423"/>
      <c r="P117" s="423"/>
      <c r="Q117" s="423"/>
      <c r="R117" s="423"/>
      <c r="S117" s="423"/>
      <c r="T117" s="424"/>
      <c r="U117" s="422" t="str">
        <f t="shared" si="0"/>
        <v/>
      </c>
      <c r="V117" s="424"/>
      <c r="W117" s="422" t="str">
        <f>IF($A117&lt;&gt;9999,IF($C117=2,VLOOKUP($A117,中間シート!$D$514:$T$663,15,FALSE),VLOOKUP($A117,中間シート!$D$514:$T$663,10,FALSE)),"")</f>
        <v/>
      </c>
      <c r="X117" s="423"/>
      <c r="Y117" s="423"/>
      <c r="Z117" s="423"/>
      <c r="AA117" s="423"/>
      <c r="AB117" s="423"/>
      <c r="AC117" s="424"/>
      <c r="AD117" s="422" t="str">
        <f t="shared" si="1"/>
        <v/>
      </c>
      <c r="AE117" s="424"/>
      <c r="AF117" s="422" t="str">
        <f>IF($A117&lt;&gt;9999,IF($C117=2,VLOOKUP($A117,中間シート!$D$514:$T$663,16,FALSE),VLOOKUP($A117,中間シート!$D$514:$T$663,11,FALSE)),"")</f>
        <v/>
      </c>
      <c r="AG117" s="423"/>
      <c r="AH117" s="423"/>
      <c r="AI117" s="423"/>
      <c r="AJ117" s="423"/>
      <c r="AK117" s="424"/>
      <c r="AL117" s="422" t="str">
        <f t="shared" si="2"/>
        <v/>
      </c>
      <c r="AM117" s="424"/>
      <c r="AN117" s="422" t="str">
        <f>IF($A117&lt;&gt;9999,IF($C117=2,VLOOKUP($A117,中間シート!$D$514:$T$663,17,FALSE),VLOOKUP($A117,中間シート!$D$514:$T$663,12,FALSE)),"")</f>
        <v/>
      </c>
      <c r="AO117" s="423"/>
      <c r="AP117" s="423"/>
      <c r="AQ117" s="423"/>
      <c r="AR117" s="423"/>
      <c r="AS117" s="424"/>
      <c r="AT117" s="422" t="str">
        <f t="shared" si="3"/>
        <v/>
      </c>
      <c r="AU117" s="424"/>
    </row>
    <row r="118" spans="1:47" ht="16.5" customHeight="1" x14ac:dyDescent="0.15">
      <c r="A118" s="58">
        <f>中間シート!AI520</f>
        <v>9999</v>
      </c>
      <c r="B118" s="58" t="str">
        <f>中間シート!AK520</f>
        <v>事業場99</v>
      </c>
      <c r="C118" s="58" t="e">
        <f>中間シート!AJ520</f>
        <v>#N/A</v>
      </c>
      <c r="D118" s="58" t="str">
        <f>VLOOKUP($A118,中間シート!$D$514:$K$663,4)</f>
        <v/>
      </c>
      <c r="E118" s="58" t="str">
        <f>VLOOKUP($A118,中間シート!$D$514:$K$663,5)</f>
        <v/>
      </c>
      <c r="F118" s="58" t="str">
        <f>VLOOKUP($A118,中間シート!$D$514:$K$663,6)</f>
        <v/>
      </c>
      <c r="G118" s="58" t="str">
        <f>VLOOKUP($A118,中間シート!$D$514:$K$663,7)</f>
        <v/>
      </c>
      <c r="H118" s="58" t="str">
        <f>VLOOKUP($A118,中間シート!$D$514:$K$663,8)</f>
        <v/>
      </c>
      <c r="J118" s="412" t="str">
        <f t="shared" si="4"/>
        <v/>
      </c>
      <c r="K118" s="412"/>
      <c r="L118" s="412"/>
      <c r="M118" s="412"/>
      <c r="N118" s="422" t="str">
        <f>IF($A118&lt;&gt;9999,IF($C118=2,VLOOKUP($A118,中間シート!$D$514:$T$663,14,FALSE),VLOOKUP($A118,中間シート!$D$514:$T$663,9,FALSE)),"")</f>
        <v/>
      </c>
      <c r="O118" s="423"/>
      <c r="P118" s="423"/>
      <c r="Q118" s="423"/>
      <c r="R118" s="423"/>
      <c r="S118" s="423"/>
      <c r="T118" s="424"/>
      <c r="U118" s="422" t="str">
        <f t="shared" si="0"/>
        <v/>
      </c>
      <c r="V118" s="424"/>
      <c r="W118" s="422" t="str">
        <f>IF($A118&lt;&gt;9999,IF($C118=2,VLOOKUP($A118,中間シート!$D$514:$T$663,15,FALSE),VLOOKUP($A118,中間シート!$D$514:$T$663,10,FALSE)),"")</f>
        <v/>
      </c>
      <c r="X118" s="423"/>
      <c r="Y118" s="423"/>
      <c r="Z118" s="423"/>
      <c r="AA118" s="423"/>
      <c r="AB118" s="423"/>
      <c r="AC118" s="424"/>
      <c r="AD118" s="422" t="str">
        <f t="shared" si="1"/>
        <v/>
      </c>
      <c r="AE118" s="424"/>
      <c r="AF118" s="422" t="str">
        <f>IF($A118&lt;&gt;9999,IF($C118=2,VLOOKUP($A118,中間シート!$D$514:$T$663,16,FALSE),VLOOKUP($A118,中間シート!$D$514:$T$663,11,FALSE)),"")</f>
        <v/>
      </c>
      <c r="AG118" s="423"/>
      <c r="AH118" s="423"/>
      <c r="AI118" s="423"/>
      <c r="AJ118" s="423"/>
      <c r="AK118" s="424"/>
      <c r="AL118" s="422" t="str">
        <f t="shared" si="2"/>
        <v/>
      </c>
      <c r="AM118" s="424"/>
      <c r="AN118" s="422" t="str">
        <f>IF($A118&lt;&gt;9999,IF($C118=2,VLOOKUP($A118,中間シート!$D$514:$T$663,17,FALSE),VLOOKUP($A118,中間シート!$D$514:$T$663,12,FALSE)),"")</f>
        <v/>
      </c>
      <c r="AO118" s="423"/>
      <c r="AP118" s="423"/>
      <c r="AQ118" s="423"/>
      <c r="AR118" s="423"/>
      <c r="AS118" s="424"/>
      <c r="AT118" s="422" t="str">
        <f t="shared" ref="AT118:AT181" si="5">IF($A118&lt;&gt;9999,IF($C118=2,"",H118),"")</f>
        <v/>
      </c>
      <c r="AU118" s="424"/>
    </row>
    <row r="119" spans="1:47" ht="16.5" customHeight="1" x14ac:dyDescent="0.15">
      <c r="A119" s="58">
        <f>中間シート!AI521</f>
        <v>9999</v>
      </c>
      <c r="B119" s="58" t="str">
        <f>中間シート!AK521</f>
        <v>事業場99</v>
      </c>
      <c r="C119" s="58" t="e">
        <f>中間シート!AJ521</f>
        <v>#N/A</v>
      </c>
      <c r="D119" s="58" t="str">
        <f>VLOOKUP($A119,中間シート!$D$514:$K$663,4)</f>
        <v/>
      </c>
      <c r="E119" s="58" t="str">
        <f>VLOOKUP($A119,中間シート!$D$514:$K$663,5)</f>
        <v/>
      </c>
      <c r="F119" s="58" t="str">
        <f>VLOOKUP($A119,中間シート!$D$514:$K$663,6)</f>
        <v/>
      </c>
      <c r="G119" s="58" t="str">
        <f>VLOOKUP($A119,中間シート!$D$514:$K$663,7)</f>
        <v/>
      </c>
      <c r="H119" s="58" t="str">
        <f>VLOOKUP($A119,中間シート!$D$514:$K$663,8)</f>
        <v/>
      </c>
      <c r="J119" s="412" t="str">
        <f t="shared" si="4"/>
        <v/>
      </c>
      <c r="K119" s="412"/>
      <c r="L119" s="412"/>
      <c r="M119" s="412"/>
      <c r="N119" s="422" t="str">
        <f>IF($A119&lt;&gt;9999,IF($C119=2,VLOOKUP($A119,中間シート!$D$514:$T$663,14,FALSE),VLOOKUP($A119,中間シート!$D$514:$T$663,9,FALSE)),"")</f>
        <v/>
      </c>
      <c r="O119" s="423"/>
      <c r="P119" s="423"/>
      <c r="Q119" s="423"/>
      <c r="R119" s="423"/>
      <c r="S119" s="423"/>
      <c r="T119" s="424"/>
      <c r="U119" s="422" t="str">
        <f t="shared" si="0"/>
        <v/>
      </c>
      <c r="V119" s="424"/>
      <c r="W119" s="422" t="str">
        <f>IF($A119&lt;&gt;9999,IF($C119=2,VLOOKUP($A119,中間シート!$D$514:$T$663,15,FALSE),VLOOKUP($A119,中間シート!$D$514:$T$663,10,FALSE)),"")</f>
        <v/>
      </c>
      <c r="X119" s="423"/>
      <c r="Y119" s="423"/>
      <c r="Z119" s="423"/>
      <c r="AA119" s="423"/>
      <c r="AB119" s="423"/>
      <c r="AC119" s="424"/>
      <c r="AD119" s="422" t="str">
        <f t="shared" si="1"/>
        <v/>
      </c>
      <c r="AE119" s="424"/>
      <c r="AF119" s="422" t="str">
        <f>IF($A119&lt;&gt;9999,IF($C119=2,VLOOKUP($A119,中間シート!$D$514:$T$663,16,FALSE),VLOOKUP($A119,中間シート!$D$514:$T$663,11,FALSE)),"")</f>
        <v/>
      </c>
      <c r="AG119" s="423"/>
      <c r="AH119" s="423"/>
      <c r="AI119" s="423"/>
      <c r="AJ119" s="423"/>
      <c r="AK119" s="424"/>
      <c r="AL119" s="422" t="str">
        <f t="shared" si="2"/>
        <v/>
      </c>
      <c r="AM119" s="424"/>
      <c r="AN119" s="422" t="str">
        <f>IF($A119&lt;&gt;9999,IF($C119=2,VLOOKUP($A119,中間シート!$D$514:$T$663,17,FALSE),VLOOKUP($A119,中間シート!$D$514:$T$663,12,FALSE)),"")</f>
        <v/>
      </c>
      <c r="AO119" s="423"/>
      <c r="AP119" s="423"/>
      <c r="AQ119" s="423"/>
      <c r="AR119" s="423"/>
      <c r="AS119" s="424"/>
      <c r="AT119" s="422" t="str">
        <f t="shared" si="5"/>
        <v/>
      </c>
      <c r="AU119" s="424"/>
    </row>
    <row r="120" spans="1:47" ht="16.5" customHeight="1" x14ac:dyDescent="0.15">
      <c r="A120" s="58">
        <f>中間シート!AI522</f>
        <v>9999</v>
      </c>
      <c r="B120" s="58" t="str">
        <f>中間シート!AK522</f>
        <v>事業場99</v>
      </c>
      <c r="C120" s="58" t="e">
        <f>中間シート!AJ522</f>
        <v>#N/A</v>
      </c>
      <c r="D120" s="58" t="str">
        <f>VLOOKUP($A120,中間シート!$D$514:$K$663,4)</f>
        <v/>
      </c>
      <c r="E120" s="58" t="str">
        <f>VLOOKUP($A120,中間シート!$D$514:$K$663,5)</f>
        <v/>
      </c>
      <c r="F120" s="58" t="str">
        <f>VLOOKUP($A120,中間シート!$D$514:$K$663,6)</f>
        <v/>
      </c>
      <c r="G120" s="58" t="str">
        <f>VLOOKUP($A120,中間シート!$D$514:$K$663,7)</f>
        <v/>
      </c>
      <c r="H120" s="58" t="str">
        <f>VLOOKUP($A120,中間シート!$D$514:$K$663,8)</f>
        <v/>
      </c>
      <c r="J120" s="412" t="str">
        <f t="shared" si="4"/>
        <v/>
      </c>
      <c r="K120" s="412"/>
      <c r="L120" s="412"/>
      <c r="M120" s="412"/>
      <c r="N120" s="422" t="str">
        <f>IF($A120&lt;&gt;9999,IF($C120=2,VLOOKUP($A120,中間シート!$D$514:$T$663,14,FALSE),VLOOKUP($A120,中間シート!$D$514:$T$663,9,FALSE)),"")</f>
        <v/>
      </c>
      <c r="O120" s="423"/>
      <c r="P120" s="423"/>
      <c r="Q120" s="423"/>
      <c r="R120" s="423"/>
      <c r="S120" s="423"/>
      <c r="T120" s="424"/>
      <c r="U120" s="422" t="str">
        <f t="shared" si="0"/>
        <v/>
      </c>
      <c r="V120" s="424"/>
      <c r="W120" s="422" t="str">
        <f>IF($A120&lt;&gt;9999,IF($C120=2,VLOOKUP($A120,中間シート!$D$514:$T$663,15,FALSE),VLOOKUP($A120,中間シート!$D$514:$T$663,10,FALSE)),"")</f>
        <v/>
      </c>
      <c r="X120" s="423"/>
      <c r="Y120" s="423"/>
      <c r="Z120" s="423"/>
      <c r="AA120" s="423"/>
      <c r="AB120" s="423"/>
      <c r="AC120" s="424"/>
      <c r="AD120" s="422" t="str">
        <f t="shared" si="1"/>
        <v/>
      </c>
      <c r="AE120" s="424"/>
      <c r="AF120" s="422" t="str">
        <f>IF($A120&lt;&gt;9999,IF($C120=2,VLOOKUP($A120,中間シート!$D$514:$T$663,16,FALSE),VLOOKUP($A120,中間シート!$D$514:$T$663,11,FALSE)),"")</f>
        <v/>
      </c>
      <c r="AG120" s="423"/>
      <c r="AH120" s="423"/>
      <c r="AI120" s="423"/>
      <c r="AJ120" s="423"/>
      <c r="AK120" s="424"/>
      <c r="AL120" s="422" t="str">
        <f t="shared" si="2"/>
        <v/>
      </c>
      <c r="AM120" s="424"/>
      <c r="AN120" s="422" t="str">
        <f>IF($A120&lt;&gt;9999,IF($C120=2,VLOOKUP($A120,中間シート!$D$514:$T$663,17,FALSE),VLOOKUP($A120,中間シート!$D$514:$T$663,12,FALSE)),"")</f>
        <v/>
      </c>
      <c r="AO120" s="423"/>
      <c r="AP120" s="423"/>
      <c r="AQ120" s="423"/>
      <c r="AR120" s="423"/>
      <c r="AS120" s="424"/>
      <c r="AT120" s="422" t="str">
        <f t="shared" si="5"/>
        <v/>
      </c>
      <c r="AU120" s="424"/>
    </row>
    <row r="121" spans="1:47" ht="16.5" customHeight="1" x14ac:dyDescent="0.15">
      <c r="A121" s="58">
        <f>中間シート!AI523</f>
        <v>9999</v>
      </c>
      <c r="B121" s="58" t="str">
        <f>中間シート!AK523</f>
        <v>事業場99</v>
      </c>
      <c r="C121" s="58" t="e">
        <f>中間シート!AJ523</f>
        <v>#N/A</v>
      </c>
      <c r="D121" s="58" t="str">
        <f>VLOOKUP($A121,中間シート!$D$514:$K$663,4)</f>
        <v/>
      </c>
      <c r="E121" s="58" t="str">
        <f>VLOOKUP($A121,中間シート!$D$514:$K$663,5)</f>
        <v/>
      </c>
      <c r="F121" s="58" t="str">
        <f>VLOOKUP($A121,中間シート!$D$514:$K$663,6)</f>
        <v/>
      </c>
      <c r="G121" s="58" t="str">
        <f>VLOOKUP($A121,中間シート!$D$514:$K$663,7)</f>
        <v/>
      </c>
      <c r="H121" s="58" t="str">
        <f>VLOOKUP($A121,中間シート!$D$514:$K$663,8)</f>
        <v/>
      </c>
      <c r="J121" s="412" t="str">
        <f t="shared" si="4"/>
        <v/>
      </c>
      <c r="K121" s="412"/>
      <c r="L121" s="412"/>
      <c r="M121" s="412"/>
      <c r="N121" s="422" t="str">
        <f>IF($A121&lt;&gt;9999,IF($C121=2,VLOOKUP($A121,中間シート!$D$514:$T$663,14,FALSE),VLOOKUP($A121,中間シート!$D$514:$T$663,9,FALSE)),"")</f>
        <v/>
      </c>
      <c r="O121" s="423"/>
      <c r="P121" s="423"/>
      <c r="Q121" s="423"/>
      <c r="R121" s="423"/>
      <c r="S121" s="423"/>
      <c r="T121" s="424"/>
      <c r="U121" s="422" t="str">
        <f t="shared" si="0"/>
        <v/>
      </c>
      <c r="V121" s="424"/>
      <c r="W121" s="422" t="str">
        <f>IF($A121&lt;&gt;9999,IF($C121=2,VLOOKUP($A121,中間シート!$D$514:$T$663,15,FALSE),VLOOKUP($A121,中間シート!$D$514:$T$663,10,FALSE)),"")</f>
        <v/>
      </c>
      <c r="X121" s="423"/>
      <c r="Y121" s="423"/>
      <c r="Z121" s="423"/>
      <c r="AA121" s="423"/>
      <c r="AB121" s="423"/>
      <c r="AC121" s="424"/>
      <c r="AD121" s="422" t="str">
        <f t="shared" si="1"/>
        <v/>
      </c>
      <c r="AE121" s="424"/>
      <c r="AF121" s="422" t="str">
        <f>IF($A121&lt;&gt;9999,IF($C121=2,VLOOKUP($A121,中間シート!$D$514:$T$663,16,FALSE),VLOOKUP($A121,中間シート!$D$514:$T$663,11,FALSE)),"")</f>
        <v/>
      </c>
      <c r="AG121" s="423"/>
      <c r="AH121" s="423"/>
      <c r="AI121" s="423"/>
      <c r="AJ121" s="423"/>
      <c r="AK121" s="424"/>
      <c r="AL121" s="422" t="str">
        <f t="shared" si="2"/>
        <v/>
      </c>
      <c r="AM121" s="424"/>
      <c r="AN121" s="422" t="str">
        <f>IF($A121&lt;&gt;9999,IF($C121=2,VLOOKUP($A121,中間シート!$D$514:$T$663,17,FALSE),VLOOKUP($A121,中間シート!$D$514:$T$663,12,FALSE)),"")</f>
        <v/>
      </c>
      <c r="AO121" s="423"/>
      <c r="AP121" s="423"/>
      <c r="AQ121" s="423"/>
      <c r="AR121" s="423"/>
      <c r="AS121" s="424"/>
      <c r="AT121" s="422" t="str">
        <f t="shared" si="5"/>
        <v/>
      </c>
      <c r="AU121" s="424"/>
    </row>
    <row r="122" spans="1:47" ht="16.5" customHeight="1" x14ac:dyDescent="0.15">
      <c r="A122" s="58">
        <f>中間シート!AI524</f>
        <v>9999</v>
      </c>
      <c r="B122" s="58" t="str">
        <f>中間シート!AK524</f>
        <v>事業場99</v>
      </c>
      <c r="C122" s="58" t="e">
        <f>中間シート!AJ524</f>
        <v>#N/A</v>
      </c>
      <c r="D122" s="58" t="str">
        <f>VLOOKUP($A122,中間シート!$D$514:$K$663,4)</f>
        <v/>
      </c>
      <c r="E122" s="58" t="str">
        <f>VLOOKUP($A122,中間シート!$D$514:$K$663,5)</f>
        <v/>
      </c>
      <c r="F122" s="58" t="str">
        <f>VLOOKUP($A122,中間シート!$D$514:$K$663,6)</f>
        <v/>
      </c>
      <c r="G122" s="58" t="str">
        <f>VLOOKUP($A122,中間シート!$D$514:$K$663,7)</f>
        <v/>
      </c>
      <c r="H122" s="58" t="str">
        <f>VLOOKUP($A122,中間シート!$D$514:$K$663,8)</f>
        <v/>
      </c>
      <c r="J122" s="412" t="str">
        <f t="shared" si="4"/>
        <v/>
      </c>
      <c r="K122" s="412"/>
      <c r="L122" s="412"/>
      <c r="M122" s="412"/>
      <c r="N122" s="422" t="str">
        <f>IF($A122&lt;&gt;9999,IF($C122=2,VLOOKUP($A122,中間シート!$D$514:$T$663,14,FALSE),VLOOKUP($A122,中間シート!$D$514:$T$663,9,FALSE)),"")</f>
        <v/>
      </c>
      <c r="O122" s="423"/>
      <c r="P122" s="423"/>
      <c r="Q122" s="423"/>
      <c r="R122" s="423"/>
      <c r="S122" s="423"/>
      <c r="T122" s="424"/>
      <c r="U122" s="422" t="str">
        <f t="shared" si="0"/>
        <v/>
      </c>
      <c r="V122" s="424"/>
      <c r="W122" s="422" t="str">
        <f>IF($A122&lt;&gt;9999,IF($C122=2,VLOOKUP($A122,中間シート!$D$514:$T$663,15,FALSE),VLOOKUP($A122,中間シート!$D$514:$T$663,10,FALSE)),"")</f>
        <v/>
      </c>
      <c r="X122" s="423"/>
      <c r="Y122" s="423"/>
      <c r="Z122" s="423"/>
      <c r="AA122" s="423"/>
      <c r="AB122" s="423"/>
      <c r="AC122" s="424"/>
      <c r="AD122" s="422" t="str">
        <f t="shared" si="1"/>
        <v/>
      </c>
      <c r="AE122" s="424"/>
      <c r="AF122" s="422" t="str">
        <f>IF($A122&lt;&gt;9999,IF($C122=2,VLOOKUP($A122,中間シート!$D$514:$T$663,16,FALSE),VLOOKUP($A122,中間シート!$D$514:$T$663,11,FALSE)),"")</f>
        <v/>
      </c>
      <c r="AG122" s="423"/>
      <c r="AH122" s="423"/>
      <c r="AI122" s="423"/>
      <c r="AJ122" s="423"/>
      <c r="AK122" s="424"/>
      <c r="AL122" s="422" t="str">
        <f t="shared" si="2"/>
        <v/>
      </c>
      <c r="AM122" s="424"/>
      <c r="AN122" s="422" t="str">
        <f>IF($A122&lt;&gt;9999,IF($C122=2,VLOOKUP($A122,中間シート!$D$514:$T$663,17,FALSE),VLOOKUP($A122,中間シート!$D$514:$T$663,12,FALSE)),"")</f>
        <v/>
      </c>
      <c r="AO122" s="423"/>
      <c r="AP122" s="423"/>
      <c r="AQ122" s="423"/>
      <c r="AR122" s="423"/>
      <c r="AS122" s="424"/>
      <c r="AT122" s="422" t="str">
        <f t="shared" si="5"/>
        <v/>
      </c>
      <c r="AU122" s="424"/>
    </row>
    <row r="123" spans="1:47" ht="16.5" customHeight="1" x14ac:dyDescent="0.15">
      <c r="A123" s="58">
        <f>中間シート!AI525</f>
        <v>9999</v>
      </c>
      <c r="B123" s="58" t="str">
        <f>中間シート!AK525</f>
        <v>事業場99</v>
      </c>
      <c r="C123" s="58" t="e">
        <f>中間シート!AJ525</f>
        <v>#N/A</v>
      </c>
      <c r="D123" s="58" t="str">
        <f>VLOOKUP($A123,中間シート!$D$514:$K$663,4)</f>
        <v/>
      </c>
      <c r="E123" s="58" t="str">
        <f>VLOOKUP($A123,中間シート!$D$514:$K$663,5)</f>
        <v/>
      </c>
      <c r="F123" s="58" t="str">
        <f>VLOOKUP($A123,中間シート!$D$514:$K$663,6)</f>
        <v/>
      </c>
      <c r="G123" s="58" t="str">
        <f>VLOOKUP($A123,中間シート!$D$514:$K$663,7)</f>
        <v/>
      </c>
      <c r="H123" s="58" t="str">
        <f>VLOOKUP($A123,中間シート!$D$514:$K$663,8)</f>
        <v/>
      </c>
      <c r="J123" s="412" t="str">
        <f t="shared" si="4"/>
        <v/>
      </c>
      <c r="K123" s="412"/>
      <c r="L123" s="412"/>
      <c r="M123" s="412"/>
      <c r="N123" s="422" t="str">
        <f>IF($A123&lt;&gt;9999,IF($C123=2,VLOOKUP($A123,中間シート!$D$514:$T$663,14,FALSE),VLOOKUP($A123,中間シート!$D$514:$T$663,9,FALSE)),"")</f>
        <v/>
      </c>
      <c r="O123" s="423"/>
      <c r="P123" s="423"/>
      <c r="Q123" s="423"/>
      <c r="R123" s="423"/>
      <c r="S123" s="423"/>
      <c r="T123" s="424"/>
      <c r="U123" s="422" t="str">
        <f t="shared" si="0"/>
        <v/>
      </c>
      <c r="V123" s="424"/>
      <c r="W123" s="422" t="str">
        <f>IF($A123&lt;&gt;9999,IF($C123=2,VLOOKUP($A123,中間シート!$D$514:$T$663,15,FALSE),VLOOKUP($A123,中間シート!$D$514:$T$663,10,FALSE)),"")</f>
        <v/>
      </c>
      <c r="X123" s="423"/>
      <c r="Y123" s="423"/>
      <c r="Z123" s="423"/>
      <c r="AA123" s="423"/>
      <c r="AB123" s="423"/>
      <c r="AC123" s="424"/>
      <c r="AD123" s="422" t="str">
        <f t="shared" si="1"/>
        <v/>
      </c>
      <c r="AE123" s="424"/>
      <c r="AF123" s="422" t="str">
        <f>IF($A123&lt;&gt;9999,IF($C123=2,VLOOKUP($A123,中間シート!$D$514:$T$663,16,FALSE),VLOOKUP($A123,中間シート!$D$514:$T$663,11,FALSE)),"")</f>
        <v/>
      </c>
      <c r="AG123" s="423"/>
      <c r="AH123" s="423"/>
      <c r="AI123" s="423"/>
      <c r="AJ123" s="423"/>
      <c r="AK123" s="424"/>
      <c r="AL123" s="422" t="str">
        <f t="shared" si="2"/>
        <v/>
      </c>
      <c r="AM123" s="424"/>
      <c r="AN123" s="422" t="str">
        <f>IF($A123&lt;&gt;9999,IF($C123=2,VLOOKUP($A123,中間シート!$D$514:$T$663,17,FALSE),VLOOKUP($A123,中間シート!$D$514:$T$663,12,FALSE)),"")</f>
        <v/>
      </c>
      <c r="AO123" s="423"/>
      <c r="AP123" s="423"/>
      <c r="AQ123" s="423"/>
      <c r="AR123" s="423"/>
      <c r="AS123" s="424"/>
      <c r="AT123" s="422" t="str">
        <f t="shared" si="5"/>
        <v/>
      </c>
      <c r="AU123" s="424"/>
    </row>
    <row r="124" spans="1:47" ht="16.5" customHeight="1" x14ac:dyDescent="0.15">
      <c r="A124" s="58">
        <f>中間シート!AI526</f>
        <v>9999</v>
      </c>
      <c r="B124" s="58" t="str">
        <f>中間シート!AK526</f>
        <v>事業場99</v>
      </c>
      <c r="C124" s="58" t="e">
        <f>中間シート!AJ526</f>
        <v>#N/A</v>
      </c>
      <c r="D124" s="58" t="str">
        <f>VLOOKUP($A124,中間シート!$D$514:$K$663,4)</f>
        <v/>
      </c>
      <c r="E124" s="58" t="str">
        <f>VLOOKUP($A124,中間シート!$D$514:$K$663,5)</f>
        <v/>
      </c>
      <c r="F124" s="58" t="str">
        <f>VLOOKUP($A124,中間シート!$D$514:$K$663,6)</f>
        <v/>
      </c>
      <c r="G124" s="58" t="str">
        <f>VLOOKUP($A124,中間シート!$D$514:$K$663,7)</f>
        <v/>
      </c>
      <c r="H124" s="58" t="str">
        <f>VLOOKUP($A124,中間シート!$D$514:$K$663,8)</f>
        <v/>
      </c>
      <c r="J124" s="412" t="str">
        <f t="shared" si="4"/>
        <v/>
      </c>
      <c r="K124" s="412"/>
      <c r="L124" s="412"/>
      <c r="M124" s="412"/>
      <c r="N124" s="422" t="str">
        <f>IF($A124&lt;&gt;9999,IF($C124=2,VLOOKUP($A124,中間シート!$D$514:$T$663,14,FALSE),VLOOKUP($A124,中間シート!$D$514:$T$663,9,FALSE)),"")</f>
        <v/>
      </c>
      <c r="O124" s="423"/>
      <c r="P124" s="423"/>
      <c r="Q124" s="423"/>
      <c r="R124" s="423"/>
      <c r="S124" s="423"/>
      <c r="T124" s="424"/>
      <c r="U124" s="422" t="str">
        <f t="shared" si="0"/>
        <v/>
      </c>
      <c r="V124" s="424"/>
      <c r="W124" s="422" t="str">
        <f>IF($A124&lt;&gt;9999,IF($C124=2,VLOOKUP($A124,中間シート!$D$514:$T$663,15,FALSE),VLOOKUP($A124,中間シート!$D$514:$T$663,10,FALSE)),"")</f>
        <v/>
      </c>
      <c r="X124" s="423"/>
      <c r="Y124" s="423"/>
      <c r="Z124" s="423"/>
      <c r="AA124" s="423"/>
      <c r="AB124" s="423"/>
      <c r="AC124" s="424"/>
      <c r="AD124" s="422" t="str">
        <f t="shared" si="1"/>
        <v/>
      </c>
      <c r="AE124" s="424"/>
      <c r="AF124" s="422" t="str">
        <f>IF($A124&lt;&gt;9999,IF($C124=2,VLOOKUP($A124,中間シート!$D$514:$T$663,16,FALSE),VLOOKUP($A124,中間シート!$D$514:$T$663,11,FALSE)),"")</f>
        <v/>
      </c>
      <c r="AG124" s="423"/>
      <c r="AH124" s="423"/>
      <c r="AI124" s="423"/>
      <c r="AJ124" s="423"/>
      <c r="AK124" s="424"/>
      <c r="AL124" s="422" t="str">
        <f t="shared" si="2"/>
        <v/>
      </c>
      <c r="AM124" s="424"/>
      <c r="AN124" s="422" t="str">
        <f>IF($A124&lt;&gt;9999,IF($C124=2,VLOOKUP($A124,中間シート!$D$514:$T$663,17,FALSE),VLOOKUP($A124,中間シート!$D$514:$T$663,12,FALSE)),"")</f>
        <v/>
      </c>
      <c r="AO124" s="423"/>
      <c r="AP124" s="423"/>
      <c r="AQ124" s="423"/>
      <c r="AR124" s="423"/>
      <c r="AS124" s="424"/>
      <c r="AT124" s="422" t="str">
        <f t="shared" si="5"/>
        <v/>
      </c>
      <c r="AU124" s="424"/>
    </row>
    <row r="125" spans="1:47" ht="16.5" customHeight="1" x14ac:dyDescent="0.15">
      <c r="A125" s="58">
        <f>中間シート!AI527</f>
        <v>9999</v>
      </c>
      <c r="B125" s="58" t="str">
        <f>中間シート!AK527</f>
        <v>事業場99</v>
      </c>
      <c r="C125" s="58" t="e">
        <f>中間シート!AJ527</f>
        <v>#N/A</v>
      </c>
      <c r="D125" s="58" t="str">
        <f>VLOOKUP($A125,中間シート!$D$514:$K$663,4)</f>
        <v/>
      </c>
      <c r="E125" s="58" t="str">
        <f>VLOOKUP($A125,中間シート!$D$514:$K$663,5)</f>
        <v/>
      </c>
      <c r="F125" s="58" t="str">
        <f>VLOOKUP($A125,中間シート!$D$514:$K$663,6)</f>
        <v/>
      </c>
      <c r="G125" s="58" t="str">
        <f>VLOOKUP($A125,中間シート!$D$514:$K$663,7)</f>
        <v/>
      </c>
      <c r="H125" s="58" t="str">
        <f>VLOOKUP($A125,中間シート!$D$514:$K$663,8)</f>
        <v/>
      </c>
      <c r="J125" s="412" t="str">
        <f t="shared" si="4"/>
        <v/>
      </c>
      <c r="K125" s="412"/>
      <c r="L125" s="412"/>
      <c r="M125" s="412"/>
      <c r="N125" s="422" t="str">
        <f>IF($A125&lt;&gt;9999,IF($C125=2,VLOOKUP($A125,中間シート!$D$514:$T$663,14,FALSE),VLOOKUP($A125,中間シート!$D$514:$T$663,9,FALSE)),"")</f>
        <v/>
      </c>
      <c r="O125" s="423"/>
      <c r="P125" s="423"/>
      <c r="Q125" s="423"/>
      <c r="R125" s="423"/>
      <c r="S125" s="423"/>
      <c r="T125" s="424"/>
      <c r="U125" s="422" t="str">
        <f t="shared" si="0"/>
        <v/>
      </c>
      <c r="V125" s="424"/>
      <c r="W125" s="422" t="str">
        <f>IF($A125&lt;&gt;9999,IF($C125=2,VLOOKUP($A125,中間シート!$D$514:$T$663,15,FALSE),VLOOKUP($A125,中間シート!$D$514:$T$663,10,FALSE)),"")</f>
        <v/>
      </c>
      <c r="X125" s="423"/>
      <c r="Y125" s="423"/>
      <c r="Z125" s="423"/>
      <c r="AA125" s="423"/>
      <c r="AB125" s="423"/>
      <c r="AC125" s="424"/>
      <c r="AD125" s="422" t="str">
        <f t="shared" si="1"/>
        <v/>
      </c>
      <c r="AE125" s="424"/>
      <c r="AF125" s="422" t="str">
        <f>IF($A125&lt;&gt;9999,IF($C125=2,VLOOKUP($A125,中間シート!$D$514:$T$663,16,FALSE),VLOOKUP($A125,中間シート!$D$514:$T$663,11,FALSE)),"")</f>
        <v/>
      </c>
      <c r="AG125" s="423"/>
      <c r="AH125" s="423"/>
      <c r="AI125" s="423"/>
      <c r="AJ125" s="423"/>
      <c r="AK125" s="424"/>
      <c r="AL125" s="422" t="str">
        <f t="shared" si="2"/>
        <v/>
      </c>
      <c r="AM125" s="424"/>
      <c r="AN125" s="422" t="str">
        <f>IF($A125&lt;&gt;9999,IF($C125=2,VLOOKUP($A125,中間シート!$D$514:$T$663,17,FALSE),VLOOKUP($A125,中間シート!$D$514:$T$663,12,FALSE)),"")</f>
        <v/>
      </c>
      <c r="AO125" s="423"/>
      <c r="AP125" s="423"/>
      <c r="AQ125" s="423"/>
      <c r="AR125" s="423"/>
      <c r="AS125" s="424"/>
      <c r="AT125" s="422" t="str">
        <f t="shared" si="5"/>
        <v/>
      </c>
      <c r="AU125" s="424"/>
    </row>
    <row r="126" spans="1:47" ht="16.5" customHeight="1" x14ac:dyDescent="0.15">
      <c r="A126" s="58">
        <f>中間シート!AI528</f>
        <v>9999</v>
      </c>
      <c r="B126" s="58" t="str">
        <f>中間シート!AK528</f>
        <v>事業場99</v>
      </c>
      <c r="C126" s="58" t="e">
        <f>中間シート!AJ528</f>
        <v>#N/A</v>
      </c>
      <c r="D126" s="58" t="str">
        <f>VLOOKUP($A126,中間シート!$D$514:$K$663,4)</f>
        <v/>
      </c>
      <c r="E126" s="58" t="str">
        <f>VLOOKUP($A126,中間シート!$D$514:$K$663,5)</f>
        <v/>
      </c>
      <c r="F126" s="58" t="str">
        <f>VLOOKUP($A126,中間シート!$D$514:$K$663,6)</f>
        <v/>
      </c>
      <c r="G126" s="58" t="str">
        <f>VLOOKUP($A126,中間シート!$D$514:$K$663,7)</f>
        <v/>
      </c>
      <c r="H126" s="58" t="str">
        <f>VLOOKUP($A126,中間シート!$D$514:$K$663,8)</f>
        <v/>
      </c>
      <c r="J126" s="412" t="str">
        <f t="shared" si="4"/>
        <v/>
      </c>
      <c r="K126" s="412"/>
      <c r="L126" s="412"/>
      <c r="M126" s="412"/>
      <c r="N126" s="422" t="str">
        <f>IF($A126&lt;&gt;9999,IF($C126=2,VLOOKUP($A126,中間シート!$D$514:$T$663,14,FALSE),VLOOKUP($A126,中間シート!$D$514:$T$663,9,FALSE)),"")</f>
        <v/>
      </c>
      <c r="O126" s="423"/>
      <c r="P126" s="423"/>
      <c r="Q126" s="423"/>
      <c r="R126" s="423"/>
      <c r="S126" s="423"/>
      <c r="T126" s="424"/>
      <c r="U126" s="422" t="str">
        <f t="shared" si="0"/>
        <v/>
      </c>
      <c r="V126" s="424"/>
      <c r="W126" s="422" t="str">
        <f>IF($A126&lt;&gt;9999,IF($C126=2,VLOOKUP($A126,中間シート!$D$514:$T$663,15,FALSE),VLOOKUP($A126,中間シート!$D$514:$T$663,10,FALSE)),"")</f>
        <v/>
      </c>
      <c r="X126" s="423"/>
      <c r="Y126" s="423"/>
      <c r="Z126" s="423"/>
      <c r="AA126" s="423"/>
      <c r="AB126" s="423"/>
      <c r="AC126" s="424"/>
      <c r="AD126" s="422" t="str">
        <f t="shared" si="1"/>
        <v/>
      </c>
      <c r="AE126" s="424"/>
      <c r="AF126" s="422" t="str">
        <f>IF($A126&lt;&gt;9999,IF($C126=2,VLOOKUP($A126,中間シート!$D$514:$T$663,16,FALSE),VLOOKUP($A126,中間シート!$D$514:$T$663,11,FALSE)),"")</f>
        <v/>
      </c>
      <c r="AG126" s="423"/>
      <c r="AH126" s="423"/>
      <c r="AI126" s="423"/>
      <c r="AJ126" s="423"/>
      <c r="AK126" s="424"/>
      <c r="AL126" s="422" t="str">
        <f t="shared" si="2"/>
        <v/>
      </c>
      <c r="AM126" s="424"/>
      <c r="AN126" s="422" t="str">
        <f>IF($A126&lt;&gt;9999,IF($C126=2,VLOOKUP($A126,中間シート!$D$514:$T$663,17,FALSE),VLOOKUP($A126,中間シート!$D$514:$T$663,12,FALSE)),"")</f>
        <v/>
      </c>
      <c r="AO126" s="423"/>
      <c r="AP126" s="423"/>
      <c r="AQ126" s="423"/>
      <c r="AR126" s="423"/>
      <c r="AS126" s="424"/>
      <c r="AT126" s="422" t="str">
        <f t="shared" si="5"/>
        <v/>
      </c>
      <c r="AU126" s="424"/>
    </row>
    <row r="127" spans="1:47" ht="16.5" customHeight="1" x14ac:dyDescent="0.15">
      <c r="A127" s="58">
        <f>中間シート!AI529</f>
        <v>9999</v>
      </c>
      <c r="B127" s="58" t="str">
        <f>中間シート!AK529</f>
        <v>事業場99</v>
      </c>
      <c r="C127" s="58" t="e">
        <f>中間シート!AJ529</f>
        <v>#N/A</v>
      </c>
      <c r="D127" s="58" t="str">
        <f>VLOOKUP($A127,中間シート!$D$514:$K$663,4)</f>
        <v/>
      </c>
      <c r="E127" s="58" t="str">
        <f>VLOOKUP($A127,中間シート!$D$514:$K$663,5)</f>
        <v/>
      </c>
      <c r="F127" s="58" t="str">
        <f>VLOOKUP($A127,中間シート!$D$514:$K$663,6)</f>
        <v/>
      </c>
      <c r="G127" s="58" t="str">
        <f>VLOOKUP($A127,中間シート!$D$514:$K$663,7)</f>
        <v/>
      </c>
      <c r="H127" s="58" t="str">
        <f>VLOOKUP($A127,中間シート!$D$514:$K$663,8)</f>
        <v/>
      </c>
      <c r="J127" s="412" t="str">
        <f t="shared" si="4"/>
        <v/>
      </c>
      <c r="K127" s="412"/>
      <c r="L127" s="412"/>
      <c r="M127" s="412"/>
      <c r="N127" s="422" t="str">
        <f>IF($A127&lt;&gt;9999,IF($C127=2,VLOOKUP($A127,中間シート!$D$514:$T$663,14,FALSE),VLOOKUP($A127,中間シート!$D$514:$T$663,9,FALSE)),"")</f>
        <v/>
      </c>
      <c r="O127" s="423"/>
      <c r="P127" s="423"/>
      <c r="Q127" s="423"/>
      <c r="R127" s="423"/>
      <c r="S127" s="423"/>
      <c r="T127" s="424"/>
      <c r="U127" s="422" t="str">
        <f t="shared" si="0"/>
        <v/>
      </c>
      <c r="V127" s="424"/>
      <c r="W127" s="422" t="str">
        <f>IF($A127&lt;&gt;9999,IF($C127=2,VLOOKUP($A127,中間シート!$D$514:$T$663,15,FALSE),VLOOKUP($A127,中間シート!$D$514:$T$663,10,FALSE)),"")</f>
        <v/>
      </c>
      <c r="X127" s="423"/>
      <c r="Y127" s="423"/>
      <c r="Z127" s="423"/>
      <c r="AA127" s="423"/>
      <c r="AB127" s="423"/>
      <c r="AC127" s="424"/>
      <c r="AD127" s="422" t="str">
        <f t="shared" si="1"/>
        <v/>
      </c>
      <c r="AE127" s="424"/>
      <c r="AF127" s="422" t="str">
        <f>IF($A127&lt;&gt;9999,IF($C127=2,VLOOKUP($A127,中間シート!$D$514:$T$663,16,FALSE),VLOOKUP($A127,中間シート!$D$514:$T$663,11,FALSE)),"")</f>
        <v/>
      </c>
      <c r="AG127" s="423"/>
      <c r="AH127" s="423"/>
      <c r="AI127" s="423"/>
      <c r="AJ127" s="423"/>
      <c r="AK127" s="424"/>
      <c r="AL127" s="422" t="str">
        <f t="shared" si="2"/>
        <v/>
      </c>
      <c r="AM127" s="424"/>
      <c r="AN127" s="422" t="str">
        <f>IF($A127&lt;&gt;9999,IF($C127=2,VLOOKUP($A127,中間シート!$D$514:$T$663,17,FALSE),VLOOKUP($A127,中間シート!$D$514:$T$663,12,FALSE)),"")</f>
        <v/>
      </c>
      <c r="AO127" s="423"/>
      <c r="AP127" s="423"/>
      <c r="AQ127" s="423"/>
      <c r="AR127" s="423"/>
      <c r="AS127" s="424"/>
      <c r="AT127" s="422" t="str">
        <f t="shared" si="5"/>
        <v/>
      </c>
      <c r="AU127" s="424"/>
    </row>
    <row r="128" spans="1:47" ht="16.5" customHeight="1" x14ac:dyDescent="0.15">
      <c r="A128" s="58">
        <f>中間シート!AI530</f>
        <v>9999</v>
      </c>
      <c r="B128" s="58" t="str">
        <f>中間シート!AK530</f>
        <v>事業場99</v>
      </c>
      <c r="C128" s="58" t="e">
        <f>中間シート!AJ530</f>
        <v>#N/A</v>
      </c>
      <c r="D128" s="58" t="str">
        <f>VLOOKUP($A128,中間シート!$D$514:$K$663,4)</f>
        <v/>
      </c>
      <c r="E128" s="58" t="str">
        <f>VLOOKUP($A128,中間シート!$D$514:$K$663,5)</f>
        <v/>
      </c>
      <c r="F128" s="58" t="str">
        <f>VLOOKUP($A128,中間シート!$D$514:$K$663,6)</f>
        <v/>
      </c>
      <c r="G128" s="58" t="str">
        <f>VLOOKUP($A128,中間シート!$D$514:$K$663,7)</f>
        <v/>
      </c>
      <c r="H128" s="58" t="str">
        <f>VLOOKUP($A128,中間シート!$D$514:$K$663,8)</f>
        <v/>
      </c>
      <c r="J128" s="412" t="str">
        <f t="shared" si="4"/>
        <v/>
      </c>
      <c r="K128" s="412"/>
      <c r="L128" s="412"/>
      <c r="M128" s="412"/>
      <c r="N128" s="422" t="str">
        <f>IF($A128&lt;&gt;9999,IF($C128=2,VLOOKUP($A128,中間シート!$D$514:$T$663,14,FALSE),VLOOKUP($A128,中間シート!$D$514:$T$663,9,FALSE)),"")</f>
        <v/>
      </c>
      <c r="O128" s="423"/>
      <c r="P128" s="423"/>
      <c r="Q128" s="423"/>
      <c r="R128" s="423"/>
      <c r="S128" s="423"/>
      <c r="T128" s="424"/>
      <c r="U128" s="422" t="str">
        <f t="shared" si="0"/>
        <v/>
      </c>
      <c r="V128" s="424"/>
      <c r="W128" s="422" t="str">
        <f>IF($A128&lt;&gt;9999,IF($C128=2,VLOOKUP($A128,中間シート!$D$514:$T$663,15,FALSE),VLOOKUP($A128,中間シート!$D$514:$T$663,10,FALSE)),"")</f>
        <v/>
      </c>
      <c r="X128" s="423"/>
      <c r="Y128" s="423"/>
      <c r="Z128" s="423"/>
      <c r="AA128" s="423"/>
      <c r="AB128" s="423"/>
      <c r="AC128" s="424"/>
      <c r="AD128" s="422" t="str">
        <f t="shared" si="1"/>
        <v/>
      </c>
      <c r="AE128" s="424"/>
      <c r="AF128" s="422" t="str">
        <f>IF($A128&lt;&gt;9999,IF($C128=2,VLOOKUP($A128,中間シート!$D$514:$T$663,16,FALSE),VLOOKUP($A128,中間シート!$D$514:$T$663,11,FALSE)),"")</f>
        <v/>
      </c>
      <c r="AG128" s="423"/>
      <c r="AH128" s="423"/>
      <c r="AI128" s="423"/>
      <c r="AJ128" s="423"/>
      <c r="AK128" s="424"/>
      <c r="AL128" s="422" t="str">
        <f t="shared" si="2"/>
        <v/>
      </c>
      <c r="AM128" s="424"/>
      <c r="AN128" s="422" t="str">
        <f>IF($A128&lt;&gt;9999,IF($C128=2,VLOOKUP($A128,中間シート!$D$514:$T$663,17,FALSE),VLOOKUP($A128,中間シート!$D$514:$T$663,12,FALSE)),"")</f>
        <v/>
      </c>
      <c r="AO128" s="423"/>
      <c r="AP128" s="423"/>
      <c r="AQ128" s="423"/>
      <c r="AR128" s="423"/>
      <c r="AS128" s="424"/>
      <c r="AT128" s="422" t="str">
        <f t="shared" si="5"/>
        <v/>
      </c>
      <c r="AU128" s="424"/>
    </row>
    <row r="129" spans="1:47" ht="16.5" customHeight="1" x14ac:dyDescent="0.15">
      <c r="A129" s="58">
        <f>中間シート!AI531</f>
        <v>9999</v>
      </c>
      <c r="B129" s="58" t="str">
        <f>中間シート!AK531</f>
        <v>事業場99</v>
      </c>
      <c r="C129" s="58" t="e">
        <f>中間シート!AJ531</f>
        <v>#N/A</v>
      </c>
      <c r="D129" s="58" t="str">
        <f>VLOOKUP($A129,中間シート!$D$514:$K$663,4)</f>
        <v/>
      </c>
      <c r="E129" s="58" t="str">
        <f>VLOOKUP($A129,中間シート!$D$514:$K$663,5)</f>
        <v/>
      </c>
      <c r="F129" s="58" t="str">
        <f>VLOOKUP($A129,中間シート!$D$514:$K$663,6)</f>
        <v/>
      </c>
      <c r="G129" s="58" t="str">
        <f>VLOOKUP($A129,中間シート!$D$514:$K$663,7)</f>
        <v/>
      </c>
      <c r="H129" s="58" t="str">
        <f>VLOOKUP($A129,中間シート!$D$514:$K$663,8)</f>
        <v/>
      </c>
      <c r="J129" s="412" t="str">
        <f t="shared" si="4"/>
        <v/>
      </c>
      <c r="K129" s="412"/>
      <c r="L129" s="412"/>
      <c r="M129" s="412"/>
      <c r="N129" s="422" t="str">
        <f>IF($A129&lt;&gt;9999,IF($C129=2,VLOOKUP($A129,中間シート!$D$514:$T$663,14,FALSE),VLOOKUP($A129,中間シート!$D$514:$T$663,9,FALSE)),"")</f>
        <v/>
      </c>
      <c r="O129" s="423"/>
      <c r="P129" s="423"/>
      <c r="Q129" s="423"/>
      <c r="R129" s="423"/>
      <c r="S129" s="423"/>
      <c r="T129" s="424"/>
      <c r="U129" s="422" t="str">
        <f t="shared" si="0"/>
        <v/>
      </c>
      <c r="V129" s="424"/>
      <c r="W129" s="422" t="str">
        <f>IF($A129&lt;&gt;9999,IF($C129=2,VLOOKUP($A129,中間シート!$D$514:$T$663,15,FALSE),VLOOKUP($A129,中間シート!$D$514:$T$663,10,FALSE)),"")</f>
        <v/>
      </c>
      <c r="X129" s="423"/>
      <c r="Y129" s="423"/>
      <c r="Z129" s="423"/>
      <c r="AA129" s="423"/>
      <c r="AB129" s="423"/>
      <c r="AC129" s="424"/>
      <c r="AD129" s="422" t="str">
        <f t="shared" si="1"/>
        <v/>
      </c>
      <c r="AE129" s="424"/>
      <c r="AF129" s="422" t="str">
        <f>IF($A129&lt;&gt;9999,IF($C129=2,VLOOKUP($A129,中間シート!$D$514:$T$663,16,FALSE),VLOOKUP($A129,中間シート!$D$514:$T$663,11,FALSE)),"")</f>
        <v/>
      </c>
      <c r="AG129" s="423"/>
      <c r="AH129" s="423"/>
      <c r="AI129" s="423"/>
      <c r="AJ129" s="423"/>
      <c r="AK129" s="424"/>
      <c r="AL129" s="422" t="str">
        <f t="shared" si="2"/>
        <v/>
      </c>
      <c r="AM129" s="424"/>
      <c r="AN129" s="422" t="str">
        <f>IF($A129&lt;&gt;9999,IF($C129=2,VLOOKUP($A129,中間シート!$D$514:$T$663,17,FALSE),VLOOKUP($A129,中間シート!$D$514:$T$663,12,FALSE)),"")</f>
        <v/>
      </c>
      <c r="AO129" s="423"/>
      <c r="AP129" s="423"/>
      <c r="AQ129" s="423"/>
      <c r="AR129" s="423"/>
      <c r="AS129" s="424"/>
      <c r="AT129" s="422" t="str">
        <f t="shared" si="5"/>
        <v/>
      </c>
      <c r="AU129" s="424"/>
    </row>
    <row r="130" spans="1:47" ht="16.5" customHeight="1" x14ac:dyDescent="0.15">
      <c r="A130" s="58">
        <f>中間シート!AI532</f>
        <v>9999</v>
      </c>
      <c r="B130" s="58" t="str">
        <f>中間シート!AK532</f>
        <v>事業場99</v>
      </c>
      <c r="C130" s="58" t="e">
        <f>中間シート!AJ532</f>
        <v>#N/A</v>
      </c>
      <c r="D130" s="58" t="str">
        <f>VLOOKUP($A130,中間シート!$D$514:$K$663,4)</f>
        <v/>
      </c>
      <c r="E130" s="58" t="str">
        <f>VLOOKUP($A130,中間シート!$D$514:$K$663,5)</f>
        <v/>
      </c>
      <c r="F130" s="58" t="str">
        <f>VLOOKUP($A130,中間シート!$D$514:$K$663,6)</f>
        <v/>
      </c>
      <c r="G130" s="58" t="str">
        <f>VLOOKUP($A130,中間シート!$D$514:$K$663,7)</f>
        <v/>
      </c>
      <c r="H130" s="58" t="str">
        <f>VLOOKUP($A130,中間シート!$D$514:$K$663,8)</f>
        <v/>
      </c>
      <c r="J130" s="412" t="str">
        <f t="shared" si="4"/>
        <v/>
      </c>
      <c r="K130" s="412"/>
      <c r="L130" s="412"/>
      <c r="M130" s="412"/>
      <c r="N130" s="422" t="str">
        <f>IF($A130&lt;&gt;9999,IF($C130=2,VLOOKUP($A130,中間シート!$D$514:$T$663,14,FALSE),VLOOKUP($A130,中間シート!$D$514:$T$663,9,FALSE)),"")</f>
        <v/>
      </c>
      <c r="O130" s="423"/>
      <c r="P130" s="423"/>
      <c r="Q130" s="423"/>
      <c r="R130" s="423"/>
      <c r="S130" s="423"/>
      <c r="T130" s="424"/>
      <c r="U130" s="422" t="str">
        <f t="shared" si="0"/>
        <v/>
      </c>
      <c r="V130" s="424"/>
      <c r="W130" s="422" t="str">
        <f>IF($A130&lt;&gt;9999,IF($C130=2,VLOOKUP($A130,中間シート!$D$514:$T$663,15,FALSE),VLOOKUP($A130,中間シート!$D$514:$T$663,10,FALSE)),"")</f>
        <v/>
      </c>
      <c r="X130" s="423"/>
      <c r="Y130" s="423"/>
      <c r="Z130" s="423"/>
      <c r="AA130" s="423"/>
      <c r="AB130" s="423"/>
      <c r="AC130" s="424"/>
      <c r="AD130" s="422" t="str">
        <f t="shared" si="1"/>
        <v/>
      </c>
      <c r="AE130" s="424"/>
      <c r="AF130" s="422" t="str">
        <f>IF($A130&lt;&gt;9999,IF($C130=2,VLOOKUP($A130,中間シート!$D$514:$T$663,16,FALSE),VLOOKUP($A130,中間シート!$D$514:$T$663,11,FALSE)),"")</f>
        <v/>
      </c>
      <c r="AG130" s="423"/>
      <c r="AH130" s="423"/>
      <c r="AI130" s="423"/>
      <c r="AJ130" s="423"/>
      <c r="AK130" s="424"/>
      <c r="AL130" s="422" t="str">
        <f t="shared" si="2"/>
        <v/>
      </c>
      <c r="AM130" s="424"/>
      <c r="AN130" s="422" t="str">
        <f>IF($A130&lt;&gt;9999,IF($C130=2,VLOOKUP($A130,中間シート!$D$514:$T$663,17,FALSE),VLOOKUP($A130,中間シート!$D$514:$T$663,12,FALSE)),"")</f>
        <v/>
      </c>
      <c r="AO130" s="423"/>
      <c r="AP130" s="423"/>
      <c r="AQ130" s="423"/>
      <c r="AR130" s="423"/>
      <c r="AS130" s="424"/>
      <c r="AT130" s="422" t="str">
        <f t="shared" si="5"/>
        <v/>
      </c>
      <c r="AU130" s="424"/>
    </row>
    <row r="131" spans="1:47" ht="16.5" customHeight="1" x14ac:dyDescent="0.15">
      <c r="A131" s="58">
        <f>中間シート!AI533</f>
        <v>9999</v>
      </c>
      <c r="B131" s="58" t="str">
        <f>中間シート!AK533</f>
        <v>事業場99</v>
      </c>
      <c r="C131" s="58" t="e">
        <f>中間シート!AJ533</f>
        <v>#N/A</v>
      </c>
      <c r="D131" s="58" t="str">
        <f>VLOOKUP($A131,中間シート!$D$514:$K$663,4)</f>
        <v/>
      </c>
      <c r="E131" s="58" t="str">
        <f>VLOOKUP($A131,中間シート!$D$514:$K$663,5)</f>
        <v/>
      </c>
      <c r="F131" s="58" t="str">
        <f>VLOOKUP($A131,中間シート!$D$514:$K$663,6)</f>
        <v/>
      </c>
      <c r="G131" s="58" t="str">
        <f>VLOOKUP($A131,中間シート!$D$514:$K$663,7)</f>
        <v/>
      </c>
      <c r="H131" s="58" t="str">
        <f>VLOOKUP($A131,中間シート!$D$514:$K$663,8)</f>
        <v/>
      </c>
      <c r="J131" s="412" t="str">
        <f t="shared" si="4"/>
        <v/>
      </c>
      <c r="K131" s="412"/>
      <c r="L131" s="412"/>
      <c r="M131" s="412"/>
      <c r="N131" s="422" t="str">
        <f>IF($A131&lt;&gt;9999,IF($C131=2,VLOOKUP($A131,中間シート!$D$514:$T$663,14,FALSE),VLOOKUP($A131,中間シート!$D$514:$T$663,9,FALSE)),"")</f>
        <v/>
      </c>
      <c r="O131" s="423"/>
      <c r="P131" s="423"/>
      <c r="Q131" s="423"/>
      <c r="R131" s="423"/>
      <c r="S131" s="423"/>
      <c r="T131" s="424"/>
      <c r="U131" s="422" t="str">
        <f t="shared" si="0"/>
        <v/>
      </c>
      <c r="V131" s="424"/>
      <c r="W131" s="422" t="str">
        <f>IF($A131&lt;&gt;9999,IF($C131=2,VLOOKUP($A131,中間シート!$D$514:$T$663,15,FALSE),VLOOKUP($A131,中間シート!$D$514:$T$663,10,FALSE)),"")</f>
        <v/>
      </c>
      <c r="X131" s="423"/>
      <c r="Y131" s="423"/>
      <c r="Z131" s="423"/>
      <c r="AA131" s="423"/>
      <c r="AB131" s="423"/>
      <c r="AC131" s="424"/>
      <c r="AD131" s="422" t="str">
        <f t="shared" si="1"/>
        <v/>
      </c>
      <c r="AE131" s="424"/>
      <c r="AF131" s="422" t="str">
        <f>IF($A131&lt;&gt;9999,IF($C131=2,VLOOKUP($A131,中間シート!$D$514:$T$663,16,FALSE),VLOOKUP($A131,中間シート!$D$514:$T$663,11,FALSE)),"")</f>
        <v/>
      </c>
      <c r="AG131" s="423"/>
      <c r="AH131" s="423"/>
      <c r="AI131" s="423"/>
      <c r="AJ131" s="423"/>
      <c r="AK131" s="424"/>
      <c r="AL131" s="422" t="str">
        <f t="shared" si="2"/>
        <v/>
      </c>
      <c r="AM131" s="424"/>
      <c r="AN131" s="422" t="str">
        <f>IF($A131&lt;&gt;9999,IF($C131=2,VLOOKUP($A131,中間シート!$D$514:$T$663,17,FALSE),VLOOKUP($A131,中間シート!$D$514:$T$663,12,FALSE)),"")</f>
        <v/>
      </c>
      <c r="AO131" s="423"/>
      <c r="AP131" s="423"/>
      <c r="AQ131" s="423"/>
      <c r="AR131" s="423"/>
      <c r="AS131" s="424"/>
      <c r="AT131" s="422" t="str">
        <f t="shared" si="5"/>
        <v/>
      </c>
      <c r="AU131" s="424"/>
    </row>
    <row r="132" spans="1:47" ht="16.5" customHeight="1" x14ac:dyDescent="0.15">
      <c r="A132" s="58">
        <f>中間シート!AI534</f>
        <v>9999</v>
      </c>
      <c r="B132" s="58" t="str">
        <f>中間シート!AK534</f>
        <v>事業場99</v>
      </c>
      <c r="C132" s="58" t="e">
        <f>中間シート!AJ534</f>
        <v>#N/A</v>
      </c>
      <c r="D132" s="58" t="str">
        <f>VLOOKUP($A132,中間シート!$D$514:$K$663,4)</f>
        <v/>
      </c>
      <c r="E132" s="58" t="str">
        <f>VLOOKUP($A132,中間シート!$D$514:$K$663,5)</f>
        <v/>
      </c>
      <c r="F132" s="58" t="str">
        <f>VLOOKUP($A132,中間シート!$D$514:$K$663,6)</f>
        <v/>
      </c>
      <c r="G132" s="58" t="str">
        <f>VLOOKUP($A132,中間シート!$D$514:$K$663,7)</f>
        <v/>
      </c>
      <c r="H132" s="58" t="str">
        <f>VLOOKUP($A132,中間シート!$D$514:$K$663,8)</f>
        <v/>
      </c>
      <c r="J132" s="412" t="str">
        <f t="shared" si="4"/>
        <v/>
      </c>
      <c r="K132" s="412"/>
      <c r="L132" s="412"/>
      <c r="M132" s="412"/>
      <c r="N132" s="422" t="str">
        <f>IF($A132&lt;&gt;9999,IF($C132=2,VLOOKUP($A132,中間シート!$D$514:$T$663,14,FALSE),VLOOKUP($A132,中間シート!$D$514:$T$663,9,FALSE)),"")</f>
        <v/>
      </c>
      <c r="O132" s="423"/>
      <c r="P132" s="423"/>
      <c r="Q132" s="423"/>
      <c r="R132" s="423"/>
      <c r="S132" s="423"/>
      <c r="T132" s="424"/>
      <c r="U132" s="422" t="str">
        <f t="shared" si="0"/>
        <v/>
      </c>
      <c r="V132" s="424"/>
      <c r="W132" s="422" t="str">
        <f>IF($A132&lt;&gt;9999,IF($C132=2,VLOOKUP($A132,中間シート!$D$514:$T$663,15,FALSE),VLOOKUP($A132,中間シート!$D$514:$T$663,10,FALSE)),"")</f>
        <v/>
      </c>
      <c r="X132" s="423"/>
      <c r="Y132" s="423"/>
      <c r="Z132" s="423"/>
      <c r="AA132" s="423"/>
      <c r="AB132" s="423"/>
      <c r="AC132" s="424"/>
      <c r="AD132" s="422" t="str">
        <f t="shared" si="1"/>
        <v/>
      </c>
      <c r="AE132" s="424"/>
      <c r="AF132" s="422" t="str">
        <f>IF($A132&lt;&gt;9999,IF($C132=2,VLOOKUP($A132,中間シート!$D$514:$T$663,16,FALSE),VLOOKUP($A132,中間シート!$D$514:$T$663,11,FALSE)),"")</f>
        <v/>
      </c>
      <c r="AG132" s="423"/>
      <c r="AH132" s="423"/>
      <c r="AI132" s="423"/>
      <c r="AJ132" s="423"/>
      <c r="AK132" s="424"/>
      <c r="AL132" s="422" t="str">
        <f t="shared" si="2"/>
        <v/>
      </c>
      <c r="AM132" s="424"/>
      <c r="AN132" s="422" t="str">
        <f>IF($A132&lt;&gt;9999,IF($C132=2,VLOOKUP($A132,中間シート!$D$514:$T$663,17,FALSE),VLOOKUP($A132,中間シート!$D$514:$T$663,12,FALSE)),"")</f>
        <v/>
      </c>
      <c r="AO132" s="423"/>
      <c r="AP132" s="423"/>
      <c r="AQ132" s="423"/>
      <c r="AR132" s="423"/>
      <c r="AS132" s="424"/>
      <c r="AT132" s="422" t="str">
        <f t="shared" si="5"/>
        <v/>
      </c>
      <c r="AU132" s="424"/>
    </row>
    <row r="133" spans="1:47" ht="16.5" customHeight="1" x14ac:dyDescent="0.15">
      <c r="A133" s="58">
        <f>中間シート!AI535</f>
        <v>9999</v>
      </c>
      <c r="B133" s="58" t="str">
        <f>中間シート!AK535</f>
        <v>事業場99</v>
      </c>
      <c r="C133" s="58" t="e">
        <f>中間シート!AJ535</f>
        <v>#N/A</v>
      </c>
      <c r="D133" s="58" t="str">
        <f>VLOOKUP($A133,中間シート!$D$514:$K$663,4)</f>
        <v/>
      </c>
      <c r="E133" s="58" t="str">
        <f>VLOOKUP($A133,中間シート!$D$514:$K$663,5)</f>
        <v/>
      </c>
      <c r="F133" s="58" t="str">
        <f>VLOOKUP($A133,中間シート!$D$514:$K$663,6)</f>
        <v/>
      </c>
      <c r="G133" s="58" t="str">
        <f>VLOOKUP($A133,中間シート!$D$514:$K$663,7)</f>
        <v/>
      </c>
      <c r="H133" s="58" t="str">
        <f>VLOOKUP($A133,中間シート!$D$514:$K$663,8)</f>
        <v/>
      </c>
      <c r="J133" s="412" t="str">
        <f t="shared" si="4"/>
        <v/>
      </c>
      <c r="K133" s="412"/>
      <c r="L133" s="412"/>
      <c r="M133" s="412"/>
      <c r="N133" s="422" t="str">
        <f>IF($A133&lt;&gt;9999,IF($C133=2,VLOOKUP($A133,中間シート!$D$514:$T$663,14,FALSE),VLOOKUP($A133,中間シート!$D$514:$T$663,9,FALSE)),"")</f>
        <v/>
      </c>
      <c r="O133" s="423"/>
      <c r="P133" s="423"/>
      <c r="Q133" s="423"/>
      <c r="R133" s="423"/>
      <c r="S133" s="423"/>
      <c r="T133" s="424"/>
      <c r="U133" s="422" t="str">
        <f t="shared" si="0"/>
        <v/>
      </c>
      <c r="V133" s="424"/>
      <c r="W133" s="422" t="str">
        <f>IF($A133&lt;&gt;9999,IF($C133=2,VLOOKUP($A133,中間シート!$D$514:$T$663,15,FALSE),VLOOKUP($A133,中間シート!$D$514:$T$663,10,FALSE)),"")</f>
        <v/>
      </c>
      <c r="X133" s="423"/>
      <c r="Y133" s="423"/>
      <c r="Z133" s="423"/>
      <c r="AA133" s="423"/>
      <c r="AB133" s="423"/>
      <c r="AC133" s="424"/>
      <c r="AD133" s="422" t="str">
        <f t="shared" si="1"/>
        <v/>
      </c>
      <c r="AE133" s="424"/>
      <c r="AF133" s="422" t="str">
        <f>IF($A133&lt;&gt;9999,IF($C133=2,VLOOKUP($A133,中間シート!$D$514:$T$663,16,FALSE),VLOOKUP($A133,中間シート!$D$514:$T$663,11,FALSE)),"")</f>
        <v/>
      </c>
      <c r="AG133" s="423"/>
      <c r="AH133" s="423"/>
      <c r="AI133" s="423"/>
      <c r="AJ133" s="423"/>
      <c r="AK133" s="424"/>
      <c r="AL133" s="422" t="str">
        <f t="shared" si="2"/>
        <v/>
      </c>
      <c r="AM133" s="424"/>
      <c r="AN133" s="422" t="str">
        <f>IF($A133&lt;&gt;9999,IF($C133=2,VLOOKUP($A133,中間シート!$D$514:$T$663,17,FALSE),VLOOKUP($A133,中間シート!$D$514:$T$663,12,FALSE)),"")</f>
        <v/>
      </c>
      <c r="AO133" s="423"/>
      <c r="AP133" s="423"/>
      <c r="AQ133" s="423"/>
      <c r="AR133" s="423"/>
      <c r="AS133" s="424"/>
      <c r="AT133" s="422" t="str">
        <f t="shared" si="5"/>
        <v/>
      </c>
      <c r="AU133" s="424"/>
    </row>
    <row r="134" spans="1:47" ht="16.5" customHeight="1" x14ac:dyDescent="0.15">
      <c r="A134" s="58">
        <f>中間シート!AI536</f>
        <v>9999</v>
      </c>
      <c r="B134" s="58" t="str">
        <f>中間シート!AK536</f>
        <v>事業場99</v>
      </c>
      <c r="C134" s="58" t="e">
        <f>中間シート!AJ536</f>
        <v>#N/A</v>
      </c>
      <c r="D134" s="58" t="str">
        <f>VLOOKUP($A134,中間シート!$D$514:$K$663,4)</f>
        <v/>
      </c>
      <c r="E134" s="58" t="str">
        <f>VLOOKUP($A134,中間シート!$D$514:$K$663,5)</f>
        <v/>
      </c>
      <c r="F134" s="58" t="str">
        <f>VLOOKUP($A134,中間シート!$D$514:$K$663,6)</f>
        <v/>
      </c>
      <c r="G134" s="58" t="str">
        <f>VLOOKUP($A134,中間シート!$D$514:$K$663,7)</f>
        <v/>
      </c>
      <c r="H134" s="58" t="str">
        <f>VLOOKUP($A134,中間シート!$D$514:$K$663,8)</f>
        <v/>
      </c>
      <c r="J134" s="412" t="str">
        <f t="shared" si="4"/>
        <v/>
      </c>
      <c r="K134" s="412"/>
      <c r="L134" s="412"/>
      <c r="M134" s="412"/>
      <c r="N134" s="422" t="str">
        <f>IF($A134&lt;&gt;9999,IF($C134=2,VLOOKUP($A134,中間シート!$D$514:$T$663,14,FALSE),VLOOKUP($A134,中間シート!$D$514:$T$663,9,FALSE)),"")</f>
        <v/>
      </c>
      <c r="O134" s="423"/>
      <c r="P134" s="423"/>
      <c r="Q134" s="423"/>
      <c r="R134" s="423"/>
      <c r="S134" s="423"/>
      <c r="T134" s="424"/>
      <c r="U134" s="422" t="str">
        <f t="shared" si="0"/>
        <v/>
      </c>
      <c r="V134" s="424"/>
      <c r="W134" s="422" t="str">
        <f>IF($A134&lt;&gt;9999,IF($C134=2,VLOOKUP($A134,中間シート!$D$514:$T$663,15,FALSE),VLOOKUP($A134,中間シート!$D$514:$T$663,10,FALSE)),"")</f>
        <v/>
      </c>
      <c r="X134" s="423"/>
      <c r="Y134" s="423"/>
      <c r="Z134" s="423"/>
      <c r="AA134" s="423"/>
      <c r="AB134" s="423"/>
      <c r="AC134" s="424"/>
      <c r="AD134" s="422" t="str">
        <f t="shared" si="1"/>
        <v/>
      </c>
      <c r="AE134" s="424"/>
      <c r="AF134" s="422" t="str">
        <f>IF($A134&lt;&gt;9999,IF($C134=2,VLOOKUP($A134,中間シート!$D$514:$T$663,16,FALSE),VLOOKUP($A134,中間シート!$D$514:$T$663,11,FALSE)),"")</f>
        <v/>
      </c>
      <c r="AG134" s="423"/>
      <c r="AH134" s="423"/>
      <c r="AI134" s="423"/>
      <c r="AJ134" s="423"/>
      <c r="AK134" s="424"/>
      <c r="AL134" s="422" t="str">
        <f t="shared" si="2"/>
        <v/>
      </c>
      <c r="AM134" s="424"/>
      <c r="AN134" s="422" t="str">
        <f>IF($A134&lt;&gt;9999,IF($C134=2,VLOOKUP($A134,中間シート!$D$514:$T$663,17,FALSE),VLOOKUP($A134,中間シート!$D$514:$T$663,12,FALSE)),"")</f>
        <v/>
      </c>
      <c r="AO134" s="423"/>
      <c r="AP134" s="423"/>
      <c r="AQ134" s="423"/>
      <c r="AR134" s="423"/>
      <c r="AS134" s="424"/>
      <c r="AT134" s="422" t="str">
        <f t="shared" si="5"/>
        <v/>
      </c>
      <c r="AU134" s="424"/>
    </row>
    <row r="135" spans="1:47" ht="16.5" customHeight="1" x14ac:dyDescent="0.15">
      <c r="A135" s="58">
        <f>中間シート!AI537</f>
        <v>9999</v>
      </c>
      <c r="B135" s="58" t="str">
        <f>中間シート!AK537</f>
        <v>事業場99</v>
      </c>
      <c r="C135" s="58" t="e">
        <f>中間シート!AJ537</f>
        <v>#N/A</v>
      </c>
      <c r="D135" s="58" t="str">
        <f>VLOOKUP($A135,中間シート!$D$514:$K$663,4)</f>
        <v/>
      </c>
      <c r="E135" s="58" t="str">
        <f>VLOOKUP($A135,中間シート!$D$514:$K$663,5)</f>
        <v/>
      </c>
      <c r="F135" s="58" t="str">
        <f>VLOOKUP($A135,中間シート!$D$514:$K$663,6)</f>
        <v/>
      </c>
      <c r="G135" s="58" t="str">
        <f>VLOOKUP($A135,中間シート!$D$514:$K$663,7)</f>
        <v/>
      </c>
      <c r="H135" s="58" t="str">
        <f>VLOOKUP($A135,中間シート!$D$514:$K$663,8)</f>
        <v/>
      </c>
      <c r="J135" s="412" t="str">
        <f t="shared" si="4"/>
        <v/>
      </c>
      <c r="K135" s="412"/>
      <c r="L135" s="412"/>
      <c r="M135" s="412"/>
      <c r="N135" s="422" t="str">
        <f>IF($A135&lt;&gt;9999,IF($C135=2,VLOOKUP($A135,中間シート!$D$514:$T$663,14,FALSE),VLOOKUP($A135,中間シート!$D$514:$T$663,9,FALSE)),"")</f>
        <v/>
      </c>
      <c r="O135" s="423"/>
      <c r="P135" s="423"/>
      <c r="Q135" s="423"/>
      <c r="R135" s="423"/>
      <c r="S135" s="423"/>
      <c r="T135" s="424"/>
      <c r="U135" s="422" t="str">
        <f t="shared" si="0"/>
        <v/>
      </c>
      <c r="V135" s="424"/>
      <c r="W135" s="422" t="str">
        <f>IF($A135&lt;&gt;9999,IF($C135=2,VLOOKUP($A135,中間シート!$D$514:$T$663,15,FALSE),VLOOKUP($A135,中間シート!$D$514:$T$663,10,FALSE)),"")</f>
        <v/>
      </c>
      <c r="X135" s="423"/>
      <c r="Y135" s="423"/>
      <c r="Z135" s="423"/>
      <c r="AA135" s="423"/>
      <c r="AB135" s="423"/>
      <c r="AC135" s="424"/>
      <c r="AD135" s="422" t="str">
        <f t="shared" si="1"/>
        <v/>
      </c>
      <c r="AE135" s="424"/>
      <c r="AF135" s="422" t="str">
        <f>IF($A135&lt;&gt;9999,IF($C135=2,VLOOKUP($A135,中間シート!$D$514:$T$663,16,FALSE),VLOOKUP($A135,中間シート!$D$514:$T$663,11,FALSE)),"")</f>
        <v/>
      </c>
      <c r="AG135" s="423"/>
      <c r="AH135" s="423"/>
      <c r="AI135" s="423"/>
      <c r="AJ135" s="423"/>
      <c r="AK135" s="424"/>
      <c r="AL135" s="422" t="str">
        <f t="shared" si="2"/>
        <v/>
      </c>
      <c r="AM135" s="424"/>
      <c r="AN135" s="422" t="str">
        <f>IF($A135&lt;&gt;9999,IF($C135=2,VLOOKUP($A135,中間シート!$D$514:$T$663,17,FALSE),VLOOKUP($A135,中間シート!$D$514:$T$663,12,FALSE)),"")</f>
        <v/>
      </c>
      <c r="AO135" s="423"/>
      <c r="AP135" s="423"/>
      <c r="AQ135" s="423"/>
      <c r="AR135" s="423"/>
      <c r="AS135" s="424"/>
      <c r="AT135" s="422" t="str">
        <f t="shared" si="5"/>
        <v/>
      </c>
      <c r="AU135" s="424"/>
    </row>
    <row r="136" spans="1:47" ht="16.5" customHeight="1" x14ac:dyDescent="0.15">
      <c r="A136" s="58">
        <f>中間シート!AI538</f>
        <v>9999</v>
      </c>
      <c r="B136" s="58" t="str">
        <f>中間シート!AK538</f>
        <v>事業場99</v>
      </c>
      <c r="C136" s="58" t="e">
        <f>中間シート!AJ538</f>
        <v>#N/A</v>
      </c>
      <c r="D136" s="58" t="str">
        <f>VLOOKUP($A136,中間シート!$D$514:$K$663,4)</f>
        <v/>
      </c>
      <c r="E136" s="58" t="str">
        <f>VLOOKUP($A136,中間シート!$D$514:$K$663,5)</f>
        <v/>
      </c>
      <c r="F136" s="58" t="str">
        <f>VLOOKUP($A136,中間シート!$D$514:$K$663,6)</f>
        <v/>
      </c>
      <c r="G136" s="58" t="str">
        <f>VLOOKUP($A136,中間シート!$D$514:$K$663,7)</f>
        <v/>
      </c>
      <c r="H136" s="58" t="str">
        <f>VLOOKUP($A136,中間シート!$D$514:$K$663,8)</f>
        <v/>
      </c>
      <c r="J136" s="412" t="str">
        <f t="shared" si="4"/>
        <v/>
      </c>
      <c r="K136" s="412"/>
      <c r="L136" s="412"/>
      <c r="M136" s="412"/>
      <c r="N136" s="422" t="str">
        <f>IF($A136&lt;&gt;9999,IF($C136=2,VLOOKUP($A136,中間シート!$D$514:$T$663,14,FALSE),VLOOKUP($A136,中間シート!$D$514:$T$663,9,FALSE)),"")</f>
        <v/>
      </c>
      <c r="O136" s="423"/>
      <c r="P136" s="423"/>
      <c r="Q136" s="423"/>
      <c r="R136" s="423"/>
      <c r="S136" s="423"/>
      <c r="T136" s="424"/>
      <c r="U136" s="422" t="str">
        <f t="shared" si="0"/>
        <v/>
      </c>
      <c r="V136" s="424"/>
      <c r="W136" s="422" t="str">
        <f>IF($A136&lt;&gt;9999,IF($C136=2,VLOOKUP($A136,中間シート!$D$514:$T$663,15,FALSE),VLOOKUP($A136,中間シート!$D$514:$T$663,10,FALSE)),"")</f>
        <v/>
      </c>
      <c r="X136" s="423"/>
      <c r="Y136" s="423"/>
      <c r="Z136" s="423"/>
      <c r="AA136" s="423"/>
      <c r="AB136" s="423"/>
      <c r="AC136" s="424"/>
      <c r="AD136" s="422" t="str">
        <f t="shared" si="1"/>
        <v/>
      </c>
      <c r="AE136" s="424"/>
      <c r="AF136" s="422" t="str">
        <f>IF($A136&lt;&gt;9999,IF($C136=2,VLOOKUP($A136,中間シート!$D$514:$T$663,16,FALSE),VLOOKUP($A136,中間シート!$D$514:$T$663,11,FALSE)),"")</f>
        <v/>
      </c>
      <c r="AG136" s="423"/>
      <c r="AH136" s="423"/>
      <c r="AI136" s="423"/>
      <c r="AJ136" s="423"/>
      <c r="AK136" s="424"/>
      <c r="AL136" s="422" t="str">
        <f t="shared" si="2"/>
        <v/>
      </c>
      <c r="AM136" s="424"/>
      <c r="AN136" s="422" t="str">
        <f>IF($A136&lt;&gt;9999,IF($C136=2,VLOOKUP($A136,中間シート!$D$514:$T$663,17,FALSE),VLOOKUP($A136,中間シート!$D$514:$T$663,12,FALSE)),"")</f>
        <v/>
      </c>
      <c r="AO136" s="423"/>
      <c r="AP136" s="423"/>
      <c r="AQ136" s="423"/>
      <c r="AR136" s="423"/>
      <c r="AS136" s="424"/>
      <c r="AT136" s="422" t="str">
        <f t="shared" si="5"/>
        <v/>
      </c>
      <c r="AU136" s="424"/>
    </row>
    <row r="137" spans="1:47" ht="16.5" customHeight="1" x14ac:dyDescent="0.15">
      <c r="A137" s="58">
        <f>中間シート!AI539</f>
        <v>9999</v>
      </c>
      <c r="B137" s="58" t="str">
        <f>中間シート!AK539</f>
        <v>事業場99</v>
      </c>
      <c r="C137" s="58" t="e">
        <f>中間シート!AJ539</f>
        <v>#N/A</v>
      </c>
      <c r="D137" s="58" t="str">
        <f>VLOOKUP($A137,中間シート!$D$514:$K$663,4)</f>
        <v/>
      </c>
      <c r="E137" s="58" t="str">
        <f>VLOOKUP($A137,中間シート!$D$514:$K$663,5)</f>
        <v/>
      </c>
      <c r="F137" s="58" t="str">
        <f>VLOOKUP($A137,中間シート!$D$514:$K$663,6)</f>
        <v/>
      </c>
      <c r="G137" s="58" t="str">
        <f>VLOOKUP($A137,中間シート!$D$514:$K$663,7)</f>
        <v/>
      </c>
      <c r="H137" s="58" t="str">
        <f>VLOOKUP($A137,中間シート!$D$514:$K$663,8)</f>
        <v/>
      </c>
      <c r="J137" s="412" t="str">
        <f t="shared" si="4"/>
        <v/>
      </c>
      <c r="K137" s="412"/>
      <c r="L137" s="412"/>
      <c r="M137" s="412"/>
      <c r="N137" s="422" t="str">
        <f>IF($A137&lt;&gt;9999,IF($C137=2,VLOOKUP($A137,中間シート!$D$514:$T$663,14,FALSE),VLOOKUP($A137,中間シート!$D$514:$T$663,9,FALSE)),"")</f>
        <v/>
      </c>
      <c r="O137" s="423"/>
      <c r="P137" s="423"/>
      <c r="Q137" s="423"/>
      <c r="R137" s="423"/>
      <c r="S137" s="423"/>
      <c r="T137" s="424"/>
      <c r="U137" s="422" t="str">
        <f t="shared" si="0"/>
        <v/>
      </c>
      <c r="V137" s="424"/>
      <c r="W137" s="422" t="str">
        <f>IF($A137&lt;&gt;9999,IF($C137=2,VLOOKUP($A137,中間シート!$D$514:$T$663,15,FALSE),VLOOKUP($A137,中間シート!$D$514:$T$663,10,FALSE)),"")</f>
        <v/>
      </c>
      <c r="X137" s="423"/>
      <c r="Y137" s="423"/>
      <c r="Z137" s="423"/>
      <c r="AA137" s="423"/>
      <c r="AB137" s="423"/>
      <c r="AC137" s="424"/>
      <c r="AD137" s="422" t="str">
        <f t="shared" si="1"/>
        <v/>
      </c>
      <c r="AE137" s="424"/>
      <c r="AF137" s="422" t="str">
        <f>IF($A137&lt;&gt;9999,IF($C137=2,VLOOKUP($A137,中間シート!$D$514:$T$663,16,FALSE),VLOOKUP($A137,中間シート!$D$514:$T$663,11,FALSE)),"")</f>
        <v/>
      </c>
      <c r="AG137" s="423"/>
      <c r="AH137" s="423"/>
      <c r="AI137" s="423"/>
      <c r="AJ137" s="423"/>
      <c r="AK137" s="424"/>
      <c r="AL137" s="422" t="str">
        <f t="shared" si="2"/>
        <v/>
      </c>
      <c r="AM137" s="424"/>
      <c r="AN137" s="422" t="str">
        <f>IF($A137&lt;&gt;9999,IF($C137=2,VLOOKUP($A137,中間シート!$D$514:$T$663,17,FALSE),VLOOKUP($A137,中間シート!$D$514:$T$663,12,FALSE)),"")</f>
        <v/>
      </c>
      <c r="AO137" s="423"/>
      <c r="AP137" s="423"/>
      <c r="AQ137" s="423"/>
      <c r="AR137" s="423"/>
      <c r="AS137" s="424"/>
      <c r="AT137" s="422" t="str">
        <f t="shared" si="5"/>
        <v/>
      </c>
      <c r="AU137" s="424"/>
    </row>
    <row r="138" spans="1:47" ht="16.5" customHeight="1" x14ac:dyDescent="0.15">
      <c r="A138" s="58">
        <f>中間シート!AI540</f>
        <v>9999</v>
      </c>
      <c r="B138" s="58" t="str">
        <f>中間シート!AK540</f>
        <v>事業場99</v>
      </c>
      <c r="C138" s="58" t="e">
        <f>中間シート!AJ540</f>
        <v>#N/A</v>
      </c>
      <c r="D138" s="58" t="str">
        <f>VLOOKUP($A138,中間シート!$D$514:$K$663,4)</f>
        <v/>
      </c>
      <c r="E138" s="58" t="str">
        <f>VLOOKUP($A138,中間シート!$D$514:$K$663,5)</f>
        <v/>
      </c>
      <c r="F138" s="58" t="str">
        <f>VLOOKUP($A138,中間シート!$D$514:$K$663,6)</f>
        <v/>
      </c>
      <c r="G138" s="58" t="str">
        <f>VLOOKUP($A138,中間シート!$D$514:$K$663,7)</f>
        <v/>
      </c>
      <c r="H138" s="58" t="str">
        <f>VLOOKUP($A138,中間シート!$D$514:$K$663,8)</f>
        <v/>
      </c>
      <c r="J138" s="412" t="str">
        <f t="shared" si="4"/>
        <v/>
      </c>
      <c r="K138" s="412"/>
      <c r="L138" s="412"/>
      <c r="M138" s="412"/>
      <c r="N138" s="422" t="str">
        <f>IF($A138&lt;&gt;9999,IF($C138=2,VLOOKUP($A138,中間シート!$D$514:$T$663,14,FALSE),VLOOKUP($A138,中間シート!$D$514:$T$663,9,FALSE)),"")</f>
        <v/>
      </c>
      <c r="O138" s="423"/>
      <c r="P138" s="423"/>
      <c r="Q138" s="423"/>
      <c r="R138" s="423"/>
      <c r="S138" s="423"/>
      <c r="T138" s="424"/>
      <c r="U138" s="422" t="str">
        <f t="shared" si="0"/>
        <v/>
      </c>
      <c r="V138" s="424"/>
      <c r="W138" s="422" t="str">
        <f>IF($A138&lt;&gt;9999,IF($C138=2,VLOOKUP($A138,中間シート!$D$514:$T$663,15,FALSE),VLOOKUP($A138,中間シート!$D$514:$T$663,10,FALSE)),"")</f>
        <v/>
      </c>
      <c r="X138" s="423"/>
      <c r="Y138" s="423"/>
      <c r="Z138" s="423"/>
      <c r="AA138" s="423"/>
      <c r="AB138" s="423"/>
      <c r="AC138" s="424"/>
      <c r="AD138" s="422" t="str">
        <f t="shared" si="1"/>
        <v/>
      </c>
      <c r="AE138" s="424"/>
      <c r="AF138" s="422" t="str">
        <f>IF($A138&lt;&gt;9999,IF($C138=2,VLOOKUP($A138,中間シート!$D$514:$T$663,16,FALSE),VLOOKUP($A138,中間シート!$D$514:$T$663,11,FALSE)),"")</f>
        <v/>
      </c>
      <c r="AG138" s="423"/>
      <c r="AH138" s="423"/>
      <c r="AI138" s="423"/>
      <c r="AJ138" s="423"/>
      <c r="AK138" s="424"/>
      <c r="AL138" s="422" t="str">
        <f t="shared" si="2"/>
        <v/>
      </c>
      <c r="AM138" s="424"/>
      <c r="AN138" s="422" t="str">
        <f>IF($A138&lt;&gt;9999,IF($C138=2,VLOOKUP($A138,中間シート!$D$514:$T$663,17,FALSE),VLOOKUP($A138,中間シート!$D$514:$T$663,12,FALSE)),"")</f>
        <v/>
      </c>
      <c r="AO138" s="423"/>
      <c r="AP138" s="423"/>
      <c r="AQ138" s="423"/>
      <c r="AR138" s="423"/>
      <c r="AS138" s="424"/>
      <c r="AT138" s="422" t="str">
        <f t="shared" si="5"/>
        <v/>
      </c>
      <c r="AU138" s="424"/>
    </row>
    <row r="139" spans="1:47" ht="16.5" customHeight="1" x14ac:dyDescent="0.15">
      <c r="A139" s="58">
        <f>中間シート!AI541</f>
        <v>9999</v>
      </c>
      <c r="B139" s="58" t="str">
        <f>中間シート!AK541</f>
        <v>事業場99</v>
      </c>
      <c r="C139" s="58" t="e">
        <f>中間シート!AJ541</f>
        <v>#N/A</v>
      </c>
      <c r="D139" s="58" t="str">
        <f>VLOOKUP($A139,中間シート!$D$514:$K$663,4)</f>
        <v/>
      </c>
      <c r="E139" s="58" t="str">
        <f>VLOOKUP($A139,中間シート!$D$514:$K$663,5)</f>
        <v/>
      </c>
      <c r="F139" s="58" t="str">
        <f>VLOOKUP($A139,中間シート!$D$514:$K$663,6)</f>
        <v/>
      </c>
      <c r="G139" s="58" t="str">
        <f>VLOOKUP($A139,中間シート!$D$514:$K$663,7)</f>
        <v/>
      </c>
      <c r="H139" s="58" t="str">
        <f>VLOOKUP($A139,中間シート!$D$514:$K$663,8)</f>
        <v/>
      </c>
      <c r="J139" s="412" t="str">
        <f t="shared" si="4"/>
        <v/>
      </c>
      <c r="K139" s="412"/>
      <c r="L139" s="412"/>
      <c r="M139" s="412"/>
      <c r="N139" s="422" t="str">
        <f>IF($A139&lt;&gt;9999,IF($C139=2,VLOOKUP($A139,中間シート!$D$514:$T$663,14,FALSE),VLOOKUP($A139,中間シート!$D$514:$T$663,9,FALSE)),"")</f>
        <v/>
      </c>
      <c r="O139" s="423"/>
      <c r="P139" s="423"/>
      <c r="Q139" s="423"/>
      <c r="R139" s="423"/>
      <c r="S139" s="423"/>
      <c r="T139" s="424"/>
      <c r="U139" s="422" t="str">
        <f t="shared" si="0"/>
        <v/>
      </c>
      <c r="V139" s="424"/>
      <c r="W139" s="422" t="str">
        <f>IF($A139&lt;&gt;9999,IF($C139=2,VLOOKUP($A139,中間シート!$D$514:$T$663,15,FALSE),VLOOKUP($A139,中間シート!$D$514:$T$663,10,FALSE)),"")</f>
        <v/>
      </c>
      <c r="X139" s="423"/>
      <c r="Y139" s="423"/>
      <c r="Z139" s="423"/>
      <c r="AA139" s="423"/>
      <c r="AB139" s="423"/>
      <c r="AC139" s="424"/>
      <c r="AD139" s="422" t="str">
        <f t="shared" si="1"/>
        <v/>
      </c>
      <c r="AE139" s="424"/>
      <c r="AF139" s="422" t="str">
        <f>IF($A139&lt;&gt;9999,IF($C139=2,VLOOKUP($A139,中間シート!$D$514:$T$663,16,FALSE),VLOOKUP($A139,中間シート!$D$514:$T$663,11,FALSE)),"")</f>
        <v/>
      </c>
      <c r="AG139" s="423"/>
      <c r="AH139" s="423"/>
      <c r="AI139" s="423"/>
      <c r="AJ139" s="423"/>
      <c r="AK139" s="424"/>
      <c r="AL139" s="422" t="str">
        <f t="shared" si="2"/>
        <v/>
      </c>
      <c r="AM139" s="424"/>
      <c r="AN139" s="422" t="str">
        <f>IF($A139&lt;&gt;9999,IF($C139=2,VLOOKUP($A139,中間シート!$D$514:$T$663,17,FALSE),VLOOKUP($A139,中間シート!$D$514:$T$663,12,FALSE)),"")</f>
        <v/>
      </c>
      <c r="AO139" s="423"/>
      <c r="AP139" s="423"/>
      <c r="AQ139" s="423"/>
      <c r="AR139" s="423"/>
      <c r="AS139" s="424"/>
      <c r="AT139" s="422" t="str">
        <f t="shared" si="5"/>
        <v/>
      </c>
      <c r="AU139" s="424"/>
    </row>
    <row r="140" spans="1:47" ht="16.5" customHeight="1" x14ac:dyDescent="0.15">
      <c r="A140" s="58">
        <f>中間シート!AI542</f>
        <v>9999</v>
      </c>
      <c r="B140" s="58" t="str">
        <f>中間シート!AK542</f>
        <v>事業場99</v>
      </c>
      <c r="C140" s="58" t="e">
        <f>中間シート!AJ542</f>
        <v>#N/A</v>
      </c>
      <c r="D140" s="58" t="str">
        <f>VLOOKUP($A140,中間シート!$D$514:$K$663,4)</f>
        <v/>
      </c>
      <c r="E140" s="58" t="str">
        <f>VLOOKUP($A140,中間シート!$D$514:$K$663,5)</f>
        <v/>
      </c>
      <c r="F140" s="58" t="str">
        <f>VLOOKUP($A140,中間シート!$D$514:$K$663,6)</f>
        <v/>
      </c>
      <c r="G140" s="58" t="str">
        <f>VLOOKUP($A140,中間シート!$D$514:$K$663,7)</f>
        <v/>
      </c>
      <c r="H140" s="58" t="str">
        <f>VLOOKUP($A140,中間シート!$D$514:$K$663,8)</f>
        <v/>
      </c>
      <c r="J140" s="412" t="str">
        <f t="shared" si="4"/>
        <v/>
      </c>
      <c r="K140" s="412"/>
      <c r="L140" s="412"/>
      <c r="M140" s="412"/>
      <c r="N140" s="422" t="str">
        <f>IF($A140&lt;&gt;9999,IF($C140=2,VLOOKUP($A140,中間シート!$D$514:$T$663,14,FALSE),VLOOKUP($A140,中間シート!$D$514:$T$663,9,FALSE)),"")</f>
        <v/>
      </c>
      <c r="O140" s="423"/>
      <c r="P140" s="423"/>
      <c r="Q140" s="423"/>
      <c r="R140" s="423"/>
      <c r="S140" s="423"/>
      <c r="T140" s="424"/>
      <c r="U140" s="422" t="str">
        <f t="shared" si="0"/>
        <v/>
      </c>
      <c r="V140" s="424"/>
      <c r="W140" s="422" t="str">
        <f>IF($A140&lt;&gt;9999,IF($C140=2,VLOOKUP($A140,中間シート!$D$514:$T$663,15,FALSE),VLOOKUP($A140,中間シート!$D$514:$T$663,10,FALSE)),"")</f>
        <v/>
      </c>
      <c r="X140" s="423"/>
      <c r="Y140" s="423"/>
      <c r="Z140" s="423"/>
      <c r="AA140" s="423"/>
      <c r="AB140" s="423"/>
      <c r="AC140" s="424"/>
      <c r="AD140" s="422" t="str">
        <f t="shared" si="1"/>
        <v/>
      </c>
      <c r="AE140" s="424"/>
      <c r="AF140" s="422" t="str">
        <f>IF($A140&lt;&gt;9999,IF($C140=2,VLOOKUP($A140,中間シート!$D$514:$T$663,16,FALSE),VLOOKUP($A140,中間シート!$D$514:$T$663,11,FALSE)),"")</f>
        <v/>
      </c>
      <c r="AG140" s="423"/>
      <c r="AH140" s="423"/>
      <c r="AI140" s="423"/>
      <c r="AJ140" s="423"/>
      <c r="AK140" s="424"/>
      <c r="AL140" s="422" t="str">
        <f t="shared" si="2"/>
        <v/>
      </c>
      <c r="AM140" s="424"/>
      <c r="AN140" s="422" t="str">
        <f>IF($A140&lt;&gt;9999,IF($C140=2,VLOOKUP($A140,中間シート!$D$514:$T$663,17,FALSE),VLOOKUP($A140,中間シート!$D$514:$T$663,12,FALSE)),"")</f>
        <v/>
      </c>
      <c r="AO140" s="423"/>
      <c r="AP140" s="423"/>
      <c r="AQ140" s="423"/>
      <c r="AR140" s="423"/>
      <c r="AS140" s="424"/>
      <c r="AT140" s="422" t="str">
        <f t="shared" si="5"/>
        <v/>
      </c>
      <c r="AU140" s="424"/>
    </row>
    <row r="141" spans="1:47" ht="16.5" customHeight="1" x14ac:dyDescent="0.15">
      <c r="A141" s="58">
        <f>中間シート!AI543</f>
        <v>9999</v>
      </c>
      <c r="B141" s="58" t="str">
        <f>中間シート!AK543</f>
        <v>事業場99</v>
      </c>
      <c r="C141" s="58" t="e">
        <f>中間シート!AJ543</f>
        <v>#N/A</v>
      </c>
      <c r="D141" s="58" t="str">
        <f>VLOOKUP($A141,中間シート!$D$514:$K$663,4)</f>
        <v/>
      </c>
      <c r="E141" s="58" t="str">
        <f>VLOOKUP($A141,中間シート!$D$514:$K$663,5)</f>
        <v/>
      </c>
      <c r="F141" s="58" t="str">
        <f>VLOOKUP($A141,中間シート!$D$514:$K$663,6)</f>
        <v/>
      </c>
      <c r="G141" s="58" t="str">
        <f>VLOOKUP($A141,中間シート!$D$514:$K$663,7)</f>
        <v/>
      </c>
      <c r="H141" s="58" t="str">
        <f>VLOOKUP($A141,中間シート!$D$514:$K$663,8)</f>
        <v/>
      </c>
      <c r="J141" s="412" t="str">
        <f t="shared" si="4"/>
        <v/>
      </c>
      <c r="K141" s="412"/>
      <c r="L141" s="412"/>
      <c r="M141" s="412"/>
      <c r="N141" s="422" t="str">
        <f>IF($A141&lt;&gt;9999,IF($C141=2,VLOOKUP($A141,中間シート!$D$514:$T$663,14,FALSE),VLOOKUP($A141,中間シート!$D$514:$T$663,9,FALSE)),"")</f>
        <v/>
      </c>
      <c r="O141" s="423"/>
      <c r="P141" s="423"/>
      <c r="Q141" s="423"/>
      <c r="R141" s="423"/>
      <c r="S141" s="423"/>
      <c r="T141" s="424"/>
      <c r="U141" s="422" t="str">
        <f t="shared" si="0"/>
        <v/>
      </c>
      <c r="V141" s="424"/>
      <c r="W141" s="422" t="str">
        <f>IF($A141&lt;&gt;9999,IF($C141=2,VLOOKUP($A141,中間シート!$D$514:$T$663,15,FALSE),VLOOKUP($A141,中間シート!$D$514:$T$663,10,FALSE)),"")</f>
        <v/>
      </c>
      <c r="X141" s="423"/>
      <c r="Y141" s="423"/>
      <c r="Z141" s="423"/>
      <c r="AA141" s="423"/>
      <c r="AB141" s="423"/>
      <c r="AC141" s="424"/>
      <c r="AD141" s="422" t="str">
        <f t="shared" si="1"/>
        <v/>
      </c>
      <c r="AE141" s="424"/>
      <c r="AF141" s="422" t="str">
        <f>IF($A141&lt;&gt;9999,IF($C141=2,VLOOKUP($A141,中間シート!$D$514:$T$663,16,FALSE),VLOOKUP($A141,中間シート!$D$514:$T$663,11,FALSE)),"")</f>
        <v/>
      </c>
      <c r="AG141" s="423"/>
      <c r="AH141" s="423"/>
      <c r="AI141" s="423"/>
      <c r="AJ141" s="423"/>
      <c r="AK141" s="424"/>
      <c r="AL141" s="422" t="str">
        <f t="shared" si="2"/>
        <v/>
      </c>
      <c r="AM141" s="424"/>
      <c r="AN141" s="422" t="str">
        <f>IF($A141&lt;&gt;9999,IF($C141=2,VLOOKUP($A141,中間シート!$D$514:$T$663,17,FALSE),VLOOKUP($A141,中間シート!$D$514:$T$663,12,FALSE)),"")</f>
        <v/>
      </c>
      <c r="AO141" s="423"/>
      <c r="AP141" s="423"/>
      <c r="AQ141" s="423"/>
      <c r="AR141" s="423"/>
      <c r="AS141" s="424"/>
      <c r="AT141" s="422" t="str">
        <f t="shared" si="5"/>
        <v/>
      </c>
      <c r="AU141" s="424"/>
    </row>
    <row r="142" spans="1:47" ht="16.5" customHeight="1" x14ac:dyDescent="0.15">
      <c r="A142" s="58">
        <f>中間シート!AI544</f>
        <v>9999</v>
      </c>
      <c r="B142" s="58" t="str">
        <f>中間シート!AK544</f>
        <v>事業場99</v>
      </c>
      <c r="C142" s="58" t="e">
        <f>中間シート!AJ544</f>
        <v>#N/A</v>
      </c>
      <c r="D142" s="58" t="str">
        <f>VLOOKUP($A142,中間シート!$D$514:$K$663,4)</f>
        <v/>
      </c>
      <c r="E142" s="58" t="str">
        <f>VLOOKUP($A142,中間シート!$D$514:$K$663,5)</f>
        <v/>
      </c>
      <c r="F142" s="58" t="str">
        <f>VLOOKUP($A142,中間シート!$D$514:$K$663,6)</f>
        <v/>
      </c>
      <c r="G142" s="58" t="str">
        <f>VLOOKUP($A142,中間シート!$D$514:$K$663,7)</f>
        <v/>
      </c>
      <c r="H142" s="58" t="str">
        <f>VLOOKUP($A142,中間シート!$D$514:$K$663,8)</f>
        <v/>
      </c>
      <c r="J142" s="412" t="str">
        <f t="shared" si="4"/>
        <v/>
      </c>
      <c r="K142" s="412"/>
      <c r="L142" s="412"/>
      <c r="M142" s="412"/>
      <c r="N142" s="422" t="str">
        <f>IF($A142&lt;&gt;9999,IF($C142=2,VLOOKUP($A142,中間シート!$D$514:$T$663,14,FALSE),VLOOKUP($A142,中間シート!$D$514:$T$663,9,FALSE)),"")</f>
        <v/>
      </c>
      <c r="O142" s="423"/>
      <c r="P142" s="423"/>
      <c r="Q142" s="423"/>
      <c r="R142" s="423"/>
      <c r="S142" s="423"/>
      <c r="T142" s="424"/>
      <c r="U142" s="422" t="str">
        <f t="shared" si="0"/>
        <v/>
      </c>
      <c r="V142" s="424"/>
      <c r="W142" s="422" t="str">
        <f>IF($A142&lt;&gt;9999,IF($C142=2,VLOOKUP($A142,中間シート!$D$514:$T$663,15,FALSE),VLOOKUP($A142,中間シート!$D$514:$T$663,10,FALSE)),"")</f>
        <v/>
      </c>
      <c r="X142" s="423"/>
      <c r="Y142" s="423"/>
      <c r="Z142" s="423"/>
      <c r="AA142" s="423"/>
      <c r="AB142" s="423"/>
      <c r="AC142" s="424"/>
      <c r="AD142" s="422" t="str">
        <f t="shared" si="1"/>
        <v/>
      </c>
      <c r="AE142" s="424"/>
      <c r="AF142" s="422" t="str">
        <f>IF($A142&lt;&gt;9999,IF($C142=2,VLOOKUP($A142,中間シート!$D$514:$T$663,16,FALSE),VLOOKUP($A142,中間シート!$D$514:$T$663,11,FALSE)),"")</f>
        <v/>
      </c>
      <c r="AG142" s="423"/>
      <c r="AH142" s="423"/>
      <c r="AI142" s="423"/>
      <c r="AJ142" s="423"/>
      <c r="AK142" s="424"/>
      <c r="AL142" s="422" t="str">
        <f t="shared" si="2"/>
        <v/>
      </c>
      <c r="AM142" s="424"/>
      <c r="AN142" s="422" t="str">
        <f>IF($A142&lt;&gt;9999,IF($C142=2,VLOOKUP($A142,中間シート!$D$514:$T$663,17,FALSE),VLOOKUP($A142,中間シート!$D$514:$T$663,12,FALSE)),"")</f>
        <v/>
      </c>
      <c r="AO142" s="423"/>
      <c r="AP142" s="423"/>
      <c r="AQ142" s="423"/>
      <c r="AR142" s="423"/>
      <c r="AS142" s="424"/>
      <c r="AT142" s="422" t="str">
        <f t="shared" si="5"/>
        <v/>
      </c>
      <c r="AU142" s="424"/>
    </row>
    <row r="143" spans="1:47" ht="16.5" customHeight="1" x14ac:dyDescent="0.15">
      <c r="A143" s="58">
        <f>中間シート!AI545</f>
        <v>9999</v>
      </c>
      <c r="B143" s="58" t="str">
        <f>中間シート!AK545</f>
        <v>事業場99</v>
      </c>
      <c r="C143" s="58" t="e">
        <f>中間シート!AJ545</f>
        <v>#N/A</v>
      </c>
      <c r="D143" s="58" t="str">
        <f>VLOOKUP($A143,中間シート!$D$514:$K$663,4)</f>
        <v/>
      </c>
      <c r="E143" s="58" t="str">
        <f>VLOOKUP($A143,中間シート!$D$514:$K$663,5)</f>
        <v/>
      </c>
      <c r="F143" s="58" t="str">
        <f>VLOOKUP($A143,中間シート!$D$514:$K$663,6)</f>
        <v/>
      </c>
      <c r="G143" s="58" t="str">
        <f>VLOOKUP($A143,中間シート!$D$514:$K$663,7)</f>
        <v/>
      </c>
      <c r="H143" s="58" t="str">
        <f>VLOOKUP($A143,中間シート!$D$514:$K$663,8)</f>
        <v/>
      </c>
      <c r="J143" s="412" t="str">
        <f t="shared" si="4"/>
        <v/>
      </c>
      <c r="K143" s="412"/>
      <c r="L143" s="412"/>
      <c r="M143" s="412"/>
      <c r="N143" s="422" t="str">
        <f>IF($A143&lt;&gt;9999,IF($C143=2,VLOOKUP($A143,中間シート!$D$514:$T$663,14,FALSE),VLOOKUP($A143,中間シート!$D$514:$T$663,9,FALSE)),"")</f>
        <v/>
      </c>
      <c r="O143" s="423"/>
      <c r="P143" s="423"/>
      <c r="Q143" s="423"/>
      <c r="R143" s="423"/>
      <c r="S143" s="423"/>
      <c r="T143" s="424"/>
      <c r="U143" s="422" t="str">
        <f t="shared" si="0"/>
        <v/>
      </c>
      <c r="V143" s="424"/>
      <c r="W143" s="422" t="str">
        <f>IF($A143&lt;&gt;9999,IF($C143=2,VLOOKUP($A143,中間シート!$D$514:$T$663,15,FALSE),VLOOKUP($A143,中間シート!$D$514:$T$663,10,FALSE)),"")</f>
        <v/>
      </c>
      <c r="X143" s="423"/>
      <c r="Y143" s="423"/>
      <c r="Z143" s="423"/>
      <c r="AA143" s="423"/>
      <c r="AB143" s="423"/>
      <c r="AC143" s="424"/>
      <c r="AD143" s="422" t="str">
        <f t="shared" si="1"/>
        <v/>
      </c>
      <c r="AE143" s="424"/>
      <c r="AF143" s="422" t="str">
        <f>IF($A143&lt;&gt;9999,IF($C143=2,VLOOKUP($A143,中間シート!$D$514:$T$663,16,FALSE),VLOOKUP($A143,中間シート!$D$514:$T$663,11,FALSE)),"")</f>
        <v/>
      </c>
      <c r="AG143" s="423"/>
      <c r="AH143" s="423"/>
      <c r="AI143" s="423"/>
      <c r="AJ143" s="423"/>
      <c r="AK143" s="424"/>
      <c r="AL143" s="422" t="str">
        <f t="shared" si="2"/>
        <v/>
      </c>
      <c r="AM143" s="424"/>
      <c r="AN143" s="422" t="str">
        <f>IF($A143&lt;&gt;9999,IF($C143=2,VLOOKUP($A143,中間シート!$D$514:$T$663,17,FALSE),VLOOKUP($A143,中間シート!$D$514:$T$663,12,FALSE)),"")</f>
        <v/>
      </c>
      <c r="AO143" s="423"/>
      <c r="AP143" s="423"/>
      <c r="AQ143" s="423"/>
      <c r="AR143" s="423"/>
      <c r="AS143" s="424"/>
      <c r="AT143" s="422" t="str">
        <f t="shared" si="5"/>
        <v/>
      </c>
      <c r="AU143" s="424"/>
    </row>
    <row r="144" spans="1:47" ht="16.5" customHeight="1" x14ac:dyDescent="0.15">
      <c r="A144" s="58">
        <f>中間シート!AI546</f>
        <v>9999</v>
      </c>
      <c r="B144" s="58" t="str">
        <f>中間シート!AK546</f>
        <v>事業場99</v>
      </c>
      <c r="C144" s="58" t="e">
        <f>中間シート!AJ546</f>
        <v>#N/A</v>
      </c>
      <c r="D144" s="58" t="str">
        <f>VLOOKUP($A144,中間シート!$D$514:$K$663,4)</f>
        <v/>
      </c>
      <c r="E144" s="58" t="str">
        <f>VLOOKUP($A144,中間シート!$D$514:$K$663,5)</f>
        <v/>
      </c>
      <c r="F144" s="58" t="str">
        <f>VLOOKUP($A144,中間シート!$D$514:$K$663,6)</f>
        <v/>
      </c>
      <c r="G144" s="58" t="str">
        <f>VLOOKUP($A144,中間シート!$D$514:$K$663,7)</f>
        <v/>
      </c>
      <c r="H144" s="58" t="str">
        <f>VLOOKUP($A144,中間シート!$D$514:$K$663,8)</f>
        <v/>
      </c>
      <c r="J144" s="412" t="str">
        <f t="shared" si="4"/>
        <v/>
      </c>
      <c r="K144" s="412"/>
      <c r="L144" s="412"/>
      <c r="M144" s="412"/>
      <c r="N144" s="422" t="str">
        <f>IF($A144&lt;&gt;9999,IF($C144=2,VLOOKUP($A144,中間シート!$D$514:$T$663,14,FALSE),VLOOKUP($A144,中間シート!$D$514:$T$663,9,FALSE)),"")</f>
        <v/>
      </c>
      <c r="O144" s="423"/>
      <c r="P144" s="423"/>
      <c r="Q144" s="423"/>
      <c r="R144" s="423"/>
      <c r="S144" s="423"/>
      <c r="T144" s="424"/>
      <c r="U144" s="422" t="str">
        <f t="shared" si="0"/>
        <v/>
      </c>
      <c r="V144" s="424"/>
      <c r="W144" s="422" t="str">
        <f>IF($A144&lt;&gt;9999,IF($C144=2,VLOOKUP($A144,中間シート!$D$514:$T$663,15,FALSE),VLOOKUP($A144,中間シート!$D$514:$T$663,10,FALSE)),"")</f>
        <v/>
      </c>
      <c r="X144" s="423"/>
      <c r="Y144" s="423"/>
      <c r="Z144" s="423"/>
      <c r="AA144" s="423"/>
      <c r="AB144" s="423"/>
      <c r="AC144" s="424"/>
      <c r="AD144" s="422" t="str">
        <f t="shared" si="1"/>
        <v/>
      </c>
      <c r="AE144" s="424"/>
      <c r="AF144" s="422" t="str">
        <f>IF($A144&lt;&gt;9999,IF($C144=2,VLOOKUP($A144,中間シート!$D$514:$T$663,16,FALSE),VLOOKUP($A144,中間シート!$D$514:$T$663,11,FALSE)),"")</f>
        <v/>
      </c>
      <c r="AG144" s="423"/>
      <c r="AH144" s="423"/>
      <c r="AI144" s="423"/>
      <c r="AJ144" s="423"/>
      <c r="AK144" s="424"/>
      <c r="AL144" s="422" t="str">
        <f t="shared" si="2"/>
        <v/>
      </c>
      <c r="AM144" s="424"/>
      <c r="AN144" s="422" t="str">
        <f>IF($A144&lt;&gt;9999,IF($C144=2,VLOOKUP($A144,中間シート!$D$514:$T$663,17,FALSE),VLOOKUP($A144,中間シート!$D$514:$T$663,12,FALSE)),"")</f>
        <v/>
      </c>
      <c r="AO144" s="423"/>
      <c r="AP144" s="423"/>
      <c r="AQ144" s="423"/>
      <c r="AR144" s="423"/>
      <c r="AS144" s="424"/>
      <c r="AT144" s="422" t="str">
        <f t="shared" si="5"/>
        <v/>
      </c>
      <c r="AU144" s="424"/>
    </row>
    <row r="145" spans="1:47" ht="16.5" customHeight="1" x14ac:dyDescent="0.15">
      <c r="A145" s="58">
        <f>中間シート!AI547</f>
        <v>9999</v>
      </c>
      <c r="B145" s="58" t="str">
        <f>中間シート!AK547</f>
        <v>事業場99</v>
      </c>
      <c r="C145" s="58" t="e">
        <f>中間シート!AJ547</f>
        <v>#N/A</v>
      </c>
      <c r="D145" s="58" t="str">
        <f>VLOOKUP($A145,中間シート!$D$514:$K$663,4)</f>
        <v/>
      </c>
      <c r="E145" s="58" t="str">
        <f>VLOOKUP($A145,中間シート!$D$514:$K$663,5)</f>
        <v/>
      </c>
      <c r="F145" s="58" t="str">
        <f>VLOOKUP($A145,中間シート!$D$514:$K$663,6)</f>
        <v/>
      </c>
      <c r="G145" s="58" t="str">
        <f>VLOOKUP($A145,中間シート!$D$514:$K$663,7)</f>
        <v/>
      </c>
      <c r="H145" s="58" t="str">
        <f>VLOOKUP($A145,中間シート!$D$514:$K$663,8)</f>
        <v/>
      </c>
      <c r="J145" s="412" t="str">
        <f t="shared" si="4"/>
        <v/>
      </c>
      <c r="K145" s="412"/>
      <c r="L145" s="412"/>
      <c r="M145" s="412"/>
      <c r="N145" s="422" t="str">
        <f>IF($A145&lt;&gt;9999,IF($C145=2,VLOOKUP($A145,中間シート!$D$514:$T$663,14,FALSE),VLOOKUP($A145,中間シート!$D$514:$T$663,9,FALSE)),"")</f>
        <v/>
      </c>
      <c r="O145" s="423"/>
      <c r="P145" s="423"/>
      <c r="Q145" s="423"/>
      <c r="R145" s="423"/>
      <c r="S145" s="423"/>
      <c r="T145" s="424"/>
      <c r="U145" s="422" t="str">
        <f t="shared" si="0"/>
        <v/>
      </c>
      <c r="V145" s="424"/>
      <c r="W145" s="422" t="str">
        <f>IF($A145&lt;&gt;9999,IF($C145=2,VLOOKUP($A145,中間シート!$D$514:$T$663,15,FALSE),VLOOKUP($A145,中間シート!$D$514:$T$663,10,FALSE)),"")</f>
        <v/>
      </c>
      <c r="X145" s="423"/>
      <c r="Y145" s="423"/>
      <c r="Z145" s="423"/>
      <c r="AA145" s="423"/>
      <c r="AB145" s="423"/>
      <c r="AC145" s="424"/>
      <c r="AD145" s="422" t="str">
        <f t="shared" si="1"/>
        <v/>
      </c>
      <c r="AE145" s="424"/>
      <c r="AF145" s="422" t="str">
        <f>IF($A145&lt;&gt;9999,IF($C145=2,VLOOKUP($A145,中間シート!$D$514:$T$663,16,FALSE),VLOOKUP($A145,中間シート!$D$514:$T$663,11,FALSE)),"")</f>
        <v/>
      </c>
      <c r="AG145" s="423"/>
      <c r="AH145" s="423"/>
      <c r="AI145" s="423"/>
      <c r="AJ145" s="423"/>
      <c r="AK145" s="424"/>
      <c r="AL145" s="422" t="str">
        <f t="shared" si="2"/>
        <v/>
      </c>
      <c r="AM145" s="424"/>
      <c r="AN145" s="422" t="str">
        <f>IF($A145&lt;&gt;9999,IF($C145=2,VLOOKUP($A145,中間シート!$D$514:$T$663,17,FALSE),VLOOKUP($A145,中間シート!$D$514:$T$663,12,FALSE)),"")</f>
        <v/>
      </c>
      <c r="AO145" s="423"/>
      <c r="AP145" s="423"/>
      <c r="AQ145" s="423"/>
      <c r="AR145" s="423"/>
      <c r="AS145" s="424"/>
      <c r="AT145" s="422" t="str">
        <f t="shared" si="5"/>
        <v/>
      </c>
      <c r="AU145" s="424"/>
    </row>
    <row r="146" spans="1:47" ht="16.5" customHeight="1" x14ac:dyDescent="0.15">
      <c r="A146" s="58">
        <f>中間シート!AI548</f>
        <v>9999</v>
      </c>
      <c r="B146" s="58" t="str">
        <f>中間シート!AK548</f>
        <v>事業場99</v>
      </c>
      <c r="C146" s="58" t="e">
        <f>中間シート!AJ548</f>
        <v>#N/A</v>
      </c>
      <c r="D146" s="58" t="str">
        <f>VLOOKUP($A146,中間シート!$D$514:$K$663,4)</f>
        <v/>
      </c>
      <c r="E146" s="58" t="str">
        <f>VLOOKUP($A146,中間シート!$D$514:$K$663,5)</f>
        <v/>
      </c>
      <c r="F146" s="58" t="str">
        <f>VLOOKUP($A146,中間シート!$D$514:$K$663,6)</f>
        <v/>
      </c>
      <c r="G146" s="58" t="str">
        <f>VLOOKUP($A146,中間シート!$D$514:$K$663,7)</f>
        <v/>
      </c>
      <c r="H146" s="58" t="str">
        <f>VLOOKUP($A146,中間シート!$D$514:$K$663,8)</f>
        <v/>
      </c>
      <c r="J146" s="412" t="str">
        <f t="shared" si="4"/>
        <v/>
      </c>
      <c r="K146" s="412"/>
      <c r="L146" s="412"/>
      <c r="M146" s="412"/>
      <c r="N146" s="422" t="str">
        <f>IF($A146&lt;&gt;9999,IF($C146=2,VLOOKUP($A146,中間シート!$D$514:$T$663,14,FALSE),VLOOKUP($A146,中間シート!$D$514:$T$663,9,FALSE)),"")</f>
        <v/>
      </c>
      <c r="O146" s="423"/>
      <c r="P146" s="423"/>
      <c r="Q146" s="423"/>
      <c r="R146" s="423"/>
      <c r="S146" s="423"/>
      <c r="T146" s="424"/>
      <c r="U146" s="422" t="str">
        <f t="shared" si="0"/>
        <v/>
      </c>
      <c r="V146" s="424"/>
      <c r="W146" s="422" t="str">
        <f>IF($A146&lt;&gt;9999,IF($C146=2,VLOOKUP($A146,中間シート!$D$514:$T$663,15,FALSE),VLOOKUP($A146,中間シート!$D$514:$T$663,10,FALSE)),"")</f>
        <v/>
      </c>
      <c r="X146" s="423"/>
      <c r="Y146" s="423"/>
      <c r="Z146" s="423"/>
      <c r="AA146" s="423"/>
      <c r="AB146" s="423"/>
      <c r="AC146" s="424"/>
      <c r="AD146" s="422" t="str">
        <f t="shared" si="1"/>
        <v/>
      </c>
      <c r="AE146" s="424"/>
      <c r="AF146" s="422" t="str">
        <f>IF($A146&lt;&gt;9999,IF($C146=2,VLOOKUP($A146,中間シート!$D$514:$T$663,16,FALSE),VLOOKUP($A146,中間シート!$D$514:$T$663,11,FALSE)),"")</f>
        <v/>
      </c>
      <c r="AG146" s="423"/>
      <c r="AH146" s="423"/>
      <c r="AI146" s="423"/>
      <c r="AJ146" s="423"/>
      <c r="AK146" s="424"/>
      <c r="AL146" s="422" t="str">
        <f t="shared" si="2"/>
        <v/>
      </c>
      <c r="AM146" s="424"/>
      <c r="AN146" s="422" t="str">
        <f>IF($A146&lt;&gt;9999,IF($C146=2,VLOOKUP($A146,中間シート!$D$514:$T$663,17,FALSE),VLOOKUP($A146,中間シート!$D$514:$T$663,12,FALSE)),"")</f>
        <v/>
      </c>
      <c r="AO146" s="423"/>
      <c r="AP146" s="423"/>
      <c r="AQ146" s="423"/>
      <c r="AR146" s="423"/>
      <c r="AS146" s="424"/>
      <c r="AT146" s="422" t="str">
        <f t="shared" si="5"/>
        <v/>
      </c>
      <c r="AU146" s="424"/>
    </row>
    <row r="147" spans="1:47" ht="16.5" customHeight="1" x14ac:dyDescent="0.15">
      <c r="A147" s="58">
        <f>中間シート!AI549</f>
        <v>9999</v>
      </c>
      <c r="B147" s="58" t="str">
        <f>中間シート!AK549</f>
        <v>事業場99</v>
      </c>
      <c r="C147" s="58" t="e">
        <f>中間シート!AJ549</f>
        <v>#N/A</v>
      </c>
      <c r="D147" s="58" t="str">
        <f>VLOOKUP($A147,中間シート!$D$514:$K$663,4)</f>
        <v/>
      </c>
      <c r="E147" s="58" t="str">
        <f>VLOOKUP($A147,中間シート!$D$514:$K$663,5)</f>
        <v/>
      </c>
      <c r="F147" s="58" t="str">
        <f>VLOOKUP($A147,中間シート!$D$514:$K$663,6)</f>
        <v/>
      </c>
      <c r="G147" s="58" t="str">
        <f>VLOOKUP($A147,中間シート!$D$514:$K$663,7)</f>
        <v/>
      </c>
      <c r="H147" s="58" t="str">
        <f>VLOOKUP($A147,中間シート!$D$514:$K$663,8)</f>
        <v/>
      </c>
      <c r="J147" s="412" t="str">
        <f t="shared" si="4"/>
        <v/>
      </c>
      <c r="K147" s="412"/>
      <c r="L147" s="412"/>
      <c r="M147" s="412"/>
      <c r="N147" s="422" t="str">
        <f>IF($A147&lt;&gt;9999,IF($C147=2,VLOOKUP($A147,中間シート!$D$514:$T$663,14,FALSE),VLOOKUP($A147,中間シート!$D$514:$T$663,9,FALSE)),"")</f>
        <v/>
      </c>
      <c r="O147" s="423"/>
      <c r="P147" s="423"/>
      <c r="Q147" s="423"/>
      <c r="R147" s="423"/>
      <c r="S147" s="423"/>
      <c r="T147" s="424"/>
      <c r="U147" s="422" t="str">
        <f t="shared" si="0"/>
        <v/>
      </c>
      <c r="V147" s="424"/>
      <c r="W147" s="422" t="str">
        <f>IF($A147&lt;&gt;9999,IF($C147=2,VLOOKUP($A147,中間シート!$D$514:$T$663,15,FALSE),VLOOKUP($A147,中間シート!$D$514:$T$663,10,FALSE)),"")</f>
        <v/>
      </c>
      <c r="X147" s="423"/>
      <c r="Y147" s="423"/>
      <c r="Z147" s="423"/>
      <c r="AA147" s="423"/>
      <c r="AB147" s="423"/>
      <c r="AC147" s="424"/>
      <c r="AD147" s="422" t="str">
        <f t="shared" si="1"/>
        <v/>
      </c>
      <c r="AE147" s="424"/>
      <c r="AF147" s="422" t="str">
        <f>IF($A147&lt;&gt;9999,IF($C147=2,VLOOKUP($A147,中間シート!$D$514:$T$663,16,FALSE),VLOOKUP($A147,中間シート!$D$514:$T$663,11,FALSE)),"")</f>
        <v/>
      </c>
      <c r="AG147" s="423"/>
      <c r="AH147" s="423"/>
      <c r="AI147" s="423"/>
      <c r="AJ147" s="423"/>
      <c r="AK147" s="424"/>
      <c r="AL147" s="422" t="str">
        <f t="shared" si="2"/>
        <v/>
      </c>
      <c r="AM147" s="424"/>
      <c r="AN147" s="422" t="str">
        <f>IF($A147&lt;&gt;9999,IF($C147=2,VLOOKUP($A147,中間シート!$D$514:$T$663,17,FALSE),VLOOKUP($A147,中間シート!$D$514:$T$663,12,FALSE)),"")</f>
        <v/>
      </c>
      <c r="AO147" s="423"/>
      <c r="AP147" s="423"/>
      <c r="AQ147" s="423"/>
      <c r="AR147" s="423"/>
      <c r="AS147" s="424"/>
      <c r="AT147" s="422" t="str">
        <f t="shared" si="5"/>
        <v/>
      </c>
      <c r="AU147" s="424"/>
    </row>
    <row r="148" spans="1:47" ht="16.5" customHeight="1" x14ac:dyDescent="0.15">
      <c r="A148" s="58">
        <f>中間シート!AI550</f>
        <v>9999</v>
      </c>
      <c r="B148" s="58" t="str">
        <f>中間シート!AK550</f>
        <v>事業場99</v>
      </c>
      <c r="C148" s="58" t="e">
        <f>中間シート!AJ550</f>
        <v>#N/A</v>
      </c>
      <c r="D148" s="58" t="str">
        <f>VLOOKUP($A148,中間シート!$D$514:$K$663,4)</f>
        <v/>
      </c>
      <c r="E148" s="58" t="str">
        <f>VLOOKUP($A148,中間シート!$D$514:$K$663,5)</f>
        <v/>
      </c>
      <c r="F148" s="58" t="str">
        <f>VLOOKUP($A148,中間シート!$D$514:$K$663,6)</f>
        <v/>
      </c>
      <c r="G148" s="58" t="str">
        <f>VLOOKUP($A148,中間シート!$D$514:$K$663,7)</f>
        <v/>
      </c>
      <c r="H148" s="58" t="str">
        <f>VLOOKUP($A148,中間シート!$D$514:$K$663,8)</f>
        <v/>
      </c>
      <c r="J148" s="412" t="str">
        <f t="shared" si="4"/>
        <v/>
      </c>
      <c r="K148" s="412"/>
      <c r="L148" s="412"/>
      <c r="M148" s="412"/>
      <c r="N148" s="422" t="str">
        <f>IF($A148&lt;&gt;9999,IF($C148=2,VLOOKUP($A148,中間シート!$D$514:$T$663,14,FALSE),VLOOKUP($A148,中間シート!$D$514:$T$663,9,FALSE)),"")</f>
        <v/>
      </c>
      <c r="O148" s="423"/>
      <c r="P148" s="423"/>
      <c r="Q148" s="423"/>
      <c r="R148" s="423"/>
      <c r="S148" s="423"/>
      <c r="T148" s="424"/>
      <c r="U148" s="422" t="str">
        <f t="shared" si="0"/>
        <v/>
      </c>
      <c r="V148" s="424"/>
      <c r="W148" s="422" t="str">
        <f>IF($A148&lt;&gt;9999,IF($C148=2,VLOOKUP($A148,中間シート!$D$514:$T$663,15,FALSE),VLOOKUP($A148,中間シート!$D$514:$T$663,10,FALSE)),"")</f>
        <v/>
      </c>
      <c r="X148" s="423"/>
      <c r="Y148" s="423"/>
      <c r="Z148" s="423"/>
      <c r="AA148" s="423"/>
      <c r="AB148" s="423"/>
      <c r="AC148" s="424"/>
      <c r="AD148" s="422" t="str">
        <f t="shared" si="1"/>
        <v/>
      </c>
      <c r="AE148" s="424"/>
      <c r="AF148" s="422" t="str">
        <f>IF($A148&lt;&gt;9999,IF($C148=2,VLOOKUP($A148,中間シート!$D$514:$T$663,16,FALSE),VLOOKUP($A148,中間シート!$D$514:$T$663,11,FALSE)),"")</f>
        <v/>
      </c>
      <c r="AG148" s="423"/>
      <c r="AH148" s="423"/>
      <c r="AI148" s="423"/>
      <c r="AJ148" s="423"/>
      <c r="AK148" s="424"/>
      <c r="AL148" s="422" t="str">
        <f t="shared" si="2"/>
        <v/>
      </c>
      <c r="AM148" s="424"/>
      <c r="AN148" s="422" t="str">
        <f>IF($A148&lt;&gt;9999,IF($C148=2,VLOOKUP($A148,中間シート!$D$514:$T$663,17,FALSE),VLOOKUP($A148,中間シート!$D$514:$T$663,12,FALSE)),"")</f>
        <v/>
      </c>
      <c r="AO148" s="423"/>
      <c r="AP148" s="423"/>
      <c r="AQ148" s="423"/>
      <c r="AR148" s="423"/>
      <c r="AS148" s="424"/>
      <c r="AT148" s="422" t="str">
        <f t="shared" si="5"/>
        <v/>
      </c>
      <c r="AU148" s="424"/>
    </row>
    <row r="149" spans="1:47" ht="16.5" customHeight="1" x14ac:dyDescent="0.15">
      <c r="A149" s="58">
        <f>中間シート!AI551</f>
        <v>9999</v>
      </c>
      <c r="B149" s="58" t="str">
        <f>中間シート!AK551</f>
        <v>事業場99</v>
      </c>
      <c r="C149" s="58" t="e">
        <f>中間シート!AJ551</f>
        <v>#N/A</v>
      </c>
      <c r="D149" s="58" t="str">
        <f>VLOOKUP($A149,中間シート!$D$514:$K$663,4)</f>
        <v/>
      </c>
      <c r="E149" s="58" t="str">
        <f>VLOOKUP($A149,中間シート!$D$514:$K$663,5)</f>
        <v/>
      </c>
      <c r="F149" s="58" t="str">
        <f>VLOOKUP($A149,中間シート!$D$514:$K$663,6)</f>
        <v/>
      </c>
      <c r="G149" s="58" t="str">
        <f>VLOOKUP($A149,中間シート!$D$514:$K$663,7)</f>
        <v/>
      </c>
      <c r="H149" s="58" t="str">
        <f>VLOOKUP($A149,中間シート!$D$514:$K$663,8)</f>
        <v/>
      </c>
      <c r="J149" s="412" t="str">
        <f t="shared" si="4"/>
        <v/>
      </c>
      <c r="K149" s="412"/>
      <c r="L149" s="412"/>
      <c r="M149" s="412"/>
      <c r="N149" s="422" t="str">
        <f>IF($A149&lt;&gt;9999,IF($C149=2,VLOOKUP($A149,中間シート!$D$514:$T$663,14,FALSE),VLOOKUP($A149,中間シート!$D$514:$T$663,9,FALSE)),"")</f>
        <v/>
      </c>
      <c r="O149" s="423"/>
      <c r="P149" s="423"/>
      <c r="Q149" s="423"/>
      <c r="R149" s="423"/>
      <c r="S149" s="423"/>
      <c r="T149" s="424"/>
      <c r="U149" s="422" t="str">
        <f t="shared" si="0"/>
        <v/>
      </c>
      <c r="V149" s="424"/>
      <c r="W149" s="422" t="str">
        <f>IF($A149&lt;&gt;9999,IF($C149=2,VLOOKUP($A149,中間シート!$D$514:$T$663,15,FALSE),VLOOKUP($A149,中間シート!$D$514:$T$663,10,FALSE)),"")</f>
        <v/>
      </c>
      <c r="X149" s="423"/>
      <c r="Y149" s="423"/>
      <c r="Z149" s="423"/>
      <c r="AA149" s="423"/>
      <c r="AB149" s="423"/>
      <c r="AC149" s="424"/>
      <c r="AD149" s="422" t="str">
        <f t="shared" si="1"/>
        <v/>
      </c>
      <c r="AE149" s="424"/>
      <c r="AF149" s="422" t="str">
        <f>IF($A149&lt;&gt;9999,IF($C149=2,VLOOKUP($A149,中間シート!$D$514:$T$663,16,FALSE),VLOOKUP($A149,中間シート!$D$514:$T$663,11,FALSE)),"")</f>
        <v/>
      </c>
      <c r="AG149" s="423"/>
      <c r="AH149" s="423"/>
      <c r="AI149" s="423"/>
      <c r="AJ149" s="423"/>
      <c r="AK149" s="424"/>
      <c r="AL149" s="422" t="str">
        <f t="shared" si="2"/>
        <v/>
      </c>
      <c r="AM149" s="424"/>
      <c r="AN149" s="422" t="str">
        <f>IF($A149&lt;&gt;9999,IF($C149=2,VLOOKUP($A149,中間シート!$D$514:$T$663,17,FALSE),VLOOKUP($A149,中間シート!$D$514:$T$663,12,FALSE)),"")</f>
        <v/>
      </c>
      <c r="AO149" s="423"/>
      <c r="AP149" s="423"/>
      <c r="AQ149" s="423"/>
      <c r="AR149" s="423"/>
      <c r="AS149" s="424"/>
      <c r="AT149" s="422" t="str">
        <f t="shared" si="5"/>
        <v/>
      </c>
      <c r="AU149" s="424"/>
    </row>
    <row r="150" spans="1:47" ht="16.5" customHeight="1" x14ac:dyDescent="0.15">
      <c r="A150" s="58">
        <f>中間シート!AI552</f>
        <v>9999</v>
      </c>
      <c r="B150" s="58" t="str">
        <f>中間シート!AK552</f>
        <v>事業場99</v>
      </c>
      <c r="C150" s="58" t="e">
        <f>中間シート!AJ552</f>
        <v>#N/A</v>
      </c>
      <c r="D150" s="58" t="str">
        <f>VLOOKUP($A150,中間シート!$D$514:$K$663,4)</f>
        <v/>
      </c>
      <c r="E150" s="58" t="str">
        <f>VLOOKUP($A150,中間シート!$D$514:$K$663,5)</f>
        <v/>
      </c>
      <c r="F150" s="58" t="str">
        <f>VLOOKUP($A150,中間シート!$D$514:$K$663,6)</f>
        <v/>
      </c>
      <c r="G150" s="58" t="str">
        <f>VLOOKUP($A150,中間シート!$D$514:$K$663,7)</f>
        <v/>
      </c>
      <c r="H150" s="58" t="str">
        <f>VLOOKUP($A150,中間シート!$D$514:$K$663,8)</f>
        <v/>
      </c>
      <c r="J150" s="412" t="str">
        <f t="shared" si="4"/>
        <v/>
      </c>
      <c r="K150" s="412"/>
      <c r="L150" s="412"/>
      <c r="M150" s="412"/>
      <c r="N150" s="422" t="str">
        <f>IF($A150&lt;&gt;9999,IF($C150=2,VLOOKUP($A150,中間シート!$D$514:$T$663,14,FALSE),VLOOKUP($A150,中間シート!$D$514:$T$663,9,FALSE)),"")</f>
        <v/>
      </c>
      <c r="O150" s="423"/>
      <c r="P150" s="423"/>
      <c r="Q150" s="423"/>
      <c r="R150" s="423"/>
      <c r="S150" s="423"/>
      <c r="T150" s="424"/>
      <c r="U150" s="422" t="str">
        <f t="shared" si="0"/>
        <v/>
      </c>
      <c r="V150" s="424"/>
      <c r="W150" s="422" t="str">
        <f>IF($A150&lt;&gt;9999,IF($C150=2,VLOOKUP($A150,中間シート!$D$514:$T$663,15,FALSE),VLOOKUP($A150,中間シート!$D$514:$T$663,10,FALSE)),"")</f>
        <v/>
      </c>
      <c r="X150" s="423"/>
      <c r="Y150" s="423"/>
      <c r="Z150" s="423"/>
      <c r="AA150" s="423"/>
      <c r="AB150" s="423"/>
      <c r="AC150" s="424"/>
      <c r="AD150" s="422" t="str">
        <f t="shared" si="1"/>
        <v/>
      </c>
      <c r="AE150" s="424"/>
      <c r="AF150" s="422" t="str">
        <f>IF($A150&lt;&gt;9999,IF($C150=2,VLOOKUP($A150,中間シート!$D$514:$T$663,16,FALSE),VLOOKUP($A150,中間シート!$D$514:$T$663,11,FALSE)),"")</f>
        <v/>
      </c>
      <c r="AG150" s="423"/>
      <c r="AH150" s="423"/>
      <c r="AI150" s="423"/>
      <c r="AJ150" s="423"/>
      <c r="AK150" s="424"/>
      <c r="AL150" s="422" t="str">
        <f t="shared" si="2"/>
        <v/>
      </c>
      <c r="AM150" s="424"/>
      <c r="AN150" s="422" t="str">
        <f>IF($A150&lt;&gt;9999,IF($C150=2,VLOOKUP($A150,中間シート!$D$514:$T$663,17,FALSE),VLOOKUP($A150,中間シート!$D$514:$T$663,12,FALSE)),"")</f>
        <v/>
      </c>
      <c r="AO150" s="423"/>
      <c r="AP150" s="423"/>
      <c r="AQ150" s="423"/>
      <c r="AR150" s="423"/>
      <c r="AS150" s="424"/>
      <c r="AT150" s="422" t="str">
        <f t="shared" si="5"/>
        <v/>
      </c>
      <c r="AU150" s="424"/>
    </row>
    <row r="151" spans="1:47" ht="16.5" customHeight="1" x14ac:dyDescent="0.15">
      <c r="A151" s="58">
        <f>中間シート!AI553</f>
        <v>9999</v>
      </c>
      <c r="B151" s="58" t="str">
        <f>中間シート!AK553</f>
        <v>事業場99</v>
      </c>
      <c r="C151" s="58" t="e">
        <f>中間シート!AJ553</f>
        <v>#N/A</v>
      </c>
      <c r="D151" s="58" t="str">
        <f>VLOOKUP($A151,中間シート!$D$514:$K$663,4)</f>
        <v/>
      </c>
      <c r="E151" s="58" t="str">
        <f>VLOOKUP($A151,中間シート!$D$514:$K$663,5)</f>
        <v/>
      </c>
      <c r="F151" s="58" t="str">
        <f>VLOOKUP($A151,中間シート!$D$514:$K$663,6)</f>
        <v/>
      </c>
      <c r="G151" s="58" t="str">
        <f>VLOOKUP($A151,中間シート!$D$514:$K$663,7)</f>
        <v/>
      </c>
      <c r="H151" s="58" t="str">
        <f>VLOOKUP($A151,中間シート!$D$514:$K$663,8)</f>
        <v/>
      </c>
      <c r="J151" s="412" t="str">
        <f t="shared" si="4"/>
        <v/>
      </c>
      <c r="K151" s="412"/>
      <c r="L151" s="412"/>
      <c r="M151" s="412"/>
      <c r="N151" s="422" t="str">
        <f>IF($A151&lt;&gt;9999,IF($C151=2,VLOOKUP($A151,中間シート!$D$514:$T$663,14,FALSE),VLOOKUP($A151,中間シート!$D$514:$T$663,9,FALSE)),"")</f>
        <v/>
      </c>
      <c r="O151" s="423"/>
      <c r="P151" s="423"/>
      <c r="Q151" s="423"/>
      <c r="R151" s="423"/>
      <c r="S151" s="423"/>
      <c r="T151" s="424"/>
      <c r="U151" s="422" t="str">
        <f t="shared" si="0"/>
        <v/>
      </c>
      <c r="V151" s="424"/>
      <c r="W151" s="422" t="str">
        <f>IF($A151&lt;&gt;9999,IF($C151=2,VLOOKUP($A151,中間シート!$D$514:$T$663,15,FALSE),VLOOKUP($A151,中間シート!$D$514:$T$663,10,FALSE)),"")</f>
        <v/>
      </c>
      <c r="X151" s="423"/>
      <c r="Y151" s="423"/>
      <c r="Z151" s="423"/>
      <c r="AA151" s="423"/>
      <c r="AB151" s="423"/>
      <c r="AC151" s="424"/>
      <c r="AD151" s="422" t="str">
        <f t="shared" si="1"/>
        <v/>
      </c>
      <c r="AE151" s="424"/>
      <c r="AF151" s="422" t="str">
        <f>IF($A151&lt;&gt;9999,IF($C151=2,VLOOKUP($A151,中間シート!$D$514:$T$663,16,FALSE),VLOOKUP($A151,中間シート!$D$514:$T$663,11,FALSE)),"")</f>
        <v/>
      </c>
      <c r="AG151" s="423"/>
      <c r="AH151" s="423"/>
      <c r="AI151" s="423"/>
      <c r="AJ151" s="423"/>
      <c r="AK151" s="424"/>
      <c r="AL151" s="422" t="str">
        <f t="shared" si="2"/>
        <v/>
      </c>
      <c r="AM151" s="424"/>
      <c r="AN151" s="422" t="str">
        <f>IF($A151&lt;&gt;9999,IF($C151=2,VLOOKUP($A151,中間シート!$D$514:$T$663,17,FALSE),VLOOKUP($A151,中間シート!$D$514:$T$663,12,FALSE)),"")</f>
        <v/>
      </c>
      <c r="AO151" s="423"/>
      <c r="AP151" s="423"/>
      <c r="AQ151" s="423"/>
      <c r="AR151" s="423"/>
      <c r="AS151" s="424"/>
      <c r="AT151" s="422" t="str">
        <f t="shared" si="5"/>
        <v/>
      </c>
      <c r="AU151" s="424"/>
    </row>
    <row r="152" spans="1:47" ht="16.5" customHeight="1" x14ac:dyDescent="0.15">
      <c r="A152" s="58">
        <f>中間シート!AI554</f>
        <v>9999</v>
      </c>
      <c r="B152" s="58" t="str">
        <f>中間シート!AK554</f>
        <v>事業場99</v>
      </c>
      <c r="C152" s="58" t="e">
        <f>中間シート!AJ554</f>
        <v>#N/A</v>
      </c>
      <c r="D152" s="58" t="str">
        <f>VLOOKUP($A152,中間シート!$D$514:$K$663,4)</f>
        <v/>
      </c>
      <c r="E152" s="58" t="str">
        <f>VLOOKUP($A152,中間シート!$D$514:$K$663,5)</f>
        <v/>
      </c>
      <c r="F152" s="58" t="str">
        <f>VLOOKUP($A152,中間シート!$D$514:$K$663,6)</f>
        <v/>
      </c>
      <c r="G152" s="58" t="str">
        <f>VLOOKUP($A152,中間シート!$D$514:$K$663,7)</f>
        <v/>
      </c>
      <c r="H152" s="58" t="str">
        <f>VLOOKUP($A152,中間シート!$D$514:$K$663,8)</f>
        <v/>
      </c>
      <c r="J152" s="412" t="str">
        <f t="shared" si="4"/>
        <v/>
      </c>
      <c r="K152" s="412"/>
      <c r="L152" s="412"/>
      <c r="M152" s="412"/>
      <c r="N152" s="422" t="str">
        <f>IF($A152&lt;&gt;9999,IF($C152=2,VLOOKUP($A152,中間シート!$D$514:$T$663,14,FALSE),VLOOKUP($A152,中間シート!$D$514:$T$663,9,FALSE)),"")</f>
        <v/>
      </c>
      <c r="O152" s="423"/>
      <c r="P152" s="423"/>
      <c r="Q152" s="423"/>
      <c r="R152" s="423"/>
      <c r="S152" s="423"/>
      <c r="T152" s="424"/>
      <c r="U152" s="422" t="str">
        <f t="shared" si="0"/>
        <v/>
      </c>
      <c r="V152" s="424"/>
      <c r="W152" s="422" t="str">
        <f>IF($A152&lt;&gt;9999,IF($C152=2,VLOOKUP($A152,中間シート!$D$514:$T$663,15,FALSE),VLOOKUP($A152,中間シート!$D$514:$T$663,10,FALSE)),"")</f>
        <v/>
      </c>
      <c r="X152" s="423"/>
      <c r="Y152" s="423"/>
      <c r="Z152" s="423"/>
      <c r="AA152" s="423"/>
      <c r="AB152" s="423"/>
      <c r="AC152" s="424"/>
      <c r="AD152" s="422" t="str">
        <f t="shared" si="1"/>
        <v/>
      </c>
      <c r="AE152" s="424"/>
      <c r="AF152" s="422" t="str">
        <f>IF($A152&lt;&gt;9999,IF($C152=2,VLOOKUP($A152,中間シート!$D$514:$T$663,16,FALSE),VLOOKUP($A152,中間シート!$D$514:$T$663,11,FALSE)),"")</f>
        <v/>
      </c>
      <c r="AG152" s="423"/>
      <c r="AH152" s="423"/>
      <c r="AI152" s="423"/>
      <c r="AJ152" s="423"/>
      <c r="AK152" s="424"/>
      <c r="AL152" s="422" t="str">
        <f t="shared" si="2"/>
        <v/>
      </c>
      <c r="AM152" s="424"/>
      <c r="AN152" s="422" t="str">
        <f>IF($A152&lt;&gt;9999,IF($C152=2,VLOOKUP($A152,中間シート!$D$514:$T$663,17,FALSE),VLOOKUP($A152,中間シート!$D$514:$T$663,12,FALSE)),"")</f>
        <v/>
      </c>
      <c r="AO152" s="423"/>
      <c r="AP152" s="423"/>
      <c r="AQ152" s="423"/>
      <c r="AR152" s="423"/>
      <c r="AS152" s="424"/>
      <c r="AT152" s="422" t="str">
        <f t="shared" si="5"/>
        <v/>
      </c>
      <c r="AU152" s="424"/>
    </row>
    <row r="153" spans="1:47" ht="16.5" customHeight="1" x14ac:dyDescent="0.15">
      <c r="A153" s="58">
        <f>中間シート!AI555</f>
        <v>9999</v>
      </c>
      <c r="B153" s="58" t="str">
        <f>中間シート!AK555</f>
        <v>事業場99</v>
      </c>
      <c r="C153" s="58" t="e">
        <f>中間シート!AJ555</f>
        <v>#N/A</v>
      </c>
      <c r="D153" s="58" t="str">
        <f>VLOOKUP($A153,中間シート!$D$514:$K$663,4)</f>
        <v/>
      </c>
      <c r="E153" s="58" t="str">
        <f>VLOOKUP($A153,中間シート!$D$514:$K$663,5)</f>
        <v/>
      </c>
      <c r="F153" s="58" t="str">
        <f>VLOOKUP($A153,中間シート!$D$514:$K$663,6)</f>
        <v/>
      </c>
      <c r="G153" s="58" t="str">
        <f>VLOOKUP($A153,中間シート!$D$514:$K$663,7)</f>
        <v/>
      </c>
      <c r="H153" s="58" t="str">
        <f>VLOOKUP($A153,中間シート!$D$514:$K$663,8)</f>
        <v/>
      </c>
      <c r="J153" s="412" t="str">
        <f t="shared" si="4"/>
        <v/>
      </c>
      <c r="K153" s="412"/>
      <c r="L153" s="412"/>
      <c r="M153" s="412"/>
      <c r="N153" s="422" t="str">
        <f>IF($A153&lt;&gt;9999,IF($C153=2,VLOOKUP($A153,中間シート!$D$514:$T$663,14,FALSE),VLOOKUP($A153,中間シート!$D$514:$T$663,9,FALSE)),"")</f>
        <v/>
      </c>
      <c r="O153" s="423"/>
      <c r="P153" s="423"/>
      <c r="Q153" s="423"/>
      <c r="R153" s="423"/>
      <c r="S153" s="423"/>
      <c r="T153" s="424"/>
      <c r="U153" s="422" t="str">
        <f t="shared" si="0"/>
        <v/>
      </c>
      <c r="V153" s="424"/>
      <c r="W153" s="422" t="str">
        <f>IF($A153&lt;&gt;9999,IF($C153=2,VLOOKUP($A153,中間シート!$D$514:$T$663,15,FALSE),VLOOKUP($A153,中間シート!$D$514:$T$663,10,FALSE)),"")</f>
        <v/>
      </c>
      <c r="X153" s="423"/>
      <c r="Y153" s="423"/>
      <c r="Z153" s="423"/>
      <c r="AA153" s="423"/>
      <c r="AB153" s="423"/>
      <c r="AC153" s="424"/>
      <c r="AD153" s="422" t="str">
        <f t="shared" si="1"/>
        <v/>
      </c>
      <c r="AE153" s="424"/>
      <c r="AF153" s="422" t="str">
        <f>IF($A153&lt;&gt;9999,IF($C153=2,VLOOKUP($A153,中間シート!$D$514:$T$663,16,FALSE),VLOOKUP($A153,中間シート!$D$514:$T$663,11,FALSE)),"")</f>
        <v/>
      </c>
      <c r="AG153" s="423"/>
      <c r="AH153" s="423"/>
      <c r="AI153" s="423"/>
      <c r="AJ153" s="423"/>
      <c r="AK153" s="424"/>
      <c r="AL153" s="422" t="str">
        <f t="shared" si="2"/>
        <v/>
      </c>
      <c r="AM153" s="424"/>
      <c r="AN153" s="422" t="str">
        <f>IF($A153&lt;&gt;9999,IF($C153=2,VLOOKUP($A153,中間シート!$D$514:$T$663,17,FALSE),VLOOKUP($A153,中間シート!$D$514:$T$663,12,FALSE)),"")</f>
        <v/>
      </c>
      <c r="AO153" s="423"/>
      <c r="AP153" s="423"/>
      <c r="AQ153" s="423"/>
      <c r="AR153" s="423"/>
      <c r="AS153" s="424"/>
      <c r="AT153" s="422" t="str">
        <f t="shared" si="5"/>
        <v/>
      </c>
      <c r="AU153" s="424"/>
    </row>
    <row r="154" spans="1:47" ht="16.5" customHeight="1" x14ac:dyDescent="0.15">
      <c r="A154" s="58">
        <f>中間シート!AI556</f>
        <v>9999</v>
      </c>
      <c r="B154" s="58" t="str">
        <f>中間シート!AK556</f>
        <v>事業場99</v>
      </c>
      <c r="C154" s="58" t="e">
        <f>中間シート!AJ556</f>
        <v>#N/A</v>
      </c>
      <c r="D154" s="58" t="str">
        <f>VLOOKUP($A154,中間シート!$D$514:$K$663,4)</f>
        <v/>
      </c>
      <c r="E154" s="58" t="str">
        <f>VLOOKUP($A154,中間シート!$D$514:$K$663,5)</f>
        <v/>
      </c>
      <c r="F154" s="58" t="str">
        <f>VLOOKUP($A154,中間シート!$D$514:$K$663,6)</f>
        <v/>
      </c>
      <c r="G154" s="58" t="str">
        <f>VLOOKUP($A154,中間シート!$D$514:$K$663,7)</f>
        <v/>
      </c>
      <c r="H154" s="58" t="str">
        <f>VLOOKUP($A154,中間シート!$D$514:$K$663,8)</f>
        <v/>
      </c>
      <c r="J154" s="412" t="str">
        <f t="shared" si="4"/>
        <v/>
      </c>
      <c r="K154" s="412"/>
      <c r="L154" s="412"/>
      <c r="M154" s="412"/>
      <c r="N154" s="422" t="str">
        <f>IF($A154&lt;&gt;9999,IF($C154=2,VLOOKUP($A154,中間シート!$D$514:$T$663,14,FALSE),VLOOKUP($A154,中間シート!$D$514:$T$663,9,FALSE)),"")</f>
        <v/>
      </c>
      <c r="O154" s="423"/>
      <c r="P154" s="423"/>
      <c r="Q154" s="423"/>
      <c r="R154" s="423"/>
      <c r="S154" s="423"/>
      <c r="T154" s="424"/>
      <c r="U154" s="422" t="str">
        <f t="shared" si="0"/>
        <v/>
      </c>
      <c r="V154" s="424"/>
      <c r="W154" s="422" t="str">
        <f>IF($A154&lt;&gt;9999,IF($C154=2,VLOOKUP($A154,中間シート!$D$514:$T$663,15,FALSE),VLOOKUP($A154,中間シート!$D$514:$T$663,10,FALSE)),"")</f>
        <v/>
      </c>
      <c r="X154" s="423"/>
      <c r="Y154" s="423"/>
      <c r="Z154" s="423"/>
      <c r="AA154" s="423"/>
      <c r="AB154" s="423"/>
      <c r="AC154" s="424"/>
      <c r="AD154" s="422" t="str">
        <f t="shared" si="1"/>
        <v/>
      </c>
      <c r="AE154" s="424"/>
      <c r="AF154" s="422" t="str">
        <f>IF($A154&lt;&gt;9999,IF($C154=2,VLOOKUP($A154,中間シート!$D$514:$T$663,16,FALSE),VLOOKUP($A154,中間シート!$D$514:$T$663,11,FALSE)),"")</f>
        <v/>
      </c>
      <c r="AG154" s="423"/>
      <c r="AH154" s="423"/>
      <c r="AI154" s="423"/>
      <c r="AJ154" s="423"/>
      <c r="AK154" s="424"/>
      <c r="AL154" s="422" t="str">
        <f t="shared" si="2"/>
        <v/>
      </c>
      <c r="AM154" s="424"/>
      <c r="AN154" s="422" t="str">
        <f>IF($A154&lt;&gt;9999,IF($C154=2,VLOOKUP($A154,中間シート!$D$514:$T$663,17,FALSE),VLOOKUP($A154,中間シート!$D$514:$T$663,12,FALSE)),"")</f>
        <v/>
      </c>
      <c r="AO154" s="423"/>
      <c r="AP154" s="423"/>
      <c r="AQ154" s="423"/>
      <c r="AR154" s="423"/>
      <c r="AS154" s="424"/>
      <c r="AT154" s="422" t="str">
        <f t="shared" si="5"/>
        <v/>
      </c>
      <c r="AU154" s="424"/>
    </row>
    <row r="155" spans="1:47" ht="16.5" customHeight="1" x14ac:dyDescent="0.15">
      <c r="A155" s="58">
        <f>中間シート!AI557</f>
        <v>9999</v>
      </c>
      <c r="B155" s="58" t="str">
        <f>中間シート!AK557</f>
        <v>事業場99</v>
      </c>
      <c r="C155" s="58" t="e">
        <f>中間シート!AJ557</f>
        <v>#N/A</v>
      </c>
      <c r="D155" s="58" t="str">
        <f>VLOOKUP($A155,中間シート!$D$514:$K$663,4)</f>
        <v/>
      </c>
      <c r="E155" s="58" t="str">
        <f>VLOOKUP($A155,中間シート!$D$514:$K$663,5)</f>
        <v/>
      </c>
      <c r="F155" s="58" t="str">
        <f>VLOOKUP($A155,中間シート!$D$514:$K$663,6)</f>
        <v/>
      </c>
      <c r="G155" s="58" t="str">
        <f>VLOOKUP($A155,中間シート!$D$514:$K$663,7)</f>
        <v/>
      </c>
      <c r="H155" s="58" t="str">
        <f>VLOOKUP($A155,中間シート!$D$514:$K$663,8)</f>
        <v/>
      </c>
      <c r="J155" s="412" t="str">
        <f t="shared" si="4"/>
        <v/>
      </c>
      <c r="K155" s="412"/>
      <c r="L155" s="412"/>
      <c r="M155" s="412"/>
      <c r="N155" s="422" t="str">
        <f>IF($A155&lt;&gt;9999,IF($C155=2,VLOOKUP($A155,中間シート!$D$514:$T$663,14,FALSE),VLOOKUP($A155,中間シート!$D$514:$T$663,9,FALSE)),"")</f>
        <v/>
      </c>
      <c r="O155" s="423"/>
      <c r="P155" s="423"/>
      <c r="Q155" s="423"/>
      <c r="R155" s="423"/>
      <c r="S155" s="423"/>
      <c r="T155" s="424"/>
      <c r="U155" s="422" t="str">
        <f t="shared" si="0"/>
        <v/>
      </c>
      <c r="V155" s="424"/>
      <c r="W155" s="422" t="str">
        <f>IF($A155&lt;&gt;9999,IF($C155=2,VLOOKUP($A155,中間シート!$D$514:$T$663,15,FALSE),VLOOKUP($A155,中間シート!$D$514:$T$663,10,FALSE)),"")</f>
        <v/>
      </c>
      <c r="X155" s="423"/>
      <c r="Y155" s="423"/>
      <c r="Z155" s="423"/>
      <c r="AA155" s="423"/>
      <c r="AB155" s="423"/>
      <c r="AC155" s="424"/>
      <c r="AD155" s="422" t="str">
        <f t="shared" si="1"/>
        <v/>
      </c>
      <c r="AE155" s="424"/>
      <c r="AF155" s="422" t="str">
        <f>IF($A155&lt;&gt;9999,IF($C155=2,VLOOKUP($A155,中間シート!$D$514:$T$663,16,FALSE),VLOOKUP($A155,中間シート!$D$514:$T$663,11,FALSE)),"")</f>
        <v/>
      </c>
      <c r="AG155" s="423"/>
      <c r="AH155" s="423"/>
      <c r="AI155" s="423"/>
      <c r="AJ155" s="423"/>
      <c r="AK155" s="424"/>
      <c r="AL155" s="422" t="str">
        <f t="shared" si="2"/>
        <v/>
      </c>
      <c r="AM155" s="424"/>
      <c r="AN155" s="422" t="str">
        <f>IF($A155&lt;&gt;9999,IF($C155=2,VLOOKUP($A155,中間シート!$D$514:$T$663,17,FALSE),VLOOKUP($A155,中間シート!$D$514:$T$663,12,FALSE)),"")</f>
        <v/>
      </c>
      <c r="AO155" s="423"/>
      <c r="AP155" s="423"/>
      <c r="AQ155" s="423"/>
      <c r="AR155" s="423"/>
      <c r="AS155" s="424"/>
      <c r="AT155" s="422" t="str">
        <f t="shared" si="5"/>
        <v/>
      </c>
      <c r="AU155" s="424"/>
    </row>
    <row r="156" spans="1:47" ht="16.5" customHeight="1" x14ac:dyDescent="0.15">
      <c r="A156" s="58">
        <f>中間シート!AI558</f>
        <v>9999</v>
      </c>
      <c r="B156" s="58" t="str">
        <f>中間シート!AK558</f>
        <v>事業場99</v>
      </c>
      <c r="C156" s="58" t="e">
        <f>中間シート!AJ558</f>
        <v>#N/A</v>
      </c>
      <c r="D156" s="58" t="str">
        <f>VLOOKUP($A156,中間シート!$D$514:$K$663,4)</f>
        <v/>
      </c>
      <c r="E156" s="58" t="str">
        <f>VLOOKUP($A156,中間シート!$D$514:$K$663,5)</f>
        <v/>
      </c>
      <c r="F156" s="58" t="str">
        <f>VLOOKUP($A156,中間シート!$D$514:$K$663,6)</f>
        <v/>
      </c>
      <c r="G156" s="58" t="str">
        <f>VLOOKUP($A156,中間シート!$D$514:$K$663,7)</f>
        <v/>
      </c>
      <c r="H156" s="58" t="str">
        <f>VLOOKUP($A156,中間シート!$D$514:$K$663,8)</f>
        <v/>
      </c>
      <c r="J156" s="412" t="str">
        <f t="shared" si="4"/>
        <v/>
      </c>
      <c r="K156" s="412"/>
      <c r="L156" s="412"/>
      <c r="M156" s="412"/>
      <c r="N156" s="422" t="str">
        <f>IF($A156&lt;&gt;9999,IF($C156=2,VLOOKUP($A156,中間シート!$D$514:$T$663,14,FALSE),VLOOKUP($A156,中間シート!$D$514:$T$663,9,FALSE)),"")</f>
        <v/>
      </c>
      <c r="O156" s="423"/>
      <c r="P156" s="423"/>
      <c r="Q156" s="423"/>
      <c r="R156" s="423"/>
      <c r="S156" s="423"/>
      <c r="T156" s="424"/>
      <c r="U156" s="422" t="str">
        <f t="shared" si="0"/>
        <v/>
      </c>
      <c r="V156" s="424"/>
      <c r="W156" s="422" t="str">
        <f>IF($A156&lt;&gt;9999,IF($C156=2,VLOOKUP($A156,中間シート!$D$514:$T$663,15,FALSE),VLOOKUP($A156,中間シート!$D$514:$T$663,10,FALSE)),"")</f>
        <v/>
      </c>
      <c r="X156" s="423"/>
      <c r="Y156" s="423"/>
      <c r="Z156" s="423"/>
      <c r="AA156" s="423"/>
      <c r="AB156" s="423"/>
      <c r="AC156" s="424"/>
      <c r="AD156" s="422" t="str">
        <f t="shared" si="1"/>
        <v/>
      </c>
      <c r="AE156" s="424"/>
      <c r="AF156" s="422" t="str">
        <f>IF($A156&lt;&gt;9999,IF($C156=2,VLOOKUP($A156,中間シート!$D$514:$T$663,16,FALSE),VLOOKUP($A156,中間シート!$D$514:$T$663,11,FALSE)),"")</f>
        <v/>
      </c>
      <c r="AG156" s="423"/>
      <c r="AH156" s="423"/>
      <c r="AI156" s="423"/>
      <c r="AJ156" s="423"/>
      <c r="AK156" s="424"/>
      <c r="AL156" s="422" t="str">
        <f t="shared" si="2"/>
        <v/>
      </c>
      <c r="AM156" s="424"/>
      <c r="AN156" s="422" t="str">
        <f>IF($A156&lt;&gt;9999,IF($C156=2,VLOOKUP($A156,中間シート!$D$514:$T$663,17,FALSE),VLOOKUP($A156,中間シート!$D$514:$T$663,12,FALSE)),"")</f>
        <v/>
      </c>
      <c r="AO156" s="423"/>
      <c r="AP156" s="423"/>
      <c r="AQ156" s="423"/>
      <c r="AR156" s="423"/>
      <c r="AS156" s="424"/>
      <c r="AT156" s="422" t="str">
        <f t="shared" si="5"/>
        <v/>
      </c>
      <c r="AU156" s="424"/>
    </row>
    <row r="157" spans="1:47" ht="16.5" customHeight="1" x14ac:dyDescent="0.15">
      <c r="A157" s="58">
        <f>中間シート!AI559</f>
        <v>9999</v>
      </c>
      <c r="B157" s="58" t="str">
        <f>中間シート!AK559</f>
        <v>事業場99</v>
      </c>
      <c r="C157" s="58" t="e">
        <f>中間シート!AJ559</f>
        <v>#N/A</v>
      </c>
      <c r="D157" s="58" t="str">
        <f>VLOOKUP($A157,中間シート!$D$514:$K$663,4)</f>
        <v/>
      </c>
      <c r="E157" s="58" t="str">
        <f>VLOOKUP($A157,中間シート!$D$514:$K$663,5)</f>
        <v/>
      </c>
      <c r="F157" s="58" t="str">
        <f>VLOOKUP($A157,中間シート!$D$514:$K$663,6)</f>
        <v/>
      </c>
      <c r="G157" s="58" t="str">
        <f>VLOOKUP($A157,中間シート!$D$514:$K$663,7)</f>
        <v/>
      </c>
      <c r="H157" s="58" t="str">
        <f>VLOOKUP($A157,中間シート!$D$514:$K$663,8)</f>
        <v/>
      </c>
      <c r="J157" s="412" t="str">
        <f t="shared" si="4"/>
        <v/>
      </c>
      <c r="K157" s="412"/>
      <c r="L157" s="412"/>
      <c r="M157" s="412"/>
      <c r="N157" s="422" t="str">
        <f>IF($A157&lt;&gt;9999,IF($C157=2,VLOOKUP($A157,中間シート!$D$514:$T$663,14,FALSE),VLOOKUP($A157,中間シート!$D$514:$T$663,9,FALSE)),"")</f>
        <v/>
      </c>
      <c r="O157" s="423"/>
      <c r="P157" s="423"/>
      <c r="Q157" s="423"/>
      <c r="R157" s="423"/>
      <c r="S157" s="423"/>
      <c r="T157" s="424"/>
      <c r="U157" s="422" t="str">
        <f t="shared" si="0"/>
        <v/>
      </c>
      <c r="V157" s="424"/>
      <c r="W157" s="422" t="str">
        <f>IF($A157&lt;&gt;9999,IF($C157=2,VLOOKUP($A157,中間シート!$D$514:$T$663,15,FALSE),VLOOKUP($A157,中間シート!$D$514:$T$663,10,FALSE)),"")</f>
        <v/>
      </c>
      <c r="X157" s="423"/>
      <c r="Y157" s="423"/>
      <c r="Z157" s="423"/>
      <c r="AA157" s="423"/>
      <c r="AB157" s="423"/>
      <c r="AC157" s="424"/>
      <c r="AD157" s="422" t="str">
        <f t="shared" si="1"/>
        <v/>
      </c>
      <c r="AE157" s="424"/>
      <c r="AF157" s="422" t="str">
        <f>IF($A157&lt;&gt;9999,IF($C157=2,VLOOKUP($A157,中間シート!$D$514:$T$663,16,FALSE),VLOOKUP($A157,中間シート!$D$514:$T$663,11,FALSE)),"")</f>
        <v/>
      </c>
      <c r="AG157" s="423"/>
      <c r="AH157" s="423"/>
      <c r="AI157" s="423"/>
      <c r="AJ157" s="423"/>
      <c r="AK157" s="424"/>
      <c r="AL157" s="422" t="str">
        <f t="shared" si="2"/>
        <v/>
      </c>
      <c r="AM157" s="424"/>
      <c r="AN157" s="422" t="str">
        <f>IF($A157&lt;&gt;9999,IF($C157=2,VLOOKUP($A157,中間シート!$D$514:$T$663,17,FALSE),VLOOKUP($A157,中間シート!$D$514:$T$663,12,FALSE)),"")</f>
        <v/>
      </c>
      <c r="AO157" s="423"/>
      <c r="AP157" s="423"/>
      <c r="AQ157" s="423"/>
      <c r="AR157" s="423"/>
      <c r="AS157" s="424"/>
      <c r="AT157" s="422" t="str">
        <f t="shared" si="5"/>
        <v/>
      </c>
      <c r="AU157" s="424"/>
    </row>
    <row r="158" spans="1:47" ht="16.5" customHeight="1" x14ac:dyDescent="0.15">
      <c r="A158" s="58">
        <f>中間シート!AI560</f>
        <v>9999</v>
      </c>
      <c r="B158" s="58" t="str">
        <f>中間シート!AK560</f>
        <v>事業場99</v>
      </c>
      <c r="C158" s="58" t="e">
        <f>中間シート!AJ560</f>
        <v>#N/A</v>
      </c>
      <c r="D158" s="58" t="str">
        <f>VLOOKUP($A158,中間シート!$D$514:$K$663,4)</f>
        <v/>
      </c>
      <c r="E158" s="58" t="str">
        <f>VLOOKUP($A158,中間シート!$D$514:$K$663,5)</f>
        <v/>
      </c>
      <c r="F158" s="58" t="str">
        <f>VLOOKUP($A158,中間シート!$D$514:$K$663,6)</f>
        <v/>
      </c>
      <c r="G158" s="58" t="str">
        <f>VLOOKUP($A158,中間シート!$D$514:$K$663,7)</f>
        <v/>
      </c>
      <c r="H158" s="58" t="str">
        <f>VLOOKUP($A158,中間シート!$D$514:$K$663,8)</f>
        <v/>
      </c>
      <c r="J158" s="412" t="str">
        <f t="shared" si="4"/>
        <v/>
      </c>
      <c r="K158" s="412"/>
      <c r="L158" s="412"/>
      <c r="M158" s="412"/>
      <c r="N158" s="422" t="str">
        <f>IF($A158&lt;&gt;9999,IF($C158=2,VLOOKUP($A158,中間シート!$D$514:$T$663,14,FALSE),VLOOKUP($A158,中間シート!$D$514:$T$663,9,FALSE)),"")</f>
        <v/>
      </c>
      <c r="O158" s="423"/>
      <c r="P158" s="423"/>
      <c r="Q158" s="423"/>
      <c r="R158" s="423"/>
      <c r="S158" s="423"/>
      <c r="T158" s="424"/>
      <c r="U158" s="422" t="str">
        <f t="shared" si="0"/>
        <v/>
      </c>
      <c r="V158" s="424"/>
      <c r="W158" s="422" t="str">
        <f>IF($A158&lt;&gt;9999,IF($C158=2,VLOOKUP($A158,中間シート!$D$514:$T$663,15,FALSE),VLOOKUP($A158,中間シート!$D$514:$T$663,10,FALSE)),"")</f>
        <v/>
      </c>
      <c r="X158" s="423"/>
      <c r="Y158" s="423"/>
      <c r="Z158" s="423"/>
      <c r="AA158" s="423"/>
      <c r="AB158" s="423"/>
      <c r="AC158" s="424"/>
      <c r="AD158" s="422" t="str">
        <f t="shared" si="1"/>
        <v/>
      </c>
      <c r="AE158" s="424"/>
      <c r="AF158" s="422" t="str">
        <f>IF($A158&lt;&gt;9999,IF($C158=2,VLOOKUP($A158,中間シート!$D$514:$T$663,16,FALSE),VLOOKUP($A158,中間シート!$D$514:$T$663,11,FALSE)),"")</f>
        <v/>
      </c>
      <c r="AG158" s="423"/>
      <c r="AH158" s="423"/>
      <c r="AI158" s="423"/>
      <c r="AJ158" s="423"/>
      <c r="AK158" s="424"/>
      <c r="AL158" s="422" t="str">
        <f t="shared" si="2"/>
        <v/>
      </c>
      <c r="AM158" s="424"/>
      <c r="AN158" s="422" t="str">
        <f>IF($A158&lt;&gt;9999,IF($C158=2,VLOOKUP($A158,中間シート!$D$514:$T$663,17,FALSE),VLOOKUP($A158,中間シート!$D$514:$T$663,12,FALSE)),"")</f>
        <v/>
      </c>
      <c r="AO158" s="423"/>
      <c r="AP158" s="423"/>
      <c r="AQ158" s="423"/>
      <c r="AR158" s="423"/>
      <c r="AS158" s="424"/>
      <c r="AT158" s="422" t="str">
        <f t="shared" si="5"/>
        <v/>
      </c>
      <c r="AU158" s="424"/>
    </row>
    <row r="159" spans="1:47" ht="16.5" customHeight="1" x14ac:dyDescent="0.15">
      <c r="A159" s="58">
        <f>中間シート!AI561</f>
        <v>9999</v>
      </c>
      <c r="B159" s="58" t="str">
        <f>中間シート!AK561</f>
        <v>事業場99</v>
      </c>
      <c r="C159" s="58" t="e">
        <f>中間シート!AJ561</f>
        <v>#N/A</v>
      </c>
      <c r="D159" s="58" t="str">
        <f>VLOOKUP($A159,中間シート!$D$514:$K$663,4)</f>
        <v/>
      </c>
      <c r="E159" s="58" t="str">
        <f>VLOOKUP($A159,中間シート!$D$514:$K$663,5)</f>
        <v/>
      </c>
      <c r="F159" s="58" t="str">
        <f>VLOOKUP($A159,中間シート!$D$514:$K$663,6)</f>
        <v/>
      </c>
      <c r="G159" s="58" t="str">
        <f>VLOOKUP($A159,中間シート!$D$514:$K$663,7)</f>
        <v/>
      </c>
      <c r="H159" s="58" t="str">
        <f>VLOOKUP($A159,中間シート!$D$514:$K$663,8)</f>
        <v/>
      </c>
      <c r="J159" s="412" t="str">
        <f t="shared" si="4"/>
        <v/>
      </c>
      <c r="K159" s="412"/>
      <c r="L159" s="412"/>
      <c r="M159" s="412"/>
      <c r="N159" s="422" t="str">
        <f>IF($A159&lt;&gt;9999,IF($C159=2,VLOOKUP($A159,中間シート!$D$514:$T$663,14,FALSE),VLOOKUP($A159,中間シート!$D$514:$T$663,9,FALSE)),"")</f>
        <v/>
      </c>
      <c r="O159" s="423"/>
      <c r="P159" s="423"/>
      <c r="Q159" s="423"/>
      <c r="R159" s="423"/>
      <c r="S159" s="423"/>
      <c r="T159" s="424"/>
      <c r="U159" s="422" t="str">
        <f t="shared" si="0"/>
        <v/>
      </c>
      <c r="V159" s="424"/>
      <c r="W159" s="422" t="str">
        <f>IF($A159&lt;&gt;9999,IF($C159=2,VLOOKUP($A159,中間シート!$D$514:$T$663,15,FALSE),VLOOKUP($A159,中間シート!$D$514:$T$663,10,FALSE)),"")</f>
        <v/>
      </c>
      <c r="X159" s="423"/>
      <c r="Y159" s="423"/>
      <c r="Z159" s="423"/>
      <c r="AA159" s="423"/>
      <c r="AB159" s="423"/>
      <c r="AC159" s="424"/>
      <c r="AD159" s="422" t="str">
        <f t="shared" si="1"/>
        <v/>
      </c>
      <c r="AE159" s="424"/>
      <c r="AF159" s="422" t="str">
        <f>IF($A159&lt;&gt;9999,IF($C159=2,VLOOKUP($A159,中間シート!$D$514:$T$663,16,FALSE),VLOOKUP($A159,中間シート!$D$514:$T$663,11,FALSE)),"")</f>
        <v/>
      </c>
      <c r="AG159" s="423"/>
      <c r="AH159" s="423"/>
      <c r="AI159" s="423"/>
      <c r="AJ159" s="423"/>
      <c r="AK159" s="424"/>
      <c r="AL159" s="422" t="str">
        <f t="shared" si="2"/>
        <v/>
      </c>
      <c r="AM159" s="424"/>
      <c r="AN159" s="422" t="str">
        <f>IF($A159&lt;&gt;9999,IF($C159=2,VLOOKUP($A159,中間シート!$D$514:$T$663,17,FALSE),VLOOKUP($A159,中間シート!$D$514:$T$663,12,FALSE)),"")</f>
        <v/>
      </c>
      <c r="AO159" s="423"/>
      <c r="AP159" s="423"/>
      <c r="AQ159" s="423"/>
      <c r="AR159" s="423"/>
      <c r="AS159" s="424"/>
      <c r="AT159" s="422" t="str">
        <f t="shared" si="5"/>
        <v/>
      </c>
      <c r="AU159" s="424"/>
    </row>
    <row r="160" spans="1:47" ht="16.5" customHeight="1" x14ac:dyDescent="0.15">
      <c r="A160" s="58">
        <f>中間シート!AI562</f>
        <v>9999</v>
      </c>
      <c r="B160" s="58" t="str">
        <f>中間シート!AK562</f>
        <v>事業場99</v>
      </c>
      <c r="C160" s="58" t="e">
        <f>中間シート!AJ562</f>
        <v>#N/A</v>
      </c>
      <c r="D160" s="58" t="str">
        <f>VLOOKUP($A160,中間シート!$D$514:$K$663,4)</f>
        <v/>
      </c>
      <c r="E160" s="58" t="str">
        <f>VLOOKUP($A160,中間シート!$D$514:$K$663,5)</f>
        <v/>
      </c>
      <c r="F160" s="58" t="str">
        <f>VLOOKUP($A160,中間シート!$D$514:$K$663,6)</f>
        <v/>
      </c>
      <c r="G160" s="58" t="str">
        <f>VLOOKUP($A160,中間シート!$D$514:$K$663,7)</f>
        <v/>
      </c>
      <c r="H160" s="58" t="str">
        <f>VLOOKUP($A160,中間シート!$D$514:$K$663,8)</f>
        <v/>
      </c>
      <c r="J160" s="412" t="str">
        <f t="shared" si="4"/>
        <v/>
      </c>
      <c r="K160" s="412"/>
      <c r="L160" s="412"/>
      <c r="M160" s="412"/>
      <c r="N160" s="422" t="str">
        <f>IF($A160&lt;&gt;9999,IF($C160=2,VLOOKUP($A160,中間シート!$D$514:$T$663,14,FALSE),VLOOKUP($A160,中間シート!$D$514:$T$663,9,FALSE)),"")</f>
        <v/>
      </c>
      <c r="O160" s="423"/>
      <c r="P160" s="423"/>
      <c r="Q160" s="423"/>
      <c r="R160" s="423"/>
      <c r="S160" s="423"/>
      <c r="T160" s="424"/>
      <c r="U160" s="422" t="str">
        <f t="shared" si="0"/>
        <v/>
      </c>
      <c r="V160" s="424"/>
      <c r="W160" s="422" t="str">
        <f>IF($A160&lt;&gt;9999,IF($C160=2,VLOOKUP($A160,中間シート!$D$514:$T$663,15,FALSE),VLOOKUP($A160,中間シート!$D$514:$T$663,10,FALSE)),"")</f>
        <v/>
      </c>
      <c r="X160" s="423"/>
      <c r="Y160" s="423"/>
      <c r="Z160" s="423"/>
      <c r="AA160" s="423"/>
      <c r="AB160" s="423"/>
      <c r="AC160" s="424"/>
      <c r="AD160" s="422" t="str">
        <f t="shared" si="1"/>
        <v/>
      </c>
      <c r="AE160" s="424"/>
      <c r="AF160" s="422" t="str">
        <f>IF($A160&lt;&gt;9999,IF($C160=2,VLOOKUP($A160,中間シート!$D$514:$T$663,16,FALSE),VLOOKUP($A160,中間シート!$D$514:$T$663,11,FALSE)),"")</f>
        <v/>
      </c>
      <c r="AG160" s="423"/>
      <c r="AH160" s="423"/>
      <c r="AI160" s="423"/>
      <c r="AJ160" s="423"/>
      <c r="AK160" s="424"/>
      <c r="AL160" s="422" t="str">
        <f t="shared" si="2"/>
        <v/>
      </c>
      <c r="AM160" s="424"/>
      <c r="AN160" s="422" t="str">
        <f>IF($A160&lt;&gt;9999,IF($C160=2,VLOOKUP($A160,中間シート!$D$514:$T$663,17,FALSE),VLOOKUP($A160,中間シート!$D$514:$T$663,12,FALSE)),"")</f>
        <v/>
      </c>
      <c r="AO160" s="423"/>
      <c r="AP160" s="423"/>
      <c r="AQ160" s="423"/>
      <c r="AR160" s="423"/>
      <c r="AS160" s="424"/>
      <c r="AT160" s="422" t="str">
        <f t="shared" si="5"/>
        <v/>
      </c>
      <c r="AU160" s="424"/>
    </row>
    <row r="161" spans="1:47" ht="16.5" customHeight="1" x14ac:dyDescent="0.15">
      <c r="A161" s="58">
        <f>中間シート!AI563</f>
        <v>9999</v>
      </c>
      <c r="B161" s="58" t="str">
        <f>中間シート!AK563</f>
        <v>事業場99</v>
      </c>
      <c r="C161" s="58" t="e">
        <f>中間シート!AJ563</f>
        <v>#N/A</v>
      </c>
      <c r="D161" s="58" t="str">
        <f>VLOOKUP($A161,中間シート!$D$514:$K$663,4)</f>
        <v/>
      </c>
      <c r="E161" s="58" t="str">
        <f>VLOOKUP($A161,中間シート!$D$514:$K$663,5)</f>
        <v/>
      </c>
      <c r="F161" s="58" t="str">
        <f>VLOOKUP($A161,中間シート!$D$514:$K$663,6)</f>
        <v/>
      </c>
      <c r="G161" s="58" t="str">
        <f>VLOOKUP($A161,中間シート!$D$514:$K$663,7)</f>
        <v/>
      </c>
      <c r="H161" s="58" t="str">
        <f>VLOOKUP($A161,中間シート!$D$514:$K$663,8)</f>
        <v/>
      </c>
      <c r="J161" s="412" t="str">
        <f t="shared" si="4"/>
        <v/>
      </c>
      <c r="K161" s="412"/>
      <c r="L161" s="412"/>
      <c r="M161" s="412"/>
      <c r="N161" s="422" t="str">
        <f>IF($A161&lt;&gt;9999,IF($C161=2,VLOOKUP($A161,中間シート!$D$514:$T$663,14,FALSE),VLOOKUP($A161,中間シート!$D$514:$T$663,9,FALSE)),"")</f>
        <v/>
      </c>
      <c r="O161" s="423"/>
      <c r="P161" s="423"/>
      <c r="Q161" s="423"/>
      <c r="R161" s="423"/>
      <c r="S161" s="423"/>
      <c r="T161" s="424"/>
      <c r="U161" s="422" t="str">
        <f t="shared" si="0"/>
        <v/>
      </c>
      <c r="V161" s="424"/>
      <c r="W161" s="422" t="str">
        <f>IF($A161&lt;&gt;9999,IF($C161=2,VLOOKUP($A161,中間シート!$D$514:$T$663,15,FALSE),VLOOKUP($A161,中間シート!$D$514:$T$663,10,FALSE)),"")</f>
        <v/>
      </c>
      <c r="X161" s="423"/>
      <c r="Y161" s="423"/>
      <c r="Z161" s="423"/>
      <c r="AA161" s="423"/>
      <c r="AB161" s="423"/>
      <c r="AC161" s="424"/>
      <c r="AD161" s="422" t="str">
        <f t="shared" si="1"/>
        <v/>
      </c>
      <c r="AE161" s="424"/>
      <c r="AF161" s="422" t="str">
        <f>IF($A161&lt;&gt;9999,IF($C161=2,VLOOKUP($A161,中間シート!$D$514:$T$663,16,FALSE),VLOOKUP($A161,中間シート!$D$514:$T$663,11,FALSE)),"")</f>
        <v/>
      </c>
      <c r="AG161" s="423"/>
      <c r="AH161" s="423"/>
      <c r="AI161" s="423"/>
      <c r="AJ161" s="423"/>
      <c r="AK161" s="424"/>
      <c r="AL161" s="422" t="str">
        <f t="shared" si="2"/>
        <v/>
      </c>
      <c r="AM161" s="424"/>
      <c r="AN161" s="422" t="str">
        <f>IF($A161&lt;&gt;9999,IF($C161=2,VLOOKUP($A161,中間シート!$D$514:$T$663,17,FALSE),VLOOKUP($A161,中間シート!$D$514:$T$663,12,FALSE)),"")</f>
        <v/>
      </c>
      <c r="AO161" s="423"/>
      <c r="AP161" s="423"/>
      <c r="AQ161" s="423"/>
      <c r="AR161" s="423"/>
      <c r="AS161" s="424"/>
      <c r="AT161" s="422" t="str">
        <f t="shared" si="5"/>
        <v/>
      </c>
      <c r="AU161" s="424"/>
    </row>
    <row r="162" spans="1:47" ht="16.5" customHeight="1" x14ac:dyDescent="0.15">
      <c r="A162" s="58">
        <f>中間シート!AI564</f>
        <v>9999</v>
      </c>
      <c r="B162" s="58" t="str">
        <f>中間シート!AK564</f>
        <v>事業場99</v>
      </c>
      <c r="C162" s="58" t="e">
        <f>中間シート!AJ564</f>
        <v>#N/A</v>
      </c>
      <c r="D162" s="58" t="str">
        <f>VLOOKUP($A162,中間シート!$D$514:$K$663,4)</f>
        <v/>
      </c>
      <c r="E162" s="58" t="str">
        <f>VLOOKUP($A162,中間シート!$D$514:$K$663,5)</f>
        <v/>
      </c>
      <c r="F162" s="58" t="str">
        <f>VLOOKUP($A162,中間シート!$D$514:$K$663,6)</f>
        <v/>
      </c>
      <c r="G162" s="58" t="str">
        <f>VLOOKUP($A162,中間シート!$D$514:$K$663,7)</f>
        <v/>
      </c>
      <c r="H162" s="58" t="str">
        <f>VLOOKUP($A162,中間シート!$D$514:$K$663,8)</f>
        <v/>
      </c>
      <c r="J162" s="412" t="str">
        <f t="shared" si="4"/>
        <v/>
      </c>
      <c r="K162" s="412"/>
      <c r="L162" s="412"/>
      <c r="M162" s="412"/>
      <c r="N162" s="422" t="str">
        <f>IF($A162&lt;&gt;9999,IF($C162=2,VLOOKUP($A162,中間シート!$D$514:$T$663,14,FALSE),VLOOKUP($A162,中間シート!$D$514:$T$663,9,FALSE)),"")</f>
        <v/>
      </c>
      <c r="O162" s="423"/>
      <c r="P162" s="423"/>
      <c r="Q162" s="423"/>
      <c r="R162" s="423"/>
      <c r="S162" s="423"/>
      <c r="T162" s="424"/>
      <c r="U162" s="422" t="str">
        <f t="shared" si="0"/>
        <v/>
      </c>
      <c r="V162" s="424"/>
      <c r="W162" s="422" t="str">
        <f>IF($A162&lt;&gt;9999,IF($C162=2,VLOOKUP($A162,中間シート!$D$514:$T$663,15,FALSE),VLOOKUP($A162,中間シート!$D$514:$T$663,10,FALSE)),"")</f>
        <v/>
      </c>
      <c r="X162" s="423"/>
      <c r="Y162" s="423"/>
      <c r="Z162" s="423"/>
      <c r="AA162" s="423"/>
      <c r="AB162" s="423"/>
      <c r="AC162" s="424"/>
      <c r="AD162" s="422" t="str">
        <f t="shared" si="1"/>
        <v/>
      </c>
      <c r="AE162" s="424"/>
      <c r="AF162" s="422" t="str">
        <f>IF($A162&lt;&gt;9999,IF($C162=2,VLOOKUP($A162,中間シート!$D$514:$T$663,16,FALSE),VLOOKUP($A162,中間シート!$D$514:$T$663,11,FALSE)),"")</f>
        <v/>
      </c>
      <c r="AG162" s="423"/>
      <c r="AH162" s="423"/>
      <c r="AI162" s="423"/>
      <c r="AJ162" s="423"/>
      <c r="AK162" s="424"/>
      <c r="AL162" s="422" t="str">
        <f t="shared" si="2"/>
        <v/>
      </c>
      <c r="AM162" s="424"/>
      <c r="AN162" s="422" t="str">
        <f>IF($A162&lt;&gt;9999,IF($C162=2,VLOOKUP($A162,中間シート!$D$514:$T$663,17,FALSE),VLOOKUP($A162,中間シート!$D$514:$T$663,12,FALSE)),"")</f>
        <v/>
      </c>
      <c r="AO162" s="423"/>
      <c r="AP162" s="423"/>
      <c r="AQ162" s="423"/>
      <c r="AR162" s="423"/>
      <c r="AS162" s="424"/>
      <c r="AT162" s="422" t="str">
        <f t="shared" si="5"/>
        <v/>
      </c>
      <c r="AU162" s="424"/>
    </row>
    <row r="163" spans="1:47" ht="16.5" customHeight="1" x14ac:dyDescent="0.15">
      <c r="A163" s="58">
        <f>中間シート!AI565</f>
        <v>9999</v>
      </c>
      <c r="B163" s="58" t="str">
        <f>中間シート!AK565</f>
        <v>事業場99</v>
      </c>
      <c r="C163" s="58" t="e">
        <f>中間シート!AJ565</f>
        <v>#N/A</v>
      </c>
      <c r="D163" s="58" t="str">
        <f>VLOOKUP($A163,中間シート!$D$514:$K$663,4)</f>
        <v/>
      </c>
      <c r="E163" s="58" t="str">
        <f>VLOOKUP($A163,中間シート!$D$514:$K$663,5)</f>
        <v/>
      </c>
      <c r="F163" s="58" t="str">
        <f>VLOOKUP($A163,中間シート!$D$514:$K$663,6)</f>
        <v/>
      </c>
      <c r="G163" s="58" t="str">
        <f>VLOOKUP($A163,中間シート!$D$514:$K$663,7)</f>
        <v/>
      </c>
      <c r="H163" s="58" t="str">
        <f>VLOOKUP($A163,中間シート!$D$514:$K$663,8)</f>
        <v/>
      </c>
      <c r="J163" s="412" t="str">
        <f t="shared" si="4"/>
        <v/>
      </c>
      <c r="K163" s="412"/>
      <c r="L163" s="412"/>
      <c r="M163" s="412"/>
      <c r="N163" s="422" t="str">
        <f>IF($A163&lt;&gt;9999,IF($C163=2,VLOOKUP($A163,中間シート!$D$514:$T$663,14,FALSE),VLOOKUP($A163,中間シート!$D$514:$T$663,9,FALSE)),"")</f>
        <v/>
      </c>
      <c r="O163" s="423"/>
      <c r="P163" s="423"/>
      <c r="Q163" s="423"/>
      <c r="R163" s="423"/>
      <c r="S163" s="423"/>
      <c r="T163" s="424"/>
      <c r="U163" s="422" t="str">
        <f t="shared" si="0"/>
        <v/>
      </c>
      <c r="V163" s="424"/>
      <c r="W163" s="422" t="str">
        <f>IF($A163&lt;&gt;9999,IF($C163=2,VLOOKUP($A163,中間シート!$D$514:$T$663,15,FALSE),VLOOKUP($A163,中間シート!$D$514:$T$663,10,FALSE)),"")</f>
        <v/>
      </c>
      <c r="X163" s="423"/>
      <c r="Y163" s="423"/>
      <c r="Z163" s="423"/>
      <c r="AA163" s="423"/>
      <c r="AB163" s="423"/>
      <c r="AC163" s="424"/>
      <c r="AD163" s="422" t="str">
        <f t="shared" si="1"/>
        <v/>
      </c>
      <c r="AE163" s="424"/>
      <c r="AF163" s="422" t="str">
        <f>IF($A163&lt;&gt;9999,IF($C163=2,VLOOKUP($A163,中間シート!$D$514:$T$663,16,FALSE),VLOOKUP($A163,中間シート!$D$514:$T$663,11,FALSE)),"")</f>
        <v/>
      </c>
      <c r="AG163" s="423"/>
      <c r="AH163" s="423"/>
      <c r="AI163" s="423"/>
      <c r="AJ163" s="423"/>
      <c r="AK163" s="424"/>
      <c r="AL163" s="422" t="str">
        <f t="shared" si="2"/>
        <v/>
      </c>
      <c r="AM163" s="424"/>
      <c r="AN163" s="422" t="str">
        <f>IF($A163&lt;&gt;9999,IF($C163=2,VLOOKUP($A163,中間シート!$D$514:$T$663,17,FALSE),VLOOKUP($A163,中間シート!$D$514:$T$663,12,FALSE)),"")</f>
        <v/>
      </c>
      <c r="AO163" s="423"/>
      <c r="AP163" s="423"/>
      <c r="AQ163" s="423"/>
      <c r="AR163" s="423"/>
      <c r="AS163" s="424"/>
      <c r="AT163" s="422" t="str">
        <f t="shared" si="5"/>
        <v/>
      </c>
      <c r="AU163" s="424"/>
    </row>
    <row r="164" spans="1:47" ht="16.5" customHeight="1" x14ac:dyDescent="0.15">
      <c r="A164" s="58">
        <f>中間シート!AI566</f>
        <v>9999</v>
      </c>
      <c r="B164" s="58" t="str">
        <f>中間シート!AK566</f>
        <v>事業場99</v>
      </c>
      <c r="C164" s="58" t="e">
        <f>中間シート!AJ566</f>
        <v>#N/A</v>
      </c>
      <c r="D164" s="58" t="str">
        <f>VLOOKUP($A164,中間シート!$D$514:$K$663,4)</f>
        <v/>
      </c>
      <c r="E164" s="58" t="str">
        <f>VLOOKUP($A164,中間シート!$D$514:$K$663,5)</f>
        <v/>
      </c>
      <c r="F164" s="58" t="str">
        <f>VLOOKUP($A164,中間シート!$D$514:$K$663,6)</f>
        <v/>
      </c>
      <c r="G164" s="58" t="str">
        <f>VLOOKUP($A164,中間シート!$D$514:$K$663,7)</f>
        <v/>
      </c>
      <c r="H164" s="58" t="str">
        <f>VLOOKUP($A164,中間シート!$D$514:$K$663,8)</f>
        <v/>
      </c>
      <c r="J164" s="412" t="str">
        <f t="shared" si="4"/>
        <v/>
      </c>
      <c r="K164" s="412"/>
      <c r="L164" s="412"/>
      <c r="M164" s="412"/>
      <c r="N164" s="422" t="str">
        <f>IF($A164&lt;&gt;9999,IF($C164=2,VLOOKUP($A164,中間シート!$D$514:$T$663,14,FALSE),VLOOKUP($A164,中間シート!$D$514:$T$663,9,FALSE)),"")</f>
        <v/>
      </c>
      <c r="O164" s="423"/>
      <c r="P164" s="423"/>
      <c r="Q164" s="423"/>
      <c r="R164" s="423"/>
      <c r="S164" s="423"/>
      <c r="T164" s="424"/>
      <c r="U164" s="422" t="str">
        <f t="shared" si="0"/>
        <v/>
      </c>
      <c r="V164" s="424"/>
      <c r="W164" s="422" t="str">
        <f>IF($A164&lt;&gt;9999,IF($C164=2,VLOOKUP($A164,中間シート!$D$514:$T$663,15,FALSE),VLOOKUP($A164,中間シート!$D$514:$T$663,10,FALSE)),"")</f>
        <v/>
      </c>
      <c r="X164" s="423"/>
      <c r="Y164" s="423"/>
      <c r="Z164" s="423"/>
      <c r="AA164" s="423"/>
      <c r="AB164" s="423"/>
      <c r="AC164" s="424"/>
      <c r="AD164" s="422" t="str">
        <f t="shared" si="1"/>
        <v/>
      </c>
      <c r="AE164" s="424"/>
      <c r="AF164" s="422" t="str">
        <f>IF($A164&lt;&gt;9999,IF($C164=2,VLOOKUP($A164,中間シート!$D$514:$T$663,16,FALSE),VLOOKUP($A164,中間シート!$D$514:$T$663,11,FALSE)),"")</f>
        <v/>
      </c>
      <c r="AG164" s="423"/>
      <c r="AH164" s="423"/>
      <c r="AI164" s="423"/>
      <c r="AJ164" s="423"/>
      <c r="AK164" s="424"/>
      <c r="AL164" s="422" t="str">
        <f t="shared" si="2"/>
        <v/>
      </c>
      <c r="AM164" s="424"/>
      <c r="AN164" s="422" t="str">
        <f>IF($A164&lt;&gt;9999,IF($C164=2,VLOOKUP($A164,中間シート!$D$514:$T$663,17,FALSE),VLOOKUP($A164,中間シート!$D$514:$T$663,12,FALSE)),"")</f>
        <v/>
      </c>
      <c r="AO164" s="423"/>
      <c r="AP164" s="423"/>
      <c r="AQ164" s="423"/>
      <c r="AR164" s="423"/>
      <c r="AS164" s="424"/>
      <c r="AT164" s="422" t="str">
        <f t="shared" si="5"/>
        <v/>
      </c>
      <c r="AU164" s="424"/>
    </row>
    <row r="165" spans="1:47" ht="16.5" customHeight="1" x14ac:dyDescent="0.15">
      <c r="A165" s="58">
        <f>中間シート!AI567</f>
        <v>9999</v>
      </c>
      <c r="B165" s="58" t="str">
        <f>中間シート!AK567</f>
        <v>事業場99</v>
      </c>
      <c r="C165" s="58" t="e">
        <f>中間シート!AJ567</f>
        <v>#N/A</v>
      </c>
      <c r="D165" s="58" t="str">
        <f>VLOOKUP($A165,中間シート!$D$514:$K$663,4)</f>
        <v/>
      </c>
      <c r="E165" s="58" t="str">
        <f>VLOOKUP($A165,中間シート!$D$514:$K$663,5)</f>
        <v/>
      </c>
      <c r="F165" s="58" t="str">
        <f>VLOOKUP($A165,中間シート!$D$514:$K$663,6)</f>
        <v/>
      </c>
      <c r="G165" s="58" t="str">
        <f>VLOOKUP($A165,中間シート!$D$514:$K$663,7)</f>
        <v/>
      </c>
      <c r="H165" s="58" t="str">
        <f>VLOOKUP($A165,中間シート!$D$514:$K$663,8)</f>
        <v/>
      </c>
      <c r="J165" s="412" t="str">
        <f t="shared" si="4"/>
        <v/>
      </c>
      <c r="K165" s="412"/>
      <c r="L165" s="412"/>
      <c r="M165" s="412"/>
      <c r="N165" s="422" t="str">
        <f>IF($A165&lt;&gt;9999,IF($C165=2,VLOOKUP($A165,中間シート!$D$514:$T$663,14,FALSE),VLOOKUP($A165,中間シート!$D$514:$T$663,9,FALSE)),"")</f>
        <v/>
      </c>
      <c r="O165" s="423"/>
      <c r="P165" s="423"/>
      <c r="Q165" s="423"/>
      <c r="R165" s="423"/>
      <c r="S165" s="423"/>
      <c r="T165" s="424"/>
      <c r="U165" s="422" t="str">
        <f t="shared" si="0"/>
        <v/>
      </c>
      <c r="V165" s="424"/>
      <c r="W165" s="422" t="str">
        <f>IF($A165&lt;&gt;9999,IF($C165=2,VLOOKUP($A165,中間シート!$D$514:$T$663,15,FALSE),VLOOKUP($A165,中間シート!$D$514:$T$663,10,FALSE)),"")</f>
        <v/>
      </c>
      <c r="X165" s="423"/>
      <c r="Y165" s="423"/>
      <c r="Z165" s="423"/>
      <c r="AA165" s="423"/>
      <c r="AB165" s="423"/>
      <c r="AC165" s="424"/>
      <c r="AD165" s="422" t="str">
        <f t="shared" si="1"/>
        <v/>
      </c>
      <c r="AE165" s="424"/>
      <c r="AF165" s="422" t="str">
        <f>IF($A165&lt;&gt;9999,IF($C165=2,VLOOKUP($A165,中間シート!$D$514:$T$663,16,FALSE),VLOOKUP($A165,中間シート!$D$514:$T$663,11,FALSE)),"")</f>
        <v/>
      </c>
      <c r="AG165" s="423"/>
      <c r="AH165" s="423"/>
      <c r="AI165" s="423"/>
      <c r="AJ165" s="423"/>
      <c r="AK165" s="424"/>
      <c r="AL165" s="422" t="str">
        <f t="shared" si="2"/>
        <v/>
      </c>
      <c r="AM165" s="424"/>
      <c r="AN165" s="422" t="str">
        <f>IF($A165&lt;&gt;9999,IF($C165=2,VLOOKUP($A165,中間シート!$D$514:$T$663,17,FALSE),VLOOKUP($A165,中間シート!$D$514:$T$663,12,FALSE)),"")</f>
        <v/>
      </c>
      <c r="AO165" s="423"/>
      <c r="AP165" s="423"/>
      <c r="AQ165" s="423"/>
      <c r="AR165" s="423"/>
      <c r="AS165" s="424"/>
      <c r="AT165" s="422" t="str">
        <f t="shared" si="5"/>
        <v/>
      </c>
      <c r="AU165" s="424"/>
    </row>
    <row r="166" spans="1:47" ht="16.5" customHeight="1" x14ac:dyDescent="0.15">
      <c r="A166" s="58">
        <f>中間シート!AI568</f>
        <v>9999</v>
      </c>
      <c r="B166" s="58" t="str">
        <f>中間シート!AK568</f>
        <v>事業場99</v>
      </c>
      <c r="C166" s="58" t="e">
        <f>中間シート!AJ568</f>
        <v>#N/A</v>
      </c>
      <c r="D166" s="58" t="str">
        <f>VLOOKUP($A166,中間シート!$D$514:$K$663,4)</f>
        <v/>
      </c>
      <c r="E166" s="58" t="str">
        <f>VLOOKUP($A166,中間シート!$D$514:$K$663,5)</f>
        <v/>
      </c>
      <c r="F166" s="58" t="str">
        <f>VLOOKUP($A166,中間シート!$D$514:$K$663,6)</f>
        <v/>
      </c>
      <c r="G166" s="58" t="str">
        <f>VLOOKUP($A166,中間シート!$D$514:$K$663,7)</f>
        <v/>
      </c>
      <c r="H166" s="58" t="str">
        <f>VLOOKUP($A166,中間シート!$D$514:$K$663,8)</f>
        <v/>
      </c>
      <c r="J166" s="412" t="str">
        <f t="shared" si="4"/>
        <v/>
      </c>
      <c r="K166" s="412"/>
      <c r="L166" s="412"/>
      <c r="M166" s="412"/>
      <c r="N166" s="422" t="str">
        <f>IF($A166&lt;&gt;9999,IF($C166=2,VLOOKUP($A166,中間シート!$D$514:$T$663,14,FALSE),VLOOKUP($A166,中間シート!$D$514:$T$663,9,FALSE)),"")</f>
        <v/>
      </c>
      <c r="O166" s="423"/>
      <c r="P166" s="423"/>
      <c r="Q166" s="423"/>
      <c r="R166" s="423"/>
      <c r="S166" s="423"/>
      <c r="T166" s="424"/>
      <c r="U166" s="422" t="str">
        <f t="shared" si="0"/>
        <v/>
      </c>
      <c r="V166" s="424"/>
      <c r="W166" s="422" t="str">
        <f>IF($A166&lt;&gt;9999,IF($C166=2,VLOOKUP($A166,中間シート!$D$514:$T$663,15,FALSE),VLOOKUP($A166,中間シート!$D$514:$T$663,10,FALSE)),"")</f>
        <v/>
      </c>
      <c r="X166" s="423"/>
      <c r="Y166" s="423"/>
      <c r="Z166" s="423"/>
      <c r="AA166" s="423"/>
      <c r="AB166" s="423"/>
      <c r="AC166" s="424"/>
      <c r="AD166" s="422" t="str">
        <f t="shared" si="1"/>
        <v/>
      </c>
      <c r="AE166" s="424"/>
      <c r="AF166" s="422" t="str">
        <f>IF($A166&lt;&gt;9999,IF($C166=2,VLOOKUP($A166,中間シート!$D$514:$T$663,16,FALSE),VLOOKUP($A166,中間シート!$D$514:$T$663,11,FALSE)),"")</f>
        <v/>
      </c>
      <c r="AG166" s="423"/>
      <c r="AH166" s="423"/>
      <c r="AI166" s="423"/>
      <c r="AJ166" s="423"/>
      <c r="AK166" s="424"/>
      <c r="AL166" s="422" t="str">
        <f t="shared" si="2"/>
        <v/>
      </c>
      <c r="AM166" s="424"/>
      <c r="AN166" s="422" t="str">
        <f>IF($A166&lt;&gt;9999,IF($C166=2,VLOOKUP($A166,中間シート!$D$514:$T$663,17,FALSE),VLOOKUP($A166,中間シート!$D$514:$T$663,12,FALSE)),"")</f>
        <v/>
      </c>
      <c r="AO166" s="423"/>
      <c r="AP166" s="423"/>
      <c r="AQ166" s="423"/>
      <c r="AR166" s="423"/>
      <c r="AS166" s="424"/>
      <c r="AT166" s="422" t="str">
        <f t="shared" si="5"/>
        <v/>
      </c>
      <c r="AU166" s="424"/>
    </row>
    <row r="167" spans="1:47" ht="16.5" customHeight="1" x14ac:dyDescent="0.15">
      <c r="A167" s="58">
        <f>中間シート!AI569</f>
        <v>9999</v>
      </c>
      <c r="B167" s="58" t="str">
        <f>中間シート!AK569</f>
        <v>事業場99</v>
      </c>
      <c r="C167" s="58" t="e">
        <f>中間シート!AJ569</f>
        <v>#N/A</v>
      </c>
      <c r="D167" s="58" t="str">
        <f>VLOOKUP($A167,中間シート!$D$514:$K$663,4)</f>
        <v/>
      </c>
      <c r="E167" s="58" t="str">
        <f>VLOOKUP($A167,中間シート!$D$514:$K$663,5)</f>
        <v/>
      </c>
      <c r="F167" s="58" t="str">
        <f>VLOOKUP($A167,中間シート!$D$514:$K$663,6)</f>
        <v/>
      </c>
      <c r="G167" s="58" t="str">
        <f>VLOOKUP($A167,中間シート!$D$514:$K$663,7)</f>
        <v/>
      </c>
      <c r="H167" s="58" t="str">
        <f>VLOOKUP($A167,中間シート!$D$514:$K$663,8)</f>
        <v/>
      </c>
      <c r="J167" s="412" t="str">
        <f t="shared" si="4"/>
        <v/>
      </c>
      <c r="K167" s="412"/>
      <c r="L167" s="412"/>
      <c r="M167" s="412"/>
      <c r="N167" s="422" t="str">
        <f>IF($A167&lt;&gt;9999,IF($C167=2,VLOOKUP($A167,中間シート!$D$514:$T$663,14,FALSE),VLOOKUP($A167,中間シート!$D$514:$T$663,9,FALSE)),"")</f>
        <v/>
      </c>
      <c r="O167" s="423"/>
      <c r="P167" s="423"/>
      <c r="Q167" s="423"/>
      <c r="R167" s="423"/>
      <c r="S167" s="423"/>
      <c r="T167" s="424"/>
      <c r="U167" s="422" t="str">
        <f t="shared" si="0"/>
        <v/>
      </c>
      <c r="V167" s="424"/>
      <c r="W167" s="422" t="str">
        <f>IF($A167&lt;&gt;9999,IF($C167=2,VLOOKUP($A167,中間シート!$D$514:$T$663,15,FALSE),VLOOKUP($A167,中間シート!$D$514:$T$663,10,FALSE)),"")</f>
        <v/>
      </c>
      <c r="X167" s="423"/>
      <c r="Y167" s="423"/>
      <c r="Z167" s="423"/>
      <c r="AA167" s="423"/>
      <c r="AB167" s="423"/>
      <c r="AC167" s="424"/>
      <c r="AD167" s="422" t="str">
        <f t="shared" si="1"/>
        <v/>
      </c>
      <c r="AE167" s="424"/>
      <c r="AF167" s="422" t="str">
        <f>IF($A167&lt;&gt;9999,IF($C167=2,VLOOKUP($A167,中間シート!$D$514:$T$663,16,FALSE),VLOOKUP($A167,中間シート!$D$514:$T$663,11,FALSE)),"")</f>
        <v/>
      </c>
      <c r="AG167" s="423"/>
      <c r="AH167" s="423"/>
      <c r="AI167" s="423"/>
      <c r="AJ167" s="423"/>
      <c r="AK167" s="424"/>
      <c r="AL167" s="422" t="str">
        <f t="shared" si="2"/>
        <v/>
      </c>
      <c r="AM167" s="424"/>
      <c r="AN167" s="422" t="str">
        <f>IF($A167&lt;&gt;9999,IF($C167=2,VLOOKUP($A167,中間シート!$D$514:$T$663,17,FALSE),VLOOKUP($A167,中間シート!$D$514:$T$663,12,FALSE)),"")</f>
        <v/>
      </c>
      <c r="AO167" s="423"/>
      <c r="AP167" s="423"/>
      <c r="AQ167" s="423"/>
      <c r="AR167" s="423"/>
      <c r="AS167" s="424"/>
      <c r="AT167" s="422" t="str">
        <f t="shared" si="5"/>
        <v/>
      </c>
      <c r="AU167" s="424"/>
    </row>
    <row r="168" spans="1:47" ht="16.5" customHeight="1" x14ac:dyDescent="0.15">
      <c r="A168" s="58">
        <f>中間シート!AI570</f>
        <v>9999</v>
      </c>
      <c r="B168" s="58" t="str">
        <f>中間シート!AK570</f>
        <v>事業場99</v>
      </c>
      <c r="C168" s="58" t="e">
        <f>中間シート!AJ570</f>
        <v>#N/A</v>
      </c>
      <c r="D168" s="58" t="str">
        <f>VLOOKUP($A168,中間シート!$D$514:$K$663,4)</f>
        <v/>
      </c>
      <c r="E168" s="58" t="str">
        <f>VLOOKUP($A168,中間シート!$D$514:$K$663,5)</f>
        <v/>
      </c>
      <c r="F168" s="58" t="str">
        <f>VLOOKUP($A168,中間シート!$D$514:$K$663,6)</f>
        <v/>
      </c>
      <c r="G168" s="58" t="str">
        <f>VLOOKUP($A168,中間シート!$D$514:$K$663,7)</f>
        <v/>
      </c>
      <c r="H168" s="58" t="str">
        <f>VLOOKUP($A168,中間シート!$D$514:$K$663,8)</f>
        <v/>
      </c>
      <c r="J168" s="412" t="str">
        <f t="shared" si="4"/>
        <v/>
      </c>
      <c r="K168" s="412"/>
      <c r="L168" s="412"/>
      <c r="M168" s="412"/>
      <c r="N168" s="422" t="str">
        <f>IF($A168&lt;&gt;9999,IF($C168=2,VLOOKUP($A168,中間シート!$D$514:$T$663,14,FALSE),VLOOKUP($A168,中間シート!$D$514:$T$663,9,FALSE)),"")</f>
        <v/>
      </c>
      <c r="O168" s="423"/>
      <c r="P168" s="423"/>
      <c r="Q168" s="423"/>
      <c r="R168" s="423"/>
      <c r="S168" s="423"/>
      <c r="T168" s="424"/>
      <c r="U168" s="422" t="str">
        <f t="shared" si="0"/>
        <v/>
      </c>
      <c r="V168" s="424"/>
      <c r="W168" s="422" t="str">
        <f>IF($A168&lt;&gt;9999,IF($C168=2,VLOOKUP($A168,中間シート!$D$514:$T$663,15,FALSE),VLOOKUP($A168,中間シート!$D$514:$T$663,10,FALSE)),"")</f>
        <v/>
      </c>
      <c r="X168" s="423"/>
      <c r="Y168" s="423"/>
      <c r="Z168" s="423"/>
      <c r="AA168" s="423"/>
      <c r="AB168" s="423"/>
      <c r="AC168" s="424"/>
      <c r="AD168" s="422" t="str">
        <f t="shared" si="1"/>
        <v/>
      </c>
      <c r="AE168" s="424"/>
      <c r="AF168" s="422" t="str">
        <f>IF($A168&lt;&gt;9999,IF($C168=2,VLOOKUP($A168,中間シート!$D$514:$T$663,16,FALSE),VLOOKUP($A168,中間シート!$D$514:$T$663,11,FALSE)),"")</f>
        <v/>
      </c>
      <c r="AG168" s="423"/>
      <c r="AH168" s="423"/>
      <c r="AI168" s="423"/>
      <c r="AJ168" s="423"/>
      <c r="AK168" s="424"/>
      <c r="AL168" s="422" t="str">
        <f t="shared" si="2"/>
        <v/>
      </c>
      <c r="AM168" s="424"/>
      <c r="AN168" s="422" t="str">
        <f>IF($A168&lt;&gt;9999,IF($C168=2,VLOOKUP($A168,中間シート!$D$514:$T$663,17,FALSE),VLOOKUP($A168,中間シート!$D$514:$T$663,12,FALSE)),"")</f>
        <v/>
      </c>
      <c r="AO168" s="423"/>
      <c r="AP168" s="423"/>
      <c r="AQ168" s="423"/>
      <c r="AR168" s="423"/>
      <c r="AS168" s="424"/>
      <c r="AT168" s="422" t="str">
        <f t="shared" si="5"/>
        <v/>
      </c>
      <c r="AU168" s="424"/>
    </row>
    <row r="169" spans="1:47" ht="16.5" customHeight="1" x14ac:dyDescent="0.15">
      <c r="A169" s="58">
        <f>中間シート!AI571</f>
        <v>9999</v>
      </c>
      <c r="B169" s="58" t="str">
        <f>中間シート!AK571</f>
        <v>事業場99</v>
      </c>
      <c r="C169" s="58" t="e">
        <f>中間シート!AJ571</f>
        <v>#N/A</v>
      </c>
      <c r="D169" s="58" t="str">
        <f>VLOOKUP($A169,中間シート!$D$514:$K$663,4)</f>
        <v/>
      </c>
      <c r="E169" s="58" t="str">
        <f>VLOOKUP($A169,中間シート!$D$514:$K$663,5)</f>
        <v/>
      </c>
      <c r="F169" s="58" t="str">
        <f>VLOOKUP($A169,中間シート!$D$514:$K$663,6)</f>
        <v/>
      </c>
      <c r="G169" s="58" t="str">
        <f>VLOOKUP($A169,中間シート!$D$514:$K$663,7)</f>
        <v/>
      </c>
      <c r="H169" s="58" t="str">
        <f>VLOOKUP($A169,中間シート!$D$514:$K$663,8)</f>
        <v/>
      </c>
      <c r="J169" s="412" t="str">
        <f t="shared" si="4"/>
        <v/>
      </c>
      <c r="K169" s="412"/>
      <c r="L169" s="412"/>
      <c r="M169" s="412"/>
      <c r="N169" s="422" t="str">
        <f>IF($A169&lt;&gt;9999,IF($C169=2,VLOOKUP($A169,中間シート!$D$514:$T$663,14,FALSE),VLOOKUP($A169,中間シート!$D$514:$T$663,9,FALSE)),"")</f>
        <v/>
      </c>
      <c r="O169" s="423"/>
      <c r="P169" s="423"/>
      <c r="Q169" s="423"/>
      <c r="R169" s="423"/>
      <c r="S169" s="423"/>
      <c r="T169" s="424"/>
      <c r="U169" s="422" t="str">
        <f t="shared" si="0"/>
        <v/>
      </c>
      <c r="V169" s="424"/>
      <c r="W169" s="422" t="str">
        <f>IF($A169&lt;&gt;9999,IF($C169=2,VLOOKUP($A169,中間シート!$D$514:$T$663,15,FALSE),VLOOKUP($A169,中間シート!$D$514:$T$663,10,FALSE)),"")</f>
        <v/>
      </c>
      <c r="X169" s="423"/>
      <c r="Y169" s="423"/>
      <c r="Z169" s="423"/>
      <c r="AA169" s="423"/>
      <c r="AB169" s="423"/>
      <c r="AC169" s="424"/>
      <c r="AD169" s="422" t="str">
        <f t="shared" si="1"/>
        <v/>
      </c>
      <c r="AE169" s="424"/>
      <c r="AF169" s="422" t="str">
        <f>IF($A169&lt;&gt;9999,IF($C169=2,VLOOKUP($A169,中間シート!$D$514:$T$663,16,FALSE),VLOOKUP($A169,中間シート!$D$514:$T$663,11,FALSE)),"")</f>
        <v/>
      </c>
      <c r="AG169" s="423"/>
      <c r="AH169" s="423"/>
      <c r="AI169" s="423"/>
      <c r="AJ169" s="423"/>
      <c r="AK169" s="424"/>
      <c r="AL169" s="422" t="str">
        <f t="shared" si="2"/>
        <v/>
      </c>
      <c r="AM169" s="424"/>
      <c r="AN169" s="422" t="str">
        <f>IF($A169&lt;&gt;9999,IF($C169=2,VLOOKUP($A169,中間シート!$D$514:$T$663,17,FALSE),VLOOKUP($A169,中間シート!$D$514:$T$663,12,FALSE)),"")</f>
        <v/>
      </c>
      <c r="AO169" s="423"/>
      <c r="AP169" s="423"/>
      <c r="AQ169" s="423"/>
      <c r="AR169" s="423"/>
      <c r="AS169" s="424"/>
      <c r="AT169" s="422" t="str">
        <f t="shared" si="5"/>
        <v/>
      </c>
      <c r="AU169" s="424"/>
    </row>
    <row r="170" spans="1:47" ht="16.5" customHeight="1" x14ac:dyDescent="0.15">
      <c r="A170" s="58">
        <f>中間シート!AI572</f>
        <v>9999</v>
      </c>
      <c r="B170" s="58" t="str">
        <f>中間シート!AK572</f>
        <v>事業場99</v>
      </c>
      <c r="C170" s="58" t="e">
        <f>中間シート!AJ572</f>
        <v>#N/A</v>
      </c>
      <c r="D170" s="58" t="str">
        <f>VLOOKUP($A170,中間シート!$D$514:$K$663,4)</f>
        <v/>
      </c>
      <c r="E170" s="58" t="str">
        <f>VLOOKUP($A170,中間シート!$D$514:$K$663,5)</f>
        <v/>
      </c>
      <c r="F170" s="58" t="str">
        <f>VLOOKUP($A170,中間シート!$D$514:$K$663,6)</f>
        <v/>
      </c>
      <c r="G170" s="58" t="str">
        <f>VLOOKUP($A170,中間シート!$D$514:$K$663,7)</f>
        <v/>
      </c>
      <c r="H170" s="58" t="str">
        <f>VLOOKUP($A170,中間シート!$D$514:$K$663,8)</f>
        <v/>
      </c>
      <c r="J170" s="412" t="str">
        <f t="shared" si="4"/>
        <v/>
      </c>
      <c r="K170" s="412"/>
      <c r="L170" s="412"/>
      <c r="M170" s="412"/>
      <c r="N170" s="422" t="str">
        <f>IF($A170&lt;&gt;9999,IF($C170=2,VLOOKUP($A170,中間シート!$D$514:$T$663,14,FALSE),VLOOKUP($A170,中間シート!$D$514:$T$663,9,FALSE)),"")</f>
        <v/>
      </c>
      <c r="O170" s="423"/>
      <c r="P170" s="423"/>
      <c r="Q170" s="423"/>
      <c r="R170" s="423"/>
      <c r="S170" s="423"/>
      <c r="T170" s="424"/>
      <c r="U170" s="422" t="str">
        <f t="shared" si="0"/>
        <v/>
      </c>
      <c r="V170" s="424"/>
      <c r="W170" s="422" t="str">
        <f>IF($A170&lt;&gt;9999,IF($C170=2,VLOOKUP($A170,中間シート!$D$514:$T$663,15,FALSE),VLOOKUP($A170,中間シート!$D$514:$T$663,10,FALSE)),"")</f>
        <v/>
      </c>
      <c r="X170" s="423"/>
      <c r="Y170" s="423"/>
      <c r="Z170" s="423"/>
      <c r="AA170" s="423"/>
      <c r="AB170" s="423"/>
      <c r="AC170" s="424"/>
      <c r="AD170" s="422" t="str">
        <f t="shared" si="1"/>
        <v/>
      </c>
      <c r="AE170" s="424"/>
      <c r="AF170" s="422" t="str">
        <f>IF($A170&lt;&gt;9999,IF($C170=2,VLOOKUP($A170,中間シート!$D$514:$T$663,16,FALSE),VLOOKUP($A170,中間シート!$D$514:$T$663,11,FALSE)),"")</f>
        <v/>
      </c>
      <c r="AG170" s="423"/>
      <c r="AH170" s="423"/>
      <c r="AI170" s="423"/>
      <c r="AJ170" s="423"/>
      <c r="AK170" s="424"/>
      <c r="AL170" s="422" t="str">
        <f t="shared" si="2"/>
        <v/>
      </c>
      <c r="AM170" s="424"/>
      <c r="AN170" s="422" t="str">
        <f>IF($A170&lt;&gt;9999,IF($C170=2,VLOOKUP($A170,中間シート!$D$514:$T$663,17,FALSE),VLOOKUP($A170,中間シート!$D$514:$T$663,12,FALSE)),"")</f>
        <v/>
      </c>
      <c r="AO170" s="423"/>
      <c r="AP170" s="423"/>
      <c r="AQ170" s="423"/>
      <c r="AR170" s="423"/>
      <c r="AS170" s="424"/>
      <c r="AT170" s="422" t="str">
        <f t="shared" si="5"/>
        <v/>
      </c>
      <c r="AU170" s="424"/>
    </row>
    <row r="171" spans="1:47" ht="16.5" customHeight="1" x14ac:dyDescent="0.15">
      <c r="A171" s="58">
        <f>中間シート!AI573</f>
        <v>9999</v>
      </c>
      <c r="B171" s="58" t="str">
        <f>中間シート!AK573</f>
        <v>事業場99</v>
      </c>
      <c r="C171" s="58" t="e">
        <f>中間シート!AJ573</f>
        <v>#N/A</v>
      </c>
      <c r="D171" s="58" t="str">
        <f>VLOOKUP($A171,中間シート!$D$514:$K$663,4)</f>
        <v/>
      </c>
      <c r="E171" s="58" t="str">
        <f>VLOOKUP($A171,中間シート!$D$514:$K$663,5)</f>
        <v/>
      </c>
      <c r="F171" s="58" t="str">
        <f>VLOOKUP($A171,中間シート!$D$514:$K$663,6)</f>
        <v/>
      </c>
      <c r="G171" s="58" t="str">
        <f>VLOOKUP($A171,中間シート!$D$514:$K$663,7)</f>
        <v/>
      </c>
      <c r="H171" s="58" t="str">
        <f>VLOOKUP($A171,中間シート!$D$514:$K$663,8)</f>
        <v/>
      </c>
      <c r="J171" s="412" t="str">
        <f t="shared" si="4"/>
        <v/>
      </c>
      <c r="K171" s="412"/>
      <c r="L171" s="412"/>
      <c r="M171" s="412"/>
      <c r="N171" s="422" t="str">
        <f>IF($A171&lt;&gt;9999,IF($C171=2,VLOOKUP($A171,中間シート!$D$514:$T$663,14,FALSE),VLOOKUP($A171,中間シート!$D$514:$T$663,9,FALSE)),"")</f>
        <v/>
      </c>
      <c r="O171" s="423"/>
      <c r="P171" s="423"/>
      <c r="Q171" s="423"/>
      <c r="R171" s="423"/>
      <c r="S171" s="423"/>
      <c r="T171" s="424"/>
      <c r="U171" s="422" t="str">
        <f t="shared" si="0"/>
        <v/>
      </c>
      <c r="V171" s="424"/>
      <c r="W171" s="422" t="str">
        <f>IF($A171&lt;&gt;9999,IF($C171=2,VLOOKUP($A171,中間シート!$D$514:$T$663,15,FALSE),VLOOKUP($A171,中間シート!$D$514:$T$663,10,FALSE)),"")</f>
        <v/>
      </c>
      <c r="X171" s="423"/>
      <c r="Y171" s="423"/>
      <c r="Z171" s="423"/>
      <c r="AA171" s="423"/>
      <c r="AB171" s="423"/>
      <c r="AC171" s="424"/>
      <c r="AD171" s="422" t="str">
        <f t="shared" si="1"/>
        <v/>
      </c>
      <c r="AE171" s="424"/>
      <c r="AF171" s="422" t="str">
        <f>IF($A171&lt;&gt;9999,IF($C171=2,VLOOKUP($A171,中間シート!$D$514:$T$663,16,FALSE),VLOOKUP($A171,中間シート!$D$514:$T$663,11,FALSE)),"")</f>
        <v/>
      </c>
      <c r="AG171" s="423"/>
      <c r="AH171" s="423"/>
      <c r="AI171" s="423"/>
      <c r="AJ171" s="423"/>
      <c r="AK171" s="424"/>
      <c r="AL171" s="422" t="str">
        <f t="shared" si="2"/>
        <v/>
      </c>
      <c r="AM171" s="424"/>
      <c r="AN171" s="422" t="str">
        <f>IF($A171&lt;&gt;9999,IF($C171=2,VLOOKUP($A171,中間シート!$D$514:$T$663,17,FALSE),VLOOKUP($A171,中間シート!$D$514:$T$663,12,FALSE)),"")</f>
        <v/>
      </c>
      <c r="AO171" s="423"/>
      <c r="AP171" s="423"/>
      <c r="AQ171" s="423"/>
      <c r="AR171" s="423"/>
      <c r="AS171" s="424"/>
      <c r="AT171" s="422" t="str">
        <f t="shared" si="5"/>
        <v/>
      </c>
      <c r="AU171" s="424"/>
    </row>
    <row r="172" spans="1:47" ht="16.5" customHeight="1" x14ac:dyDescent="0.15">
      <c r="A172" s="58">
        <f>中間シート!AI574</f>
        <v>9999</v>
      </c>
      <c r="B172" s="58" t="str">
        <f>中間シート!AK574</f>
        <v>事業場99</v>
      </c>
      <c r="C172" s="58" t="e">
        <f>中間シート!AJ574</f>
        <v>#N/A</v>
      </c>
      <c r="D172" s="58" t="str">
        <f>VLOOKUP($A172,中間シート!$D$514:$K$663,4)</f>
        <v/>
      </c>
      <c r="E172" s="58" t="str">
        <f>VLOOKUP($A172,中間シート!$D$514:$K$663,5)</f>
        <v/>
      </c>
      <c r="F172" s="58" t="str">
        <f>VLOOKUP($A172,中間シート!$D$514:$K$663,6)</f>
        <v/>
      </c>
      <c r="G172" s="58" t="str">
        <f>VLOOKUP($A172,中間シート!$D$514:$K$663,7)</f>
        <v/>
      </c>
      <c r="H172" s="58" t="str">
        <f>VLOOKUP($A172,中間シート!$D$514:$K$663,8)</f>
        <v/>
      </c>
      <c r="J172" s="412" t="str">
        <f t="shared" si="4"/>
        <v/>
      </c>
      <c r="K172" s="412"/>
      <c r="L172" s="412"/>
      <c r="M172" s="412"/>
      <c r="N172" s="422" t="str">
        <f>IF($A172&lt;&gt;9999,IF($C172=2,VLOOKUP($A172,中間シート!$D$514:$T$663,14,FALSE),VLOOKUP($A172,中間シート!$D$514:$T$663,9,FALSE)),"")</f>
        <v/>
      </c>
      <c r="O172" s="423"/>
      <c r="P172" s="423"/>
      <c r="Q172" s="423"/>
      <c r="R172" s="423"/>
      <c r="S172" s="423"/>
      <c r="T172" s="424"/>
      <c r="U172" s="422" t="str">
        <f t="shared" si="0"/>
        <v/>
      </c>
      <c r="V172" s="424"/>
      <c r="W172" s="422" t="str">
        <f>IF($A172&lt;&gt;9999,IF($C172=2,VLOOKUP($A172,中間シート!$D$514:$T$663,15,FALSE),VLOOKUP($A172,中間シート!$D$514:$T$663,10,FALSE)),"")</f>
        <v/>
      </c>
      <c r="X172" s="423"/>
      <c r="Y172" s="423"/>
      <c r="Z172" s="423"/>
      <c r="AA172" s="423"/>
      <c r="AB172" s="423"/>
      <c r="AC172" s="424"/>
      <c r="AD172" s="422" t="str">
        <f t="shared" si="1"/>
        <v/>
      </c>
      <c r="AE172" s="424"/>
      <c r="AF172" s="422" t="str">
        <f>IF($A172&lt;&gt;9999,IF($C172=2,VLOOKUP($A172,中間シート!$D$514:$T$663,16,FALSE),VLOOKUP($A172,中間シート!$D$514:$T$663,11,FALSE)),"")</f>
        <v/>
      </c>
      <c r="AG172" s="423"/>
      <c r="AH172" s="423"/>
      <c r="AI172" s="423"/>
      <c r="AJ172" s="423"/>
      <c r="AK172" s="424"/>
      <c r="AL172" s="422" t="str">
        <f t="shared" si="2"/>
        <v/>
      </c>
      <c r="AM172" s="424"/>
      <c r="AN172" s="422" t="str">
        <f>IF($A172&lt;&gt;9999,IF($C172=2,VLOOKUP($A172,中間シート!$D$514:$T$663,17,FALSE),VLOOKUP($A172,中間シート!$D$514:$T$663,12,FALSE)),"")</f>
        <v/>
      </c>
      <c r="AO172" s="423"/>
      <c r="AP172" s="423"/>
      <c r="AQ172" s="423"/>
      <c r="AR172" s="423"/>
      <c r="AS172" s="424"/>
      <c r="AT172" s="422" t="str">
        <f t="shared" si="5"/>
        <v/>
      </c>
      <c r="AU172" s="424"/>
    </row>
    <row r="173" spans="1:47" ht="16.5" customHeight="1" x14ac:dyDescent="0.15">
      <c r="A173" s="58">
        <f>中間シート!AI575</f>
        <v>9999</v>
      </c>
      <c r="B173" s="58" t="str">
        <f>中間シート!AK575</f>
        <v>事業場99</v>
      </c>
      <c r="C173" s="58" t="e">
        <f>中間シート!AJ575</f>
        <v>#N/A</v>
      </c>
      <c r="D173" s="58" t="str">
        <f>VLOOKUP($A173,中間シート!$D$514:$K$663,4)</f>
        <v/>
      </c>
      <c r="E173" s="58" t="str">
        <f>VLOOKUP($A173,中間シート!$D$514:$K$663,5)</f>
        <v/>
      </c>
      <c r="F173" s="58" t="str">
        <f>VLOOKUP($A173,中間シート!$D$514:$K$663,6)</f>
        <v/>
      </c>
      <c r="G173" s="58" t="str">
        <f>VLOOKUP($A173,中間シート!$D$514:$K$663,7)</f>
        <v/>
      </c>
      <c r="H173" s="58" t="str">
        <f>VLOOKUP($A173,中間シート!$D$514:$K$663,8)</f>
        <v/>
      </c>
      <c r="J173" s="412" t="str">
        <f t="shared" si="4"/>
        <v/>
      </c>
      <c r="K173" s="412"/>
      <c r="L173" s="412"/>
      <c r="M173" s="412"/>
      <c r="N173" s="422" t="str">
        <f>IF($A173&lt;&gt;9999,IF($C173=2,VLOOKUP($A173,中間シート!$D$514:$T$663,14,FALSE),VLOOKUP($A173,中間シート!$D$514:$T$663,9,FALSE)),"")</f>
        <v/>
      </c>
      <c r="O173" s="423"/>
      <c r="P173" s="423"/>
      <c r="Q173" s="423"/>
      <c r="R173" s="423"/>
      <c r="S173" s="423"/>
      <c r="T173" s="424"/>
      <c r="U173" s="422" t="str">
        <f t="shared" si="0"/>
        <v/>
      </c>
      <c r="V173" s="424"/>
      <c r="W173" s="422" t="str">
        <f>IF($A173&lt;&gt;9999,IF($C173=2,VLOOKUP($A173,中間シート!$D$514:$T$663,15,FALSE),VLOOKUP($A173,中間シート!$D$514:$T$663,10,FALSE)),"")</f>
        <v/>
      </c>
      <c r="X173" s="423"/>
      <c r="Y173" s="423"/>
      <c r="Z173" s="423"/>
      <c r="AA173" s="423"/>
      <c r="AB173" s="423"/>
      <c r="AC173" s="424"/>
      <c r="AD173" s="422" t="str">
        <f t="shared" si="1"/>
        <v/>
      </c>
      <c r="AE173" s="424"/>
      <c r="AF173" s="422" t="str">
        <f>IF($A173&lt;&gt;9999,IF($C173=2,VLOOKUP($A173,中間シート!$D$514:$T$663,16,FALSE),VLOOKUP($A173,中間シート!$D$514:$T$663,11,FALSE)),"")</f>
        <v/>
      </c>
      <c r="AG173" s="423"/>
      <c r="AH173" s="423"/>
      <c r="AI173" s="423"/>
      <c r="AJ173" s="423"/>
      <c r="AK173" s="424"/>
      <c r="AL173" s="422" t="str">
        <f t="shared" si="2"/>
        <v/>
      </c>
      <c r="AM173" s="424"/>
      <c r="AN173" s="422" t="str">
        <f>IF($A173&lt;&gt;9999,IF($C173=2,VLOOKUP($A173,中間シート!$D$514:$T$663,17,FALSE),VLOOKUP($A173,中間シート!$D$514:$T$663,12,FALSE)),"")</f>
        <v/>
      </c>
      <c r="AO173" s="423"/>
      <c r="AP173" s="423"/>
      <c r="AQ173" s="423"/>
      <c r="AR173" s="423"/>
      <c r="AS173" s="424"/>
      <c r="AT173" s="422" t="str">
        <f t="shared" si="5"/>
        <v/>
      </c>
      <c r="AU173" s="424"/>
    </row>
    <row r="174" spans="1:47" ht="16.5" customHeight="1" x14ac:dyDescent="0.15">
      <c r="A174" s="58">
        <f>中間シート!AI576</f>
        <v>9999</v>
      </c>
      <c r="B174" s="58" t="str">
        <f>中間シート!AK576</f>
        <v>事業場99</v>
      </c>
      <c r="C174" s="58" t="e">
        <f>中間シート!AJ576</f>
        <v>#N/A</v>
      </c>
      <c r="D174" s="58" t="str">
        <f>VLOOKUP($A174,中間シート!$D$514:$K$663,4)</f>
        <v/>
      </c>
      <c r="E174" s="58" t="str">
        <f>VLOOKUP($A174,中間シート!$D$514:$K$663,5)</f>
        <v/>
      </c>
      <c r="F174" s="58" t="str">
        <f>VLOOKUP($A174,中間シート!$D$514:$K$663,6)</f>
        <v/>
      </c>
      <c r="G174" s="58" t="str">
        <f>VLOOKUP($A174,中間シート!$D$514:$K$663,7)</f>
        <v/>
      </c>
      <c r="H174" s="58" t="str">
        <f>VLOOKUP($A174,中間シート!$D$514:$K$663,8)</f>
        <v/>
      </c>
      <c r="J174" s="412" t="str">
        <f t="shared" si="4"/>
        <v/>
      </c>
      <c r="K174" s="412"/>
      <c r="L174" s="412"/>
      <c r="M174" s="412"/>
      <c r="N174" s="422" t="str">
        <f>IF($A174&lt;&gt;9999,IF($C174=2,VLOOKUP($A174,中間シート!$D$514:$T$663,14,FALSE),VLOOKUP($A174,中間シート!$D$514:$T$663,9,FALSE)),"")</f>
        <v/>
      </c>
      <c r="O174" s="423"/>
      <c r="P174" s="423"/>
      <c r="Q174" s="423"/>
      <c r="R174" s="423"/>
      <c r="S174" s="423"/>
      <c r="T174" s="424"/>
      <c r="U174" s="422" t="str">
        <f t="shared" si="0"/>
        <v/>
      </c>
      <c r="V174" s="424"/>
      <c r="W174" s="422" t="str">
        <f>IF($A174&lt;&gt;9999,IF($C174=2,VLOOKUP($A174,中間シート!$D$514:$T$663,15,FALSE),VLOOKUP($A174,中間シート!$D$514:$T$663,10,FALSE)),"")</f>
        <v/>
      </c>
      <c r="X174" s="423"/>
      <c r="Y174" s="423"/>
      <c r="Z174" s="423"/>
      <c r="AA174" s="423"/>
      <c r="AB174" s="423"/>
      <c r="AC174" s="424"/>
      <c r="AD174" s="422" t="str">
        <f t="shared" si="1"/>
        <v/>
      </c>
      <c r="AE174" s="424"/>
      <c r="AF174" s="422" t="str">
        <f>IF($A174&lt;&gt;9999,IF($C174=2,VLOOKUP($A174,中間シート!$D$514:$T$663,16,FALSE),VLOOKUP($A174,中間シート!$D$514:$T$663,11,FALSE)),"")</f>
        <v/>
      </c>
      <c r="AG174" s="423"/>
      <c r="AH174" s="423"/>
      <c r="AI174" s="423"/>
      <c r="AJ174" s="423"/>
      <c r="AK174" s="424"/>
      <c r="AL174" s="422" t="str">
        <f t="shared" si="2"/>
        <v/>
      </c>
      <c r="AM174" s="424"/>
      <c r="AN174" s="422" t="str">
        <f>IF($A174&lt;&gt;9999,IF($C174=2,VLOOKUP($A174,中間シート!$D$514:$T$663,17,FALSE),VLOOKUP($A174,中間シート!$D$514:$T$663,12,FALSE)),"")</f>
        <v/>
      </c>
      <c r="AO174" s="423"/>
      <c r="AP174" s="423"/>
      <c r="AQ174" s="423"/>
      <c r="AR174" s="423"/>
      <c r="AS174" s="424"/>
      <c r="AT174" s="422" t="str">
        <f t="shared" si="5"/>
        <v/>
      </c>
      <c r="AU174" s="424"/>
    </row>
    <row r="175" spans="1:47" ht="16.5" customHeight="1" x14ac:dyDescent="0.15">
      <c r="A175" s="58">
        <f>中間シート!AI577</f>
        <v>9999</v>
      </c>
      <c r="B175" s="58" t="str">
        <f>中間シート!AK577</f>
        <v>事業場99</v>
      </c>
      <c r="C175" s="58" t="e">
        <f>中間シート!AJ577</f>
        <v>#N/A</v>
      </c>
      <c r="D175" s="58" t="str">
        <f>VLOOKUP($A175,中間シート!$D$514:$K$663,4)</f>
        <v/>
      </c>
      <c r="E175" s="58" t="str">
        <f>VLOOKUP($A175,中間シート!$D$514:$K$663,5)</f>
        <v/>
      </c>
      <c r="F175" s="58" t="str">
        <f>VLOOKUP($A175,中間シート!$D$514:$K$663,6)</f>
        <v/>
      </c>
      <c r="G175" s="58" t="str">
        <f>VLOOKUP($A175,中間シート!$D$514:$K$663,7)</f>
        <v/>
      </c>
      <c r="H175" s="58" t="str">
        <f>VLOOKUP($A175,中間シート!$D$514:$K$663,8)</f>
        <v/>
      </c>
      <c r="J175" s="412" t="str">
        <f t="shared" si="4"/>
        <v/>
      </c>
      <c r="K175" s="412"/>
      <c r="L175" s="412"/>
      <c r="M175" s="412"/>
      <c r="N175" s="422" t="str">
        <f>IF($A175&lt;&gt;9999,IF($C175=2,VLOOKUP($A175,中間シート!$D$514:$T$663,14,FALSE),VLOOKUP($A175,中間シート!$D$514:$T$663,9,FALSE)),"")</f>
        <v/>
      </c>
      <c r="O175" s="423"/>
      <c r="P175" s="423"/>
      <c r="Q175" s="423"/>
      <c r="R175" s="423"/>
      <c r="S175" s="423"/>
      <c r="T175" s="424"/>
      <c r="U175" s="422" t="str">
        <f t="shared" si="0"/>
        <v/>
      </c>
      <c r="V175" s="424"/>
      <c r="W175" s="422" t="str">
        <f>IF($A175&lt;&gt;9999,IF($C175=2,VLOOKUP($A175,中間シート!$D$514:$T$663,15,FALSE),VLOOKUP($A175,中間シート!$D$514:$T$663,10,FALSE)),"")</f>
        <v/>
      </c>
      <c r="X175" s="423"/>
      <c r="Y175" s="423"/>
      <c r="Z175" s="423"/>
      <c r="AA175" s="423"/>
      <c r="AB175" s="423"/>
      <c r="AC175" s="424"/>
      <c r="AD175" s="422" t="str">
        <f t="shared" si="1"/>
        <v/>
      </c>
      <c r="AE175" s="424"/>
      <c r="AF175" s="422" t="str">
        <f>IF($A175&lt;&gt;9999,IF($C175=2,VLOOKUP($A175,中間シート!$D$514:$T$663,16,FALSE),VLOOKUP($A175,中間シート!$D$514:$T$663,11,FALSE)),"")</f>
        <v/>
      </c>
      <c r="AG175" s="423"/>
      <c r="AH175" s="423"/>
      <c r="AI175" s="423"/>
      <c r="AJ175" s="423"/>
      <c r="AK175" s="424"/>
      <c r="AL175" s="422" t="str">
        <f t="shared" si="2"/>
        <v/>
      </c>
      <c r="AM175" s="424"/>
      <c r="AN175" s="422" t="str">
        <f>IF($A175&lt;&gt;9999,IF($C175=2,VLOOKUP($A175,中間シート!$D$514:$T$663,17,FALSE),VLOOKUP($A175,中間シート!$D$514:$T$663,12,FALSE)),"")</f>
        <v/>
      </c>
      <c r="AO175" s="423"/>
      <c r="AP175" s="423"/>
      <c r="AQ175" s="423"/>
      <c r="AR175" s="423"/>
      <c r="AS175" s="424"/>
      <c r="AT175" s="422" t="str">
        <f t="shared" si="5"/>
        <v/>
      </c>
      <c r="AU175" s="424"/>
    </row>
    <row r="176" spans="1:47" ht="16.5" customHeight="1" x14ac:dyDescent="0.15">
      <c r="A176" s="58">
        <f>中間シート!AI578</f>
        <v>9999</v>
      </c>
      <c r="B176" s="58" t="str">
        <f>中間シート!AK578</f>
        <v>事業場99</v>
      </c>
      <c r="C176" s="58" t="e">
        <f>中間シート!AJ578</f>
        <v>#N/A</v>
      </c>
      <c r="D176" s="58" t="str">
        <f>VLOOKUP($A176,中間シート!$D$514:$K$663,4)</f>
        <v/>
      </c>
      <c r="E176" s="58" t="str">
        <f>VLOOKUP($A176,中間シート!$D$514:$K$663,5)</f>
        <v/>
      </c>
      <c r="F176" s="58" t="str">
        <f>VLOOKUP($A176,中間シート!$D$514:$K$663,6)</f>
        <v/>
      </c>
      <c r="G176" s="58" t="str">
        <f>VLOOKUP($A176,中間シート!$D$514:$K$663,7)</f>
        <v/>
      </c>
      <c r="H176" s="58" t="str">
        <f>VLOOKUP($A176,中間シート!$D$514:$K$663,8)</f>
        <v/>
      </c>
      <c r="J176" s="412" t="str">
        <f t="shared" si="4"/>
        <v/>
      </c>
      <c r="K176" s="412"/>
      <c r="L176" s="412"/>
      <c r="M176" s="412"/>
      <c r="N176" s="422" t="str">
        <f>IF($A176&lt;&gt;9999,IF($C176=2,VLOOKUP($A176,中間シート!$D$514:$T$663,14,FALSE),VLOOKUP($A176,中間シート!$D$514:$T$663,9,FALSE)),"")</f>
        <v/>
      </c>
      <c r="O176" s="423"/>
      <c r="P176" s="423"/>
      <c r="Q176" s="423"/>
      <c r="R176" s="423"/>
      <c r="S176" s="423"/>
      <c r="T176" s="424"/>
      <c r="U176" s="422" t="str">
        <f t="shared" si="0"/>
        <v/>
      </c>
      <c r="V176" s="424"/>
      <c r="W176" s="422" t="str">
        <f>IF($A176&lt;&gt;9999,IF($C176=2,VLOOKUP($A176,中間シート!$D$514:$T$663,15,FALSE),VLOOKUP($A176,中間シート!$D$514:$T$663,10,FALSE)),"")</f>
        <v/>
      </c>
      <c r="X176" s="423"/>
      <c r="Y176" s="423"/>
      <c r="Z176" s="423"/>
      <c r="AA176" s="423"/>
      <c r="AB176" s="423"/>
      <c r="AC176" s="424"/>
      <c r="AD176" s="422" t="str">
        <f t="shared" si="1"/>
        <v/>
      </c>
      <c r="AE176" s="424"/>
      <c r="AF176" s="422" t="str">
        <f>IF($A176&lt;&gt;9999,IF($C176=2,VLOOKUP($A176,中間シート!$D$514:$T$663,16,FALSE),VLOOKUP($A176,中間シート!$D$514:$T$663,11,FALSE)),"")</f>
        <v/>
      </c>
      <c r="AG176" s="423"/>
      <c r="AH176" s="423"/>
      <c r="AI176" s="423"/>
      <c r="AJ176" s="423"/>
      <c r="AK176" s="424"/>
      <c r="AL176" s="422" t="str">
        <f t="shared" si="2"/>
        <v/>
      </c>
      <c r="AM176" s="424"/>
      <c r="AN176" s="422" t="str">
        <f>IF($A176&lt;&gt;9999,IF($C176=2,VLOOKUP($A176,中間シート!$D$514:$T$663,17,FALSE),VLOOKUP($A176,中間シート!$D$514:$T$663,12,FALSE)),"")</f>
        <v/>
      </c>
      <c r="AO176" s="423"/>
      <c r="AP176" s="423"/>
      <c r="AQ176" s="423"/>
      <c r="AR176" s="423"/>
      <c r="AS176" s="424"/>
      <c r="AT176" s="422" t="str">
        <f t="shared" si="5"/>
        <v/>
      </c>
      <c r="AU176" s="424"/>
    </row>
    <row r="177" spans="1:47" ht="16.5" customHeight="1" x14ac:dyDescent="0.15">
      <c r="A177" s="58">
        <f>中間シート!AI579</f>
        <v>9999</v>
      </c>
      <c r="B177" s="58" t="str">
        <f>中間シート!AK579</f>
        <v>事業場99</v>
      </c>
      <c r="C177" s="58" t="e">
        <f>中間シート!AJ579</f>
        <v>#N/A</v>
      </c>
      <c r="D177" s="58" t="str">
        <f>VLOOKUP($A177,中間シート!$D$514:$K$663,4)</f>
        <v/>
      </c>
      <c r="E177" s="58" t="str">
        <f>VLOOKUP($A177,中間シート!$D$514:$K$663,5)</f>
        <v/>
      </c>
      <c r="F177" s="58" t="str">
        <f>VLOOKUP($A177,中間シート!$D$514:$K$663,6)</f>
        <v/>
      </c>
      <c r="G177" s="58" t="str">
        <f>VLOOKUP($A177,中間シート!$D$514:$K$663,7)</f>
        <v/>
      </c>
      <c r="H177" s="58" t="str">
        <f>VLOOKUP($A177,中間シート!$D$514:$K$663,8)</f>
        <v/>
      </c>
      <c r="J177" s="412" t="str">
        <f t="shared" si="4"/>
        <v/>
      </c>
      <c r="K177" s="412"/>
      <c r="L177" s="412"/>
      <c r="M177" s="412"/>
      <c r="N177" s="422" t="str">
        <f>IF($A177&lt;&gt;9999,IF($C177=2,VLOOKUP($A177,中間シート!$D$514:$T$663,14,FALSE),VLOOKUP($A177,中間シート!$D$514:$T$663,9,FALSE)),"")</f>
        <v/>
      </c>
      <c r="O177" s="423"/>
      <c r="P177" s="423"/>
      <c r="Q177" s="423"/>
      <c r="R177" s="423"/>
      <c r="S177" s="423"/>
      <c r="T177" s="424"/>
      <c r="U177" s="422" t="str">
        <f t="shared" ref="U177:U240" si="6">IF($A177&lt;&gt;9999,IF($C177=2,"",E177),"")</f>
        <v/>
      </c>
      <c r="V177" s="424"/>
      <c r="W177" s="422" t="str">
        <f>IF($A177&lt;&gt;9999,IF($C177=2,VLOOKUP($A177,中間シート!$D$514:$T$663,15,FALSE),VLOOKUP($A177,中間シート!$D$514:$T$663,10,FALSE)),"")</f>
        <v/>
      </c>
      <c r="X177" s="423"/>
      <c r="Y177" s="423"/>
      <c r="Z177" s="423"/>
      <c r="AA177" s="423"/>
      <c r="AB177" s="423"/>
      <c r="AC177" s="424"/>
      <c r="AD177" s="422" t="str">
        <f t="shared" si="1"/>
        <v/>
      </c>
      <c r="AE177" s="424"/>
      <c r="AF177" s="422" t="str">
        <f>IF($A177&lt;&gt;9999,IF($C177=2,VLOOKUP($A177,中間シート!$D$514:$T$663,16,FALSE),VLOOKUP($A177,中間シート!$D$514:$T$663,11,FALSE)),"")</f>
        <v/>
      </c>
      <c r="AG177" s="423"/>
      <c r="AH177" s="423"/>
      <c r="AI177" s="423"/>
      <c r="AJ177" s="423"/>
      <c r="AK177" s="424"/>
      <c r="AL177" s="422" t="str">
        <f t="shared" si="2"/>
        <v/>
      </c>
      <c r="AM177" s="424"/>
      <c r="AN177" s="422" t="str">
        <f>IF($A177&lt;&gt;9999,IF($C177=2,VLOOKUP($A177,中間シート!$D$514:$T$663,17,FALSE),VLOOKUP($A177,中間シート!$D$514:$T$663,12,FALSE)),"")</f>
        <v/>
      </c>
      <c r="AO177" s="423"/>
      <c r="AP177" s="423"/>
      <c r="AQ177" s="423"/>
      <c r="AR177" s="423"/>
      <c r="AS177" s="424"/>
      <c r="AT177" s="422" t="str">
        <f t="shared" si="5"/>
        <v/>
      </c>
      <c r="AU177" s="424"/>
    </row>
    <row r="178" spans="1:47" ht="16.5" customHeight="1" x14ac:dyDescent="0.15">
      <c r="A178" s="58">
        <f>中間シート!AI580</f>
        <v>9999</v>
      </c>
      <c r="B178" s="58" t="str">
        <f>中間シート!AK580</f>
        <v>事業場99</v>
      </c>
      <c r="C178" s="58" t="e">
        <f>中間シート!AJ580</f>
        <v>#N/A</v>
      </c>
      <c r="D178" s="58" t="str">
        <f>VLOOKUP($A178,中間シート!$D$514:$K$663,4)</f>
        <v/>
      </c>
      <c r="E178" s="58" t="str">
        <f>VLOOKUP($A178,中間シート!$D$514:$K$663,5)</f>
        <v/>
      </c>
      <c r="F178" s="58" t="str">
        <f>VLOOKUP($A178,中間シート!$D$514:$K$663,6)</f>
        <v/>
      </c>
      <c r="G178" s="58" t="str">
        <f>VLOOKUP($A178,中間シート!$D$514:$K$663,7)</f>
        <v/>
      </c>
      <c r="H178" s="58" t="str">
        <f>VLOOKUP($A178,中間シート!$D$514:$K$663,8)</f>
        <v/>
      </c>
      <c r="J178" s="412" t="str">
        <f t="shared" si="4"/>
        <v/>
      </c>
      <c r="K178" s="412"/>
      <c r="L178" s="412"/>
      <c r="M178" s="412"/>
      <c r="N178" s="422" t="str">
        <f>IF($A178&lt;&gt;9999,IF($C178=2,VLOOKUP($A178,中間シート!$D$514:$T$663,14,FALSE),VLOOKUP($A178,中間シート!$D$514:$T$663,9,FALSE)),"")</f>
        <v/>
      </c>
      <c r="O178" s="423"/>
      <c r="P178" s="423"/>
      <c r="Q178" s="423"/>
      <c r="R178" s="423"/>
      <c r="S178" s="423"/>
      <c r="T178" s="424"/>
      <c r="U178" s="422" t="str">
        <f t="shared" si="6"/>
        <v/>
      </c>
      <c r="V178" s="424"/>
      <c r="W178" s="422" t="str">
        <f>IF($A178&lt;&gt;9999,IF($C178=2,VLOOKUP($A178,中間シート!$D$514:$T$663,15,FALSE),VLOOKUP($A178,中間シート!$D$514:$T$663,10,FALSE)),"")</f>
        <v/>
      </c>
      <c r="X178" s="423"/>
      <c r="Y178" s="423"/>
      <c r="Z178" s="423"/>
      <c r="AA178" s="423"/>
      <c r="AB178" s="423"/>
      <c r="AC178" s="424"/>
      <c r="AD178" s="422" t="str">
        <f t="shared" ref="AD178:AD241" si="7">IF($A178&lt;&gt;9999,IF($C178=2,"",F178),"")</f>
        <v/>
      </c>
      <c r="AE178" s="424"/>
      <c r="AF178" s="422" t="str">
        <f>IF($A178&lt;&gt;9999,IF($C178=2,VLOOKUP($A178,中間シート!$D$514:$T$663,16,FALSE),VLOOKUP($A178,中間シート!$D$514:$T$663,11,FALSE)),"")</f>
        <v/>
      </c>
      <c r="AG178" s="423"/>
      <c r="AH178" s="423"/>
      <c r="AI178" s="423"/>
      <c r="AJ178" s="423"/>
      <c r="AK178" s="424"/>
      <c r="AL178" s="422" t="str">
        <f t="shared" ref="AL178:AL241" si="8">IF($A178&lt;&gt;9999,IF($C178=2,"",G178),"")</f>
        <v/>
      </c>
      <c r="AM178" s="424"/>
      <c r="AN178" s="422" t="str">
        <f>IF($A178&lt;&gt;9999,IF($C178=2,VLOOKUP($A178,中間シート!$D$514:$T$663,17,FALSE),VLOOKUP($A178,中間シート!$D$514:$T$663,12,FALSE)),"")</f>
        <v/>
      </c>
      <c r="AO178" s="423"/>
      <c r="AP178" s="423"/>
      <c r="AQ178" s="423"/>
      <c r="AR178" s="423"/>
      <c r="AS178" s="424"/>
      <c r="AT178" s="422" t="str">
        <f t="shared" si="5"/>
        <v/>
      </c>
      <c r="AU178" s="424"/>
    </row>
    <row r="179" spans="1:47" ht="16.5" customHeight="1" x14ac:dyDescent="0.15">
      <c r="A179" s="58">
        <f>中間シート!AI581</f>
        <v>9999</v>
      </c>
      <c r="B179" s="58" t="str">
        <f>中間シート!AK581</f>
        <v>事業場99</v>
      </c>
      <c r="C179" s="58" t="e">
        <f>中間シート!AJ581</f>
        <v>#N/A</v>
      </c>
      <c r="D179" s="58" t="str">
        <f>VLOOKUP($A179,中間シート!$D$514:$K$663,4)</f>
        <v/>
      </c>
      <c r="E179" s="58" t="str">
        <f>VLOOKUP($A179,中間シート!$D$514:$K$663,5)</f>
        <v/>
      </c>
      <c r="F179" s="58" t="str">
        <f>VLOOKUP($A179,中間シート!$D$514:$K$663,6)</f>
        <v/>
      </c>
      <c r="G179" s="58" t="str">
        <f>VLOOKUP($A179,中間シート!$D$514:$K$663,7)</f>
        <v/>
      </c>
      <c r="H179" s="58" t="str">
        <f>VLOOKUP($A179,中間シート!$D$514:$K$663,8)</f>
        <v/>
      </c>
      <c r="J179" s="412" t="str">
        <f t="shared" ref="J179:J242" si="9">IF(B179="事業場99","",B179)</f>
        <v/>
      </c>
      <c r="K179" s="412"/>
      <c r="L179" s="412"/>
      <c r="M179" s="412"/>
      <c r="N179" s="422" t="str">
        <f>IF($A179&lt;&gt;9999,IF($C179=2,VLOOKUP($A179,中間シート!$D$514:$T$663,14,FALSE),VLOOKUP($A179,中間シート!$D$514:$T$663,9,FALSE)),"")</f>
        <v/>
      </c>
      <c r="O179" s="423"/>
      <c r="P179" s="423"/>
      <c r="Q179" s="423"/>
      <c r="R179" s="423"/>
      <c r="S179" s="423"/>
      <c r="T179" s="424"/>
      <c r="U179" s="422" t="str">
        <f t="shared" si="6"/>
        <v/>
      </c>
      <c r="V179" s="424"/>
      <c r="W179" s="422" t="str">
        <f>IF($A179&lt;&gt;9999,IF($C179=2,VLOOKUP($A179,中間シート!$D$514:$T$663,15,FALSE),VLOOKUP($A179,中間シート!$D$514:$T$663,10,FALSE)),"")</f>
        <v/>
      </c>
      <c r="X179" s="423"/>
      <c r="Y179" s="423"/>
      <c r="Z179" s="423"/>
      <c r="AA179" s="423"/>
      <c r="AB179" s="423"/>
      <c r="AC179" s="424"/>
      <c r="AD179" s="422" t="str">
        <f t="shared" si="7"/>
        <v/>
      </c>
      <c r="AE179" s="424"/>
      <c r="AF179" s="422" t="str">
        <f>IF($A179&lt;&gt;9999,IF($C179=2,VLOOKUP($A179,中間シート!$D$514:$T$663,16,FALSE),VLOOKUP($A179,中間シート!$D$514:$T$663,11,FALSE)),"")</f>
        <v/>
      </c>
      <c r="AG179" s="423"/>
      <c r="AH179" s="423"/>
      <c r="AI179" s="423"/>
      <c r="AJ179" s="423"/>
      <c r="AK179" s="424"/>
      <c r="AL179" s="422" t="str">
        <f t="shared" si="8"/>
        <v/>
      </c>
      <c r="AM179" s="424"/>
      <c r="AN179" s="422" t="str">
        <f>IF($A179&lt;&gt;9999,IF($C179=2,VLOOKUP($A179,中間シート!$D$514:$T$663,17,FALSE),VLOOKUP($A179,中間シート!$D$514:$T$663,12,FALSE)),"")</f>
        <v/>
      </c>
      <c r="AO179" s="423"/>
      <c r="AP179" s="423"/>
      <c r="AQ179" s="423"/>
      <c r="AR179" s="423"/>
      <c r="AS179" s="424"/>
      <c r="AT179" s="422" t="str">
        <f t="shared" si="5"/>
        <v/>
      </c>
      <c r="AU179" s="424"/>
    </row>
    <row r="180" spans="1:47" ht="16.5" customHeight="1" x14ac:dyDescent="0.15">
      <c r="A180" s="58">
        <f>中間シート!AI582</f>
        <v>9999</v>
      </c>
      <c r="B180" s="58" t="str">
        <f>中間シート!AK582</f>
        <v>事業場99</v>
      </c>
      <c r="C180" s="58" t="e">
        <f>中間シート!AJ582</f>
        <v>#N/A</v>
      </c>
      <c r="D180" s="58" t="str">
        <f>VLOOKUP($A180,中間シート!$D$514:$K$663,4)</f>
        <v/>
      </c>
      <c r="E180" s="58" t="str">
        <f>VLOOKUP($A180,中間シート!$D$514:$K$663,5)</f>
        <v/>
      </c>
      <c r="F180" s="58" t="str">
        <f>VLOOKUP($A180,中間シート!$D$514:$K$663,6)</f>
        <v/>
      </c>
      <c r="G180" s="58" t="str">
        <f>VLOOKUP($A180,中間シート!$D$514:$K$663,7)</f>
        <v/>
      </c>
      <c r="H180" s="58" t="str">
        <f>VLOOKUP($A180,中間シート!$D$514:$K$663,8)</f>
        <v/>
      </c>
      <c r="J180" s="412" t="str">
        <f t="shared" si="9"/>
        <v/>
      </c>
      <c r="K180" s="412"/>
      <c r="L180" s="412"/>
      <c r="M180" s="412"/>
      <c r="N180" s="422" t="str">
        <f>IF($A180&lt;&gt;9999,IF($C180=2,VLOOKUP($A180,中間シート!$D$514:$T$663,14,FALSE),VLOOKUP($A180,中間シート!$D$514:$T$663,9,FALSE)),"")</f>
        <v/>
      </c>
      <c r="O180" s="423"/>
      <c r="P180" s="423"/>
      <c r="Q180" s="423"/>
      <c r="R180" s="423"/>
      <c r="S180" s="423"/>
      <c r="T180" s="424"/>
      <c r="U180" s="422" t="str">
        <f t="shared" si="6"/>
        <v/>
      </c>
      <c r="V180" s="424"/>
      <c r="W180" s="422" t="str">
        <f>IF($A180&lt;&gt;9999,IF($C180=2,VLOOKUP($A180,中間シート!$D$514:$T$663,15,FALSE),VLOOKUP($A180,中間シート!$D$514:$T$663,10,FALSE)),"")</f>
        <v/>
      </c>
      <c r="X180" s="423"/>
      <c r="Y180" s="423"/>
      <c r="Z180" s="423"/>
      <c r="AA180" s="423"/>
      <c r="AB180" s="423"/>
      <c r="AC180" s="424"/>
      <c r="AD180" s="422" t="str">
        <f t="shared" si="7"/>
        <v/>
      </c>
      <c r="AE180" s="424"/>
      <c r="AF180" s="422" t="str">
        <f>IF($A180&lt;&gt;9999,IF($C180=2,VLOOKUP($A180,中間シート!$D$514:$T$663,16,FALSE),VLOOKUP($A180,中間シート!$D$514:$T$663,11,FALSE)),"")</f>
        <v/>
      </c>
      <c r="AG180" s="423"/>
      <c r="AH180" s="423"/>
      <c r="AI180" s="423"/>
      <c r="AJ180" s="423"/>
      <c r="AK180" s="424"/>
      <c r="AL180" s="422" t="str">
        <f t="shared" si="8"/>
        <v/>
      </c>
      <c r="AM180" s="424"/>
      <c r="AN180" s="422" t="str">
        <f>IF($A180&lt;&gt;9999,IF($C180=2,VLOOKUP($A180,中間シート!$D$514:$T$663,17,FALSE),VLOOKUP($A180,中間シート!$D$514:$T$663,12,FALSE)),"")</f>
        <v/>
      </c>
      <c r="AO180" s="423"/>
      <c r="AP180" s="423"/>
      <c r="AQ180" s="423"/>
      <c r="AR180" s="423"/>
      <c r="AS180" s="424"/>
      <c r="AT180" s="422" t="str">
        <f t="shared" si="5"/>
        <v/>
      </c>
      <c r="AU180" s="424"/>
    </row>
    <row r="181" spans="1:47" ht="16.5" customHeight="1" x14ac:dyDescent="0.15">
      <c r="A181" s="58">
        <f>中間シート!AI583</f>
        <v>9999</v>
      </c>
      <c r="B181" s="58" t="str">
        <f>中間シート!AK583</f>
        <v>事業場99</v>
      </c>
      <c r="C181" s="58" t="e">
        <f>中間シート!AJ583</f>
        <v>#N/A</v>
      </c>
      <c r="D181" s="58" t="str">
        <f>VLOOKUP($A181,中間シート!$D$514:$K$663,4)</f>
        <v/>
      </c>
      <c r="E181" s="58" t="str">
        <f>VLOOKUP($A181,中間シート!$D$514:$K$663,5)</f>
        <v/>
      </c>
      <c r="F181" s="58" t="str">
        <f>VLOOKUP($A181,中間シート!$D$514:$K$663,6)</f>
        <v/>
      </c>
      <c r="G181" s="58" t="str">
        <f>VLOOKUP($A181,中間シート!$D$514:$K$663,7)</f>
        <v/>
      </c>
      <c r="H181" s="58" t="str">
        <f>VLOOKUP($A181,中間シート!$D$514:$K$663,8)</f>
        <v/>
      </c>
      <c r="J181" s="412" t="str">
        <f t="shared" si="9"/>
        <v/>
      </c>
      <c r="K181" s="412"/>
      <c r="L181" s="412"/>
      <c r="M181" s="412"/>
      <c r="N181" s="422" t="str">
        <f>IF($A181&lt;&gt;9999,IF($C181=2,VLOOKUP($A181,中間シート!$D$514:$T$663,14,FALSE),VLOOKUP($A181,中間シート!$D$514:$T$663,9,FALSE)),"")</f>
        <v/>
      </c>
      <c r="O181" s="423"/>
      <c r="P181" s="423"/>
      <c r="Q181" s="423"/>
      <c r="R181" s="423"/>
      <c r="S181" s="423"/>
      <c r="T181" s="424"/>
      <c r="U181" s="422" t="str">
        <f t="shared" si="6"/>
        <v/>
      </c>
      <c r="V181" s="424"/>
      <c r="W181" s="422" t="str">
        <f>IF($A181&lt;&gt;9999,IF($C181=2,VLOOKUP($A181,中間シート!$D$514:$T$663,15,FALSE),VLOOKUP($A181,中間シート!$D$514:$T$663,10,FALSE)),"")</f>
        <v/>
      </c>
      <c r="X181" s="423"/>
      <c r="Y181" s="423"/>
      <c r="Z181" s="423"/>
      <c r="AA181" s="423"/>
      <c r="AB181" s="423"/>
      <c r="AC181" s="424"/>
      <c r="AD181" s="422" t="str">
        <f t="shared" si="7"/>
        <v/>
      </c>
      <c r="AE181" s="424"/>
      <c r="AF181" s="422" t="str">
        <f>IF($A181&lt;&gt;9999,IF($C181=2,VLOOKUP($A181,中間シート!$D$514:$T$663,16,FALSE),VLOOKUP($A181,中間シート!$D$514:$T$663,11,FALSE)),"")</f>
        <v/>
      </c>
      <c r="AG181" s="423"/>
      <c r="AH181" s="423"/>
      <c r="AI181" s="423"/>
      <c r="AJ181" s="423"/>
      <c r="AK181" s="424"/>
      <c r="AL181" s="422" t="str">
        <f t="shared" si="8"/>
        <v/>
      </c>
      <c r="AM181" s="424"/>
      <c r="AN181" s="422" t="str">
        <f>IF($A181&lt;&gt;9999,IF($C181=2,VLOOKUP($A181,中間シート!$D$514:$T$663,17,FALSE),VLOOKUP($A181,中間シート!$D$514:$T$663,12,FALSE)),"")</f>
        <v/>
      </c>
      <c r="AO181" s="423"/>
      <c r="AP181" s="423"/>
      <c r="AQ181" s="423"/>
      <c r="AR181" s="423"/>
      <c r="AS181" s="424"/>
      <c r="AT181" s="422" t="str">
        <f t="shared" si="5"/>
        <v/>
      </c>
      <c r="AU181" s="424"/>
    </row>
    <row r="182" spans="1:47" ht="16.5" customHeight="1" x14ac:dyDescent="0.15">
      <c r="A182" s="58">
        <f>中間シート!AI584</f>
        <v>9999</v>
      </c>
      <c r="B182" s="58" t="str">
        <f>中間シート!AK584</f>
        <v>事業場99</v>
      </c>
      <c r="C182" s="58" t="e">
        <f>中間シート!AJ584</f>
        <v>#N/A</v>
      </c>
      <c r="D182" s="58" t="str">
        <f>VLOOKUP($A182,中間シート!$D$514:$K$663,4)</f>
        <v/>
      </c>
      <c r="E182" s="58" t="str">
        <f>VLOOKUP($A182,中間シート!$D$514:$K$663,5)</f>
        <v/>
      </c>
      <c r="F182" s="58" t="str">
        <f>VLOOKUP($A182,中間シート!$D$514:$K$663,6)</f>
        <v/>
      </c>
      <c r="G182" s="58" t="str">
        <f>VLOOKUP($A182,中間シート!$D$514:$K$663,7)</f>
        <v/>
      </c>
      <c r="H182" s="58" t="str">
        <f>VLOOKUP($A182,中間シート!$D$514:$K$663,8)</f>
        <v/>
      </c>
      <c r="J182" s="412" t="str">
        <f t="shared" si="9"/>
        <v/>
      </c>
      <c r="K182" s="412"/>
      <c r="L182" s="412"/>
      <c r="M182" s="412"/>
      <c r="N182" s="422" t="str">
        <f>IF($A182&lt;&gt;9999,IF($C182=2,VLOOKUP($A182,中間シート!$D$514:$T$663,14,FALSE),VLOOKUP($A182,中間シート!$D$514:$T$663,9,FALSE)),"")</f>
        <v/>
      </c>
      <c r="O182" s="423"/>
      <c r="P182" s="423"/>
      <c r="Q182" s="423"/>
      <c r="R182" s="423"/>
      <c r="S182" s="423"/>
      <c r="T182" s="424"/>
      <c r="U182" s="422" t="str">
        <f t="shared" si="6"/>
        <v/>
      </c>
      <c r="V182" s="424"/>
      <c r="W182" s="422" t="str">
        <f>IF($A182&lt;&gt;9999,IF($C182=2,VLOOKUP($A182,中間シート!$D$514:$T$663,15,FALSE),VLOOKUP($A182,中間シート!$D$514:$T$663,10,FALSE)),"")</f>
        <v/>
      </c>
      <c r="X182" s="423"/>
      <c r="Y182" s="423"/>
      <c r="Z182" s="423"/>
      <c r="AA182" s="423"/>
      <c r="AB182" s="423"/>
      <c r="AC182" s="424"/>
      <c r="AD182" s="422" t="str">
        <f t="shared" si="7"/>
        <v/>
      </c>
      <c r="AE182" s="424"/>
      <c r="AF182" s="422" t="str">
        <f>IF($A182&lt;&gt;9999,IF($C182=2,VLOOKUP($A182,中間シート!$D$514:$T$663,16,FALSE),VLOOKUP($A182,中間シート!$D$514:$T$663,11,FALSE)),"")</f>
        <v/>
      </c>
      <c r="AG182" s="423"/>
      <c r="AH182" s="423"/>
      <c r="AI182" s="423"/>
      <c r="AJ182" s="423"/>
      <c r="AK182" s="424"/>
      <c r="AL182" s="422" t="str">
        <f t="shared" si="8"/>
        <v/>
      </c>
      <c r="AM182" s="424"/>
      <c r="AN182" s="422" t="str">
        <f>IF($A182&lt;&gt;9999,IF($C182=2,VLOOKUP($A182,中間シート!$D$514:$T$663,17,FALSE),VLOOKUP($A182,中間シート!$D$514:$T$663,12,FALSE)),"")</f>
        <v/>
      </c>
      <c r="AO182" s="423"/>
      <c r="AP182" s="423"/>
      <c r="AQ182" s="423"/>
      <c r="AR182" s="423"/>
      <c r="AS182" s="424"/>
      <c r="AT182" s="422" t="str">
        <f t="shared" ref="AT182:AT245" si="10">IF($A182&lt;&gt;9999,IF($C182=2,"",H182),"")</f>
        <v/>
      </c>
      <c r="AU182" s="424"/>
    </row>
    <row r="183" spans="1:47" ht="16.5" customHeight="1" x14ac:dyDescent="0.15">
      <c r="A183" s="58">
        <f>中間シート!AI585</f>
        <v>9999</v>
      </c>
      <c r="B183" s="58" t="str">
        <f>中間シート!AK585</f>
        <v>事業場99</v>
      </c>
      <c r="C183" s="58" t="e">
        <f>中間シート!AJ585</f>
        <v>#N/A</v>
      </c>
      <c r="D183" s="58" t="str">
        <f>VLOOKUP($A183,中間シート!$D$514:$K$663,4)</f>
        <v/>
      </c>
      <c r="E183" s="58" t="str">
        <f>VLOOKUP($A183,中間シート!$D$514:$K$663,5)</f>
        <v/>
      </c>
      <c r="F183" s="58" t="str">
        <f>VLOOKUP($A183,中間シート!$D$514:$K$663,6)</f>
        <v/>
      </c>
      <c r="G183" s="58" t="str">
        <f>VLOOKUP($A183,中間シート!$D$514:$K$663,7)</f>
        <v/>
      </c>
      <c r="H183" s="58" t="str">
        <f>VLOOKUP($A183,中間シート!$D$514:$K$663,8)</f>
        <v/>
      </c>
      <c r="J183" s="412" t="str">
        <f t="shared" si="9"/>
        <v/>
      </c>
      <c r="K183" s="412"/>
      <c r="L183" s="412"/>
      <c r="M183" s="412"/>
      <c r="N183" s="422" t="str">
        <f>IF($A183&lt;&gt;9999,IF($C183=2,VLOOKUP($A183,中間シート!$D$514:$T$663,14,FALSE),VLOOKUP($A183,中間シート!$D$514:$T$663,9,FALSE)),"")</f>
        <v/>
      </c>
      <c r="O183" s="423"/>
      <c r="P183" s="423"/>
      <c r="Q183" s="423"/>
      <c r="R183" s="423"/>
      <c r="S183" s="423"/>
      <c r="T183" s="424"/>
      <c r="U183" s="422" t="str">
        <f t="shared" si="6"/>
        <v/>
      </c>
      <c r="V183" s="424"/>
      <c r="W183" s="422" t="str">
        <f>IF($A183&lt;&gt;9999,IF($C183=2,VLOOKUP($A183,中間シート!$D$514:$T$663,15,FALSE),VLOOKUP($A183,中間シート!$D$514:$T$663,10,FALSE)),"")</f>
        <v/>
      </c>
      <c r="X183" s="423"/>
      <c r="Y183" s="423"/>
      <c r="Z183" s="423"/>
      <c r="AA183" s="423"/>
      <c r="AB183" s="423"/>
      <c r="AC183" s="424"/>
      <c r="AD183" s="422" t="str">
        <f t="shared" si="7"/>
        <v/>
      </c>
      <c r="AE183" s="424"/>
      <c r="AF183" s="422" t="str">
        <f>IF($A183&lt;&gt;9999,IF($C183=2,VLOOKUP($A183,中間シート!$D$514:$T$663,16,FALSE),VLOOKUP($A183,中間シート!$D$514:$T$663,11,FALSE)),"")</f>
        <v/>
      </c>
      <c r="AG183" s="423"/>
      <c r="AH183" s="423"/>
      <c r="AI183" s="423"/>
      <c r="AJ183" s="423"/>
      <c r="AK183" s="424"/>
      <c r="AL183" s="422" t="str">
        <f t="shared" si="8"/>
        <v/>
      </c>
      <c r="AM183" s="424"/>
      <c r="AN183" s="422" t="str">
        <f>IF($A183&lt;&gt;9999,IF($C183=2,VLOOKUP($A183,中間シート!$D$514:$T$663,17,FALSE),VLOOKUP($A183,中間シート!$D$514:$T$663,12,FALSE)),"")</f>
        <v/>
      </c>
      <c r="AO183" s="423"/>
      <c r="AP183" s="423"/>
      <c r="AQ183" s="423"/>
      <c r="AR183" s="423"/>
      <c r="AS183" s="424"/>
      <c r="AT183" s="422" t="str">
        <f t="shared" si="10"/>
        <v/>
      </c>
      <c r="AU183" s="424"/>
    </row>
    <row r="184" spans="1:47" ht="16.5" customHeight="1" x14ac:dyDescent="0.15">
      <c r="A184" s="58">
        <f>中間シート!AI586</f>
        <v>9999</v>
      </c>
      <c r="B184" s="58" t="str">
        <f>中間シート!AK586</f>
        <v>事業場99</v>
      </c>
      <c r="C184" s="58" t="e">
        <f>中間シート!AJ586</f>
        <v>#N/A</v>
      </c>
      <c r="D184" s="58" t="str">
        <f>VLOOKUP($A184,中間シート!$D$514:$K$663,4)</f>
        <v/>
      </c>
      <c r="E184" s="58" t="str">
        <f>VLOOKUP($A184,中間シート!$D$514:$K$663,5)</f>
        <v/>
      </c>
      <c r="F184" s="58" t="str">
        <f>VLOOKUP($A184,中間シート!$D$514:$K$663,6)</f>
        <v/>
      </c>
      <c r="G184" s="58" t="str">
        <f>VLOOKUP($A184,中間シート!$D$514:$K$663,7)</f>
        <v/>
      </c>
      <c r="H184" s="58" t="str">
        <f>VLOOKUP($A184,中間シート!$D$514:$K$663,8)</f>
        <v/>
      </c>
      <c r="J184" s="412" t="str">
        <f t="shared" si="9"/>
        <v/>
      </c>
      <c r="K184" s="412"/>
      <c r="L184" s="412"/>
      <c r="M184" s="412"/>
      <c r="N184" s="422" t="str">
        <f>IF($A184&lt;&gt;9999,IF($C184=2,VLOOKUP($A184,中間シート!$D$514:$T$663,14,FALSE),VLOOKUP($A184,中間シート!$D$514:$T$663,9,FALSE)),"")</f>
        <v/>
      </c>
      <c r="O184" s="423"/>
      <c r="P184" s="423"/>
      <c r="Q184" s="423"/>
      <c r="R184" s="423"/>
      <c r="S184" s="423"/>
      <c r="T184" s="424"/>
      <c r="U184" s="422" t="str">
        <f t="shared" si="6"/>
        <v/>
      </c>
      <c r="V184" s="424"/>
      <c r="W184" s="422" t="str">
        <f>IF($A184&lt;&gt;9999,IF($C184=2,VLOOKUP($A184,中間シート!$D$514:$T$663,15,FALSE),VLOOKUP($A184,中間シート!$D$514:$T$663,10,FALSE)),"")</f>
        <v/>
      </c>
      <c r="X184" s="423"/>
      <c r="Y184" s="423"/>
      <c r="Z184" s="423"/>
      <c r="AA184" s="423"/>
      <c r="AB184" s="423"/>
      <c r="AC184" s="424"/>
      <c r="AD184" s="422" t="str">
        <f t="shared" si="7"/>
        <v/>
      </c>
      <c r="AE184" s="424"/>
      <c r="AF184" s="422" t="str">
        <f>IF($A184&lt;&gt;9999,IF($C184=2,VLOOKUP($A184,中間シート!$D$514:$T$663,16,FALSE),VLOOKUP($A184,中間シート!$D$514:$T$663,11,FALSE)),"")</f>
        <v/>
      </c>
      <c r="AG184" s="423"/>
      <c r="AH184" s="423"/>
      <c r="AI184" s="423"/>
      <c r="AJ184" s="423"/>
      <c r="AK184" s="424"/>
      <c r="AL184" s="422" t="str">
        <f t="shared" si="8"/>
        <v/>
      </c>
      <c r="AM184" s="424"/>
      <c r="AN184" s="422" t="str">
        <f>IF($A184&lt;&gt;9999,IF($C184=2,VLOOKUP($A184,中間シート!$D$514:$T$663,17,FALSE),VLOOKUP($A184,中間シート!$D$514:$T$663,12,FALSE)),"")</f>
        <v/>
      </c>
      <c r="AO184" s="423"/>
      <c r="AP184" s="423"/>
      <c r="AQ184" s="423"/>
      <c r="AR184" s="423"/>
      <c r="AS184" s="424"/>
      <c r="AT184" s="422" t="str">
        <f t="shared" si="10"/>
        <v/>
      </c>
      <c r="AU184" s="424"/>
    </row>
    <row r="185" spans="1:47" ht="16.5" customHeight="1" x14ac:dyDescent="0.15">
      <c r="A185" s="58">
        <f>中間シート!AI587</f>
        <v>9999</v>
      </c>
      <c r="B185" s="58" t="str">
        <f>中間シート!AK587</f>
        <v>事業場99</v>
      </c>
      <c r="C185" s="58" t="e">
        <f>中間シート!AJ587</f>
        <v>#N/A</v>
      </c>
      <c r="D185" s="58" t="str">
        <f>VLOOKUP($A185,中間シート!$D$514:$K$663,4)</f>
        <v/>
      </c>
      <c r="E185" s="58" t="str">
        <f>VLOOKUP($A185,中間シート!$D$514:$K$663,5)</f>
        <v/>
      </c>
      <c r="F185" s="58" t="str">
        <f>VLOOKUP($A185,中間シート!$D$514:$K$663,6)</f>
        <v/>
      </c>
      <c r="G185" s="58" t="str">
        <f>VLOOKUP($A185,中間シート!$D$514:$K$663,7)</f>
        <v/>
      </c>
      <c r="H185" s="58" t="str">
        <f>VLOOKUP($A185,中間シート!$D$514:$K$663,8)</f>
        <v/>
      </c>
      <c r="J185" s="412" t="str">
        <f t="shared" si="9"/>
        <v/>
      </c>
      <c r="K185" s="412"/>
      <c r="L185" s="412"/>
      <c r="M185" s="412"/>
      <c r="N185" s="422" t="str">
        <f>IF($A185&lt;&gt;9999,IF($C185=2,VLOOKUP($A185,中間シート!$D$514:$T$663,14,FALSE),VLOOKUP($A185,中間シート!$D$514:$T$663,9,FALSE)),"")</f>
        <v/>
      </c>
      <c r="O185" s="423"/>
      <c r="P185" s="423"/>
      <c r="Q185" s="423"/>
      <c r="R185" s="423"/>
      <c r="S185" s="423"/>
      <c r="T185" s="424"/>
      <c r="U185" s="422" t="str">
        <f t="shared" si="6"/>
        <v/>
      </c>
      <c r="V185" s="424"/>
      <c r="W185" s="422" t="str">
        <f>IF($A185&lt;&gt;9999,IF($C185=2,VLOOKUP($A185,中間シート!$D$514:$T$663,15,FALSE),VLOOKUP($A185,中間シート!$D$514:$T$663,10,FALSE)),"")</f>
        <v/>
      </c>
      <c r="X185" s="423"/>
      <c r="Y185" s="423"/>
      <c r="Z185" s="423"/>
      <c r="AA185" s="423"/>
      <c r="AB185" s="423"/>
      <c r="AC185" s="424"/>
      <c r="AD185" s="422" t="str">
        <f t="shared" si="7"/>
        <v/>
      </c>
      <c r="AE185" s="424"/>
      <c r="AF185" s="422" t="str">
        <f>IF($A185&lt;&gt;9999,IF($C185=2,VLOOKUP($A185,中間シート!$D$514:$T$663,16,FALSE),VLOOKUP($A185,中間シート!$D$514:$T$663,11,FALSE)),"")</f>
        <v/>
      </c>
      <c r="AG185" s="423"/>
      <c r="AH185" s="423"/>
      <c r="AI185" s="423"/>
      <c r="AJ185" s="423"/>
      <c r="AK185" s="424"/>
      <c r="AL185" s="422" t="str">
        <f t="shared" si="8"/>
        <v/>
      </c>
      <c r="AM185" s="424"/>
      <c r="AN185" s="422" t="str">
        <f>IF($A185&lt;&gt;9999,IF($C185=2,VLOOKUP($A185,中間シート!$D$514:$T$663,17,FALSE),VLOOKUP($A185,中間シート!$D$514:$T$663,12,FALSE)),"")</f>
        <v/>
      </c>
      <c r="AO185" s="423"/>
      <c r="AP185" s="423"/>
      <c r="AQ185" s="423"/>
      <c r="AR185" s="423"/>
      <c r="AS185" s="424"/>
      <c r="AT185" s="422" t="str">
        <f t="shared" si="10"/>
        <v/>
      </c>
      <c r="AU185" s="424"/>
    </row>
    <row r="186" spans="1:47" ht="16.5" customHeight="1" x14ac:dyDescent="0.15">
      <c r="A186" s="58">
        <f>中間シート!AI588</f>
        <v>9999</v>
      </c>
      <c r="B186" s="58" t="str">
        <f>中間シート!AK588</f>
        <v>事業場99</v>
      </c>
      <c r="C186" s="58" t="e">
        <f>中間シート!AJ588</f>
        <v>#N/A</v>
      </c>
      <c r="D186" s="58" t="str">
        <f>VLOOKUP($A186,中間シート!$D$514:$K$663,4)</f>
        <v/>
      </c>
      <c r="E186" s="58" t="str">
        <f>VLOOKUP($A186,中間シート!$D$514:$K$663,5)</f>
        <v/>
      </c>
      <c r="F186" s="58" t="str">
        <f>VLOOKUP($A186,中間シート!$D$514:$K$663,6)</f>
        <v/>
      </c>
      <c r="G186" s="58" t="str">
        <f>VLOOKUP($A186,中間シート!$D$514:$K$663,7)</f>
        <v/>
      </c>
      <c r="H186" s="58" t="str">
        <f>VLOOKUP($A186,中間シート!$D$514:$K$663,8)</f>
        <v/>
      </c>
      <c r="J186" s="412" t="str">
        <f t="shared" si="9"/>
        <v/>
      </c>
      <c r="K186" s="412"/>
      <c r="L186" s="412"/>
      <c r="M186" s="412"/>
      <c r="N186" s="422" t="str">
        <f>IF($A186&lt;&gt;9999,IF($C186=2,VLOOKUP($A186,中間シート!$D$514:$T$663,14,FALSE),VLOOKUP($A186,中間シート!$D$514:$T$663,9,FALSE)),"")</f>
        <v/>
      </c>
      <c r="O186" s="423"/>
      <c r="P186" s="423"/>
      <c r="Q186" s="423"/>
      <c r="R186" s="423"/>
      <c r="S186" s="423"/>
      <c r="T186" s="424"/>
      <c r="U186" s="422" t="str">
        <f t="shared" si="6"/>
        <v/>
      </c>
      <c r="V186" s="424"/>
      <c r="W186" s="422" t="str">
        <f>IF($A186&lt;&gt;9999,IF($C186=2,VLOOKUP($A186,中間シート!$D$514:$T$663,15,FALSE),VLOOKUP($A186,中間シート!$D$514:$T$663,10,FALSE)),"")</f>
        <v/>
      </c>
      <c r="X186" s="423"/>
      <c r="Y186" s="423"/>
      <c r="Z186" s="423"/>
      <c r="AA186" s="423"/>
      <c r="AB186" s="423"/>
      <c r="AC186" s="424"/>
      <c r="AD186" s="422" t="str">
        <f t="shared" si="7"/>
        <v/>
      </c>
      <c r="AE186" s="424"/>
      <c r="AF186" s="422" t="str">
        <f>IF($A186&lt;&gt;9999,IF($C186=2,VLOOKUP($A186,中間シート!$D$514:$T$663,16,FALSE),VLOOKUP($A186,中間シート!$D$514:$T$663,11,FALSE)),"")</f>
        <v/>
      </c>
      <c r="AG186" s="423"/>
      <c r="AH186" s="423"/>
      <c r="AI186" s="423"/>
      <c r="AJ186" s="423"/>
      <c r="AK186" s="424"/>
      <c r="AL186" s="422" t="str">
        <f t="shared" si="8"/>
        <v/>
      </c>
      <c r="AM186" s="424"/>
      <c r="AN186" s="422" t="str">
        <f>IF($A186&lt;&gt;9999,IF($C186=2,VLOOKUP($A186,中間シート!$D$514:$T$663,17,FALSE),VLOOKUP($A186,中間シート!$D$514:$T$663,12,FALSE)),"")</f>
        <v/>
      </c>
      <c r="AO186" s="423"/>
      <c r="AP186" s="423"/>
      <c r="AQ186" s="423"/>
      <c r="AR186" s="423"/>
      <c r="AS186" s="424"/>
      <c r="AT186" s="422" t="str">
        <f t="shared" si="10"/>
        <v/>
      </c>
      <c r="AU186" s="424"/>
    </row>
    <row r="187" spans="1:47" ht="16.5" customHeight="1" x14ac:dyDescent="0.15">
      <c r="A187" s="58">
        <f>中間シート!AI589</f>
        <v>9999</v>
      </c>
      <c r="B187" s="58" t="str">
        <f>中間シート!AK589</f>
        <v>事業場99</v>
      </c>
      <c r="C187" s="58" t="e">
        <f>中間シート!AJ589</f>
        <v>#N/A</v>
      </c>
      <c r="D187" s="58" t="str">
        <f>VLOOKUP($A187,中間シート!$D$514:$K$663,4)</f>
        <v/>
      </c>
      <c r="E187" s="58" t="str">
        <f>VLOOKUP($A187,中間シート!$D$514:$K$663,5)</f>
        <v/>
      </c>
      <c r="F187" s="58" t="str">
        <f>VLOOKUP($A187,中間シート!$D$514:$K$663,6)</f>
        <v/>
      </c>
      <c r="G187" s="58" t="str">
        <f>VLOOKUP($A187,中間シート!$D$514:$K$663,7)</f>
        <v/>
      </c>
      <c r="H187" s="58" t="str">
        <f>VLOOKUP($A187,中間シート!$D$514:$K$663,8)</f>
        <v/>
      </c>
      <c r="J187" s="412" t="str">
        <f t="shared" si="9"/>
        <v/>
      </c>
      <c r="K187" s="412"/>
      <c r="L187" s="412"/>
      <c r="M187" s="412"/>
      <c r="N187" s="422" t="str">
        <f>IF($A187&lt;&gt;9999,IF($C187=2,VLOOKUP($A187,中間シート!$D$514:$T$663,14,FALSE),VLOOKUP($A187,中間シート!$D$514:$T$663,9,FALSE)),"")</f>
        <v/>
      </c>
      <c r="O187" s="423"/>
      <c r="P187" s="423"/>
      <c r="Q187" s="423"/>
      <c r="R187" s="423"/>
      <c r="S187" s="423"/>
      <c r="T187" s="424"/>
      <c r="U187" s="422" t="str">
        <f t="shared" si="6"/>
        <v/>
      </c>
      <c r="V187" s="424"/>
      <c r="W187" s="422" t="str">
        <f>IF($A187&lt;&gt;9999,IF($C187=2,VLOOKUP($A187,中間シート!$D$514:$T$663,15,FALSE),VLOOKUP($A187,中間シート!$D$514:$T$663,10,FALSE)),"")</f>
        <v/>
      </c>
      <c r="X187" s="423"/>
      <c r="Y187" s="423"/>
      <c r="Z187" s="423"/>
      <c r="AA187" s="423"/>
      <c r="AB187" s="423"/>
      <c r="AC187" s="424"/>
      <c r="AD187" s="422" t="str">
        <f t="shared" si="7"/>
        <v/>
      </c>
      <c r="AE187" s="424"/>
      <c r="AF187" s="422" t="str">
        <f>IF($A187&lt;&gt;9999,IF($C187=2,VLOOKUP($A187,中間シート!$D$514:$T$663,16,FALSE),VLOOKUP($A187,中間シート!$D$514:$T$663,11,FALSE)),"")</f>
        <v/>
      </c>
      <c r="AG187" s="423"/>
      <c r="AH187" s="423"/>
      <c r="AI187" s="423"/>
      <c r="AJ187" s="423"/>
      <c r="AK187" s="424"/>
      <c r="AL187" s="422" t="str">
        <f t="shared" si="8"/>
        <v/>
      </c>
      <c r="AM187" s="424"/>
      <c r="AN187" s="422" t="str">
        <f>IF($A187&lt;&gt;9999,IF($C187=2,VLOOKUP($A187,中間シート!$D$514:$T$663,17,FALSE),VLOOKUP($A187,中間シート!$D$514:$T$663,12,FALSE)),"")</f>
        <v/>
      </c>
      <c r="AO187" s="423"/>
      <c r="AP187" s="423"/>
      <c r="AQ187" s="423"/>
      <c r="AR187" s="423"/>
      <c r="AS187" s="424"/>
      <c r="AT187" s="422" t="str">
        <f t="shared" si="10"/>
        <v/>
      </c>
      <c r="AU187" s="424"/>
    </row>
    <row r="188" spans="1:47" ht="16.5" customHeight="1" x14ac:dyDescent="0.15">
      <c r="A188" s="58">
        <f>中間シート!AI590</f>
        <v>9999</v>
      </c>
      <c r="B188" s="58" t="str">
        <f>中間シート!AK590</f>
        <v>事業場99</v>
      </c>
      <c r="C188" s="58" t="e">
        <f>中間シート!AJ590</f>
        <v>#N/A</v>
      </c>
      <c r="D188" s="58" t="str">
        <f>VLOOKUP($A188,中間シート!$D$514:$K$663,4)</f>
        <v/>
      </c>
      <c r="E188" s="58" t="str">
        <f>VLOOKUP($A188,中間シート!$D$514:$K$663,5)</f>
        <v/>
      </c>
      <c r="F188" s="58" t="str">
        <f>VLOOKUP($A188,中間シート!$D$514:$K$663,6)</f>
        <v/>
      </c>
      <c r="G188" s="58" t="str">
        <f>VLOOKUP($A188,中間シート!$D$514:$K$663,7)</f>
        <v/>
      </c>
      <c r="H188" s="58" t="str">
        <f>VLOOKUP($A188,中間シート!$D$514:$K$663,8)</f>
        <v/>
      </c>
      <c r="J188" s="412" t="str">
        <f t="shared" si="9"/>
        <v/>
      </c>
      <c r="K188" s="412"/>
      <c r="L188" s="412"/>
      <c r="M188" s="412"/>
      <c r="N188" s="422" t="str">
        <f>IF($A188&lt;&gt;9999,IF($C188=2,VLOOKUP($A188,中間シート!$D$514:$T$663,14,FALSE),VLOOKUP($A188,中間シート!$D$514:$T$663,9,FALSE)),"")</f>
        <v/>
      </c>
      <c r="O188" s="423"/>
      <c r="P188" s="423"/>
      <c r="Q188" s="423"/>
      <c r="R188" s="423"/>
      <c r="S188" s="423"/>
      <c r="T188" s="424"/>
      <c r="U188" s="422" t="str">
        <f t="shared" si="6"/>
        <v/>
      </c>
      <c r="V188" s="424"/>
      <c r="W188" s="422" t="str">
        <f>IF($A188&lt;&gt;9999,IF($C188=2,VLOOKUP($A188,中間シート!$D$514:$T$663,15,FALSE),VLOOKUP($A188,中間シート!$D$514:$T$663,10,FALSE)),"")</f>
        <v/>
      </c>
      <c r="X188" s="423"/>
      <c r="Y188" s="423"/>
      <c r="Z188" s="423"/>
      <c r="AA188" s="423"/>
      <c r="AB188" s="423"/>
      <c r="AC188" s="424"/>
      <c r="AD188" s="422" t="str">
        <f t="shared" si="7"/>
        <v/>
      </c>
      <c r="AE188" s="424"/>
      <c r="AF188" s="422" t="str">
        <f>IF($A188&lt;&gt;9999,IF($C188=2,VLOOKUP($A188,中間シート!$D$514:$T$663,16,FALSE),VLOOKUP($A188,中間シート!$D$514:$T$663,11,FALSE)),"")</f>
        <v/>
      </c>
      <c r="AG188" s="423"/>
      <c r="AH188" s="423"/>
      <c r="AI188" s="423"/>
      <c r="AJ188" s="423"/>
      <c r="AK188" s="424"/>
      <c r="AL188" s="422" t="str">
        <f t="shared" si="8"/>
        <v/>
      </c>
      <c r="AM188" s="424"/>
      <c r="AN188" s="422" t="str">
        <f>IF($A188&lt;&gt;9999,IF($C188=2,VLOOKUP($A188,中間シート!$D$514:$T$663,17,FALSE),VLOOKUP($A188,中間シート!$D$514:$T$663,12,FALSE)),"")</f>
        <v/>
      </c>
      <c r="AO188" s="423"/>
      <c r="AP188" s="423"/>
      <c r="AQ188" s="423"/>
      <c r="AR188" s="423"/>
      <c r="AS188" s="424"/>
      <c r="AT188" s="422" t="str">
        <f t="shared" si="10"/>
        <v/>
      </c>
      <c r="AU188" s="424"/>
    </row>
    <row r="189" spans="1:47" ht="16.5" customHeight="1" x14ac:dyDescent="0.15">
      <c r="A189" s="58">
        <f>中間シート!AI591</f>
        <v>9999</v>
      </c>
      <c r="B189" s="58" t="str">
        <f>中間シート!AK591</f>
        <v>事業場99</v>
      </c>
      <c r="C189" s="58" t="e">
        <f>中間シート!AJ591</f>
        <v>#N/A</v>
      </c>
      <c r="D189" s="58" t="str">
        <f>VLOOKUP($A189,中間シート!$D$514:$K$663,4)</f>
        <v/>
      </c>
      <c r="E189" s="58" t="str">
        <f>VLOOKUP($A189,中間シート!$D$514:$K$663,5)</f>
        <v/>
      </c>
      <c r="F189" s="58" t="str">
        <f>VLOOKUP($A189,中間シート!$D$514:$K$663,6)</f>
        <v/>
      </c>
      <c r="G189" s="58" t="str">
        <f>VLOOKUP($A189,中間シート!$D$514:$K$663,7)</f>
        <v/>
      </c>
      <c r="H189" s="58" t="str">
        <f>VLOOKUP($A189,中間シート!$D$514:$K$663,8)</f>
        <v/>
      </c>
      <c r="J189" s="412" t="str">
        <f t="shared" si="9"/>
        <v/>
      </c>
      <c r="K189" s="412"/>
      <c r="L189" s="412"/>
      <c r="M189" s="412"/>
      <c r="N189" s="422" t="str">
        <f>IF($A189&lt;&gt;9999,IF($C189=2,VLOOKUP($A189,中間シート!$D$514:$T$663,14,FALSE),VLOOKUP($A189,中間シート!$D$514:$T$663,9,FALSE)),"")</f>
        <v/>
      </c>
      <c r="O189" s="423"/>
      <c r="P189" s="423"/>
      <c r="Q189" s="423"/>
      <c r="R189" s="423"/>
      <c r="S189" s="423"/>
      <c r="T189" s="424"/>
      <c r="U189" s="422" t="str">
        <f t="shared" si="6"/>
        <v/>
      </c>
      <c r="V189" s="424"/>
      <c r="W189" s="422" t="str">
        <f>IF($A189&lt;&gt;9999,IF($C189=2,VLOOKUP($A189,中間シート!$D$514:$T$663,15,FALSE),VLOOKUP($A189,中間シート!$D$514:$T$663,10,FALSE)),"")</f>
        <v/>
      </c>
      <c r="X189" s="423"/>
      <c r="Y189" s="423"/>
      <c r="Z189" s="423"/>
      <c r="AA189" s="423"/>
      <c r="AB189" s="423"/>
      <c r="AC189" s="424"/>
      <c r="AD189" s="422" t="str">
        <f t="shared" si="7"/>
        <v/>
      </c>
      <c r="AE189" s="424"/>
      <c r="AF189" s="422" t="str">
        <f>IF($A189&lt;&gt;9999,IF($C189=2,VLOOKUP($A189,中間シート!$D$514:$T$663,16,FALSE),VLOOKUP($A189,中間シート!$D$514:$T$663,11,FALSE)),"")</f>
        <v/>
      </c>
      <c r="AG189" s="423"/>
      <c r="AH189" s="423"/>
      <c r="AI189" s="423"/>
      <c r="AJ189" s="423"/>
      <c r="AK189" s="424"/>
      <c r="AL189" s="422" t="str">
        <f t="shared" si="8"/>
        <v/>
      </c>
      <c r="AM189" s="424"/>
      <c r="AN189" s="422" t="str">
        <f>IF($A189&lt;&gt;9999,IF($C189=2,VLOOKUP($A189,中間シート!$D$514:$T$663,17,FALSE),VLOOKUP($A189,中間シート!$D$514:$T$663,12,FALSE)),"")</f>
        <v/>
      </c>
      <c r="AO189" s="423"/>
      <c r="AP189" s="423"/>
      <c r="AQ189" s="423"/>
      <c r="AR189" s="423"/>
      <c r="AS189" s="424"/>
      <c r="AT189" s="422" t="str">
        <f t="shared" si="10"/>
        <v/>
      </c>
      <c r="AU189" s="424"/>
    </row>
    <row r="190" spans="1:47" ht="16.5" customHeight="1" x14ac:dyDescent="0.15">
      <c r="A190" s="58">
        <f>中間シート!AI592</f>
        <v>9999</v>
      </c>
      <c r="B190" s="58" t="str">
        <f>中間シート!AK592</f>
        <v>事業場99</v>
      </c>
      <c r="C190" s="58" t="e">
        <f>中間シート!AJ592</f>
        <v>#N/A</v>
      </c>
      <c r="D190" s="58" t="str">
        <f>VLOOKUP($A190,中間シート!$D$514:$K$663,4)</f>
        <v/>
      </c>
      <c r="E190" s="58" t="str">
        <f>VLOOKUP($A190,中間シート!$D$514:$K$663,5)</f>
        <v/>
      </c>
      <c r="F190" s="58" t="str">
        <f>VLOOKUP($A190,中間シート!$D$514:$K$663,6)</f>
        <v/>
      </c>
      <c r="G190" s="58" t="str">
        <f>VLOOKUP($A190,中間シート!$D$514:$K$663,7)</f>
        <v/>
      </c>
      <c r="H190" s="58" t="str">
        <f>VLOOKUP($A190,中間シート!$D$514:$K$663,8)</f>
        <v/>
      </c>
      <c r="J190" s="412" t="str">
        <f t="shared" si="9"/>
        <v/>
      </c>
      <c r="K190" s="412"/>
      <c r="L190" s="412"/>
      <c r="M190" s="412"/>
      <c r="N190" s="422" t="str">
        <f>IF($A190&lt;&gt;9999,IF($C190=2,VLOOKUP($A190,中間シート!$D$514:$T$663,14,FALSE),VLOOKUP($A190,中間シート!$D$514:$T$663,9,FALSE)),"")</f>
        <v/>
      </c>
      <c r="O190" s="423"/>
      <c r="P190" s="423"/>
      <c r="Q190" s="423"/>
      <c r="R190" s="423"/>
      <c r="S190" s="423"/>
      <c r="T190" s="424"/>
      <c r="U190" s="422" t="str">
        <f t="shared" si="6"/>
        <v/>
      </c>
      <c r="V190" s="424"/>
      <c r="W190" s="422" t="str">
        <f>IF($A190&lt;&gt;9999,IF($C190=2,VLOOKUP($A190,中間シート!$D$514:$T$663,15,FALSE),VLOOKUP($A190,中間シート!$D$514:$T$663,10,FALSE)),"")</f>
        <v/>
      </c>
      <c r="X190" s="423"/>
      <c r="Y190" s="423"/>
      <c r="Z190" s="423"/>
      <c r="AA190" s="423"/>
      <c r="AB190" s="423"/>
      <c r="AC190" s="424"/>
      <c r="AD190" s="422" t="str">
        <f t="shared" si="7"/>
        <v/>
      </c>
      <c r="AE190" s="424"/>
      <c r="AF190" s="422" t="str">
        <f>IF($A190&lt;&gt;9999,IF($C190=2,VLOOKUP($A190,中間シート!$D$514:$T$663,16,FALSE),VLOOKUP($A190,中間シート!$D$514:$T$663,11,FALSE)),"")</f>
        <v/>
      </c>
      <c r="AG190" s="423"/>
      <c r="AH190" s="423"/>
      <c r="AI190" s="423"/>
      <c r="AJ190" s="423"/>
      <c r="AK190" s="424"/>
      <c r="AL190" s="422" t="str">
        <f t="shared" si="8"/>
        <v/>
      </c>
      <c r="AM190" s="424"/>
      <c r="AN190" s="422" t="str">
        <f>IF($A190&lt;&gt;9999,IF($C190=2,VLOOKUP($A190,中間シート!$D$514:$T$663,17,FALSE),VLOOKUP($A190,中間シート!$D$514:$T$663,12,FALSE)),"")</f>
        <v/>
      </c>
      <c r="AO190" s="423"/>
      <c r="AP190" s="423"/>
      <c r="AQ190" s="423"/>
      <c r="AR190" s="423"/>
      <c r="AS190" s="424"/>
      <c r="AT190" s="422" t="str">
        <f t="shared" si="10"/>
        <v/>
      </c>
      <c r="AU190" s="424"/>
    </row>
    <row r="191" spans="1:47" ht="16.5" customHeight="1" x14ac:dyDescent="0.15">
      <c r="A191" s="58">
        <f>中間シート!AI593</f>
        <v>9999</v>
      </c>
      <c r="B191" s="58" t="str">
        <f>中間シート!AK593</f>
        <v>事業場99</v>
      </c>
      <c r="C191" s="58" t="e">
        <f>中間シート!AJ593</f>
        <v>#N/A</v>
      </c>
      <c r="D191" s="58" t="str">
        <f>VLOOKUP($A191,中間シート!$D$514:$K$663,4)</f>
        <v/>
      </c>
      <c r="E191" s="58" t="str">
        <f>VLOOKUP($A191,中間シート!$D$514:$K$663,5)</f>
        <v/>
      </c>
      <c r="F191" s="58" t="str">
        <f>VLOOKUP($A191,中間シート!$D$514:$K$663,6)</f>
        <v/>
      </c>
      <c r="G191" s="58" t="str">
        <f>VLOOKUP($A191,中間シート!$D$514:$K$663,7)</f>
        <v/>
      </c>
      <c r="H191" s="58" t="str">
        <f>VLOOKUP($A191,中間シート!$D$514:$K$663,8)</f>
        <v/>
      </c>
      <c r="J191" s="412" t="str">
        <f t="shared" si="9"/>
        <v/>
      </c>
      <c r="K191" s="412"/>
      <c r="L191" s="412"/>
      <c r="M191" s="412"/>
      <c r="N191" s="422" t="str">
        <f>IF($A191&lt;&gt;9999,IF($C191=2,VLOOKUP($A191,中間シート!$D$514:$T$663,14,FALSE),VLOOKUP($A191,中間シート!$D$514:$T$663,9,FALSE)),"")</f>
        <v/>
      </c>
      <c r="O191" s="423"/>
      <c r="P191" s="423"/>
      <c r="Q191" s="423"/>
      <c r="R191" s="423"/>
      <c r="S191" s="423"/>
      <c r="T191" s="424"/>
      <c r="U191" s="422" t="str">
        <f t="shared" si="6"/>
        <v/>
      </c>
      <c r="V191" s="424"/>
      <c r="W191" s="422" t="str">
        <f>IF($A191&lt;&gt;9999,IF($C191=2,VLOOKUP($A191,中間シート!$D$514:$T$663,15,FALSE),VLOOKUP($A191,中間シート!$D$514:$T$663,10,FALSE)),"")</f>
        <v/>
      </c>
      <c r="X191" s="423"/>
      <c r="Y191" s="423"/>
      <c r="Z191" s="423"/>
      <c r="AA191" s="423"/>
      <c r="AB191" s="423"/>
      <c r="AC191" s="424"/>
      <c r="AD191" s="422" t="str">
        <f t="shared" si="7"/>
        <v/>
      </c>
      <c r="AE191" s="424"/>
      <c r="AF191" s="422" t="str">
        <f>IF($A191&lt;&gt;9999,IF($C191=2,VLOOKUP($A191,中間シート!$D$514:$T$663,16,FALSE),VLOOKUP($A191,中間シート!$D$514:$T$663,11,FALSE)),"")</f>
        <v/>
      </c>
      <c r="AG191" s="423"/>
      <c r="AH191" s="423"/>
      <c r="AI191" s="423"/>
      <c r="AJ191" s="423"/>
      <c r="AK191" s="424"/>
      <c r="AL191" s="422" t="str">
        <f t="shared" si="8"/>
        <v/>
      </c>
      <c r="AM191" s="424"/>
      <c r="AN191" s="422" t="str">
        <f>IF($A191&lt;&gt;9999,IF($C191=2,VLOOKUP($A191,中間シート!$D$514:$T$663,17,FALSE),VLOOKUP($A191,中間シート!$D$514:$T$663,12,FALSE)),"")</f>
        <v/>
      </c>
      <c r="AO191" s="423"/>
      <c r="AP191" s="423"/>
      <c r="AQ191" s="423"/>
      <c r="AR191" s="423"/>
      <c r="AS191" s="424"/>
      <c r="AT191" s="422" t="str">
        <f t="shared" si="10"/>
        <v/>
      </c>
      <c r="AU191" s="424"/>
    </row>
    <row r="192" spans="1:47" ht="16.5" customHeight="1" x14ac:dyDescent="0.15">
      <c r="A192" s="58">
        <f>中間シート!AI594</f>
        <v>9999</v>
      </c>
      <c r="B192" s="58" t="str">
        <f>中間シート!AK594</f>
        <v>事業場99</v>
      </c>
      <c r="C192" s="58" t="e">
        <f>中間シート!AJ594</f>
        <v>#N/A</v>
      </c>
      <c r="D192" s="58" t="str">
        <f>VLOOKUP($A192,中間シート!$D$514:$K$663,4)</f>
        <v/>
      </c>
      <c r="E192" s="58" t="str">
        <f>VLOOKUP($A192,中間シート!$D$514:$K$663,5)</f>
        <v/>
      </c>
      <c r="F192" s="58" t="str">
        <f>VLOOKUP($A192,中間シート!$D$514:$K$663,6)</f>
        <v/>
      </c>
      <c r="G192" s="58" t="str">
        <f>VLOOKUP($A192,中間シート!$D$514:$K$663,7)</f>
        <v/>
      </c>
      <c r="H192" s="58" t="str">
        <f>VLOOKUP($A192,中間シート!$D$514:$K$663,8)</f>
        <v/>
      </c>
      <c r="J192" s="412" t="str">
        <f t="shared" si="9"/>
        <v/>
      </c>
      <c r="K192" s="412"/>
      <c r="L192" s="412"/>
      <c r="M192" s="412"/>
      <c r="N192" s="422" t="str">
        <f>IF($A192&lt;&gt;9999,IF($C192=2,VLOOKUP($A192,中間シート!$D$514:$T$663,14,FALSE),VLOOKUP($A192,中間シート!$D$514:$T$663,9,FALSE)),"")</f>
        <v/>
      </c>
      <c r="O192" s="423"/>
      <c r="P192" s="423"/>
      <c r="Q192" s="423"/>
      <c r="R192" s="423"/>
      <c r="S192" s="423"/>
      <c r="T192" s="424"/>
      <c r="U192" s="422" t="str">
        <f t="shared" si="6"/>
        <v/>
      </c>
      <c r="V192" s="424"/>
      <c r="W192" s="422" t="str">
        <f>IF($A192&lt;&gt;9999,IF($C192=2,VLOOKUP($A192,中間シート!$D$514:$T$663,15,FALSE),VLOOKUP($A192,中間シート!$D$514:$T$663,10,FALSE)),"")</f>
        <v/>
      </c>
      <c r="X192" s="423"/>
      <c r="Y192" s="423"/>
      <c r="Z192" s="423"/>
      <c r="AA192" s="423"/>
      <c r="AB192" s="423"/>
      <c r="AC192" s="424"/>
      <c r="AD192" s="422" t="str">
        <f t="shared" si="7"/>
        <v/>
      </c>
      <c r="AE192" s="424"/>
      <c r="AF192" s="422" t="str">
        <f>IF($A192&lt;&gt;9999,IF($C192=2,VLOOKUP($A192,中間シート!$D$514:$T$663,16,FALSE),VLOOKUP($A192,中間シート!$D$514:$T$663,11,FALSE)),"")</f>
        <v/>
      </c>
      <c r="AG192" s="423"/>
      <c r="AH192" s="423"/>
      <c r="AI192" s="423"/>
      <c r="AJ192" s="423"/>
      <c r="AK192" s="424"/>
      <c r="AL192" s="422" t="str">
        <f t="shared" si="8"/>
        <v/>
      </c>
      <c r="AM192" s="424"/>
      <c r="AN192" s="422" t="str">
        <f>IF($A192&lt;&gt;9999,IF($C192=2,VLOOKUP($A192,中間シート!$D$514:$T$663,17,FALSE),VLOOKUP($A192,中間シート!$D$514:$T$663,12,FALSE)),"")</f>
        <v/>
      </c>
      <c r="AO192" s="423"/>
      <c r="AP192" s="423"/>
      <c r="AQ192" s="423"/>
      <c r="AR192" s="423"/>
      <c r="AS192" s="424"/>
      <c r="AT192" s="422" t="str">
        <f t="shared" si="10"/>
        <v/>
      </c>
      <c r="AU192" s="424"/>
    </row>
    <row r="193" spans="1:47" ht="16.5" customHeight="1" x14ac:dyDescent="0.15">
      <c r="A193" s="58">
        <f>中間シート!AI595</f>
        <v>9999</v>
      </c>
      <c r="B193" s="58" t="str">
        <f>中間シート!AK595</f>
        <v>事業場99</v>
      </c>
      <c r="C193" s="58" t="e">
        <f>中間シート!AJ595</f>
        <v>#N/A</v>
      </c>
      <c r="D193" s="58" t="str">
        <f>VLOOKUP($A193,中間シート!$D$514:$K$663,4)</f>
        <v/>
      </c>
      <c r="E193" s="58" t="str">
        <f>VLOOKUP($A193,中間シート!$D$514:$K$663,5)</f>
        <v/>
      </c>
      <c r="F193" s="58" t="str">
        <f>VLOOKUP($A193,中間シート!$D$514:$K$663,6)</f>
        <v/>
      </c>
      <c r="G193" s="58" t="str">
        <f>VLOOKUP($A193,中間シート!$D$514:$K$663,7)</f>
        <v/>
      </c>
      <c r="H193" s="58" t="str">
        <f>VLOOKUP($A193,中間シート!$D$514:$K$663,8)</f>
        <v/>
      </c>
      <c r="J193" s="412" t="str">
        <f t="shared" si="9"/>
        <v/>
      </c>
      <c r="K193" s="412"/>
      <c r="L193" s="412"/>
      <c r="M193" s="412"/>
      <c r="N193" s="422" t="str">
        <f>IF($A193&lt;&gt;9999,IF($C193=2,VLOOKUP($A193,中間シート!$D$514:$T$663,14,FALSE),VLOOKUP($A193,中間シート!$D$514:$T$663,9,FALSE)),"")</f>
        <v/>
      </c>
      <c r="O193" s="423"/>
      <c r="P193" s="423"/>
      <c r="Q193" s="423"/>
      <c r="R193" s="423"/>
      <c r="S193" s="423"/>
      <c r="T193" s="424"/>
      <c r="U193" s="422" t="str">
        <f t="shared" si="6"/>
        <v/>
      </c>
      <c r="V193" s="424"/>
      <c r="W193" s="422" t="str">
        <f>IF($A193&lt;&gt;9999,IF($C193=2,VLOOKUP($A193,中間シート!$D$514:$T$663,15,FALSE),VLOOKUP($A193,中間シート!$D$514:$T$663,10,FALSE)),"")</f>
        <v/>
      </c>
      <c r="X193" s="423"/>
      <c r="Y193" s="423"/>
      <c r="Z193" s="423"/>
      <c r="AA193" s="423"/>
      <c r="AB193" s="423"/>
      <c r="AC193" s="424"/>
      <c r="AD193" s="422" t="str">
        <f t="shared" si="7"/>
        <v/>
      </c>
      <c r="AE193" s="424"/>
      <c r="AF193" s="422" t="str">
        <f>IF($A193&lt;&gt;9999,IF($C193=2,VLOOKUP($A193,中間シート!$D$514:$T$663,16,FALSE),VLOOKUP($A193,中間シート!$D$514:$T$663,11,FALSE)),"")</f>
        <v/>
      </c>
      <c r="AG193" s="423"/>
      <c r="AH193" s="423"/>
      <c r="AI193" s="423"/>
      <c r="AJ193" s="423"/>
      <c r="AK193" s="424"/>
      <c r="AL193" s="422" t="str">
        <f t="shared" si="8"/>
        <v/>
      </c>
      <c r="AM193" s="424"/>
      <c r="AN193" s="422" t="str">
        <f>IF($A193&lt;&gt;9999,IF($C193=2,VLOOKUP($A193,中間シート!$D$514:$T$663,17,FALSE),VLOOKUP($A193,中間シート!$D$514:$T$663,12,FALSE)),"")</f>
        <v/>
      </c>
      <c r="AO193" s="423"/>
      <c r="AP193" s="423"/>
      <c r="AQ193" s="423"/>
      <c r="AR193" s="423"/>
      <c r="AS193" s="424"/>
      <c r="AT193" s="422" t="str">
        <f t="shared" si="10"/>
        <v/>
      </c>
      <c r="AU193" s="424"/>
    </row>
    <row r="194" spans="1:47" ht="16.5" customHeight="1" x14ac:dyDescent="0.15">
      <c r="A194" s="58">
        <f>中間シート!AI596</f>
        <v>9999</v>
      </c>
      <c r="B194" s="58" t="str">
        <f>中間シート!AK596</f>
        <v>事業場99</v>
      </c>
      <c r="C194" s="58" t="e">
        <f>中間シート!AJ596</f>
        <v>#N/A</v>
      </c>
      <c r="D194" s="58" t="str">
        <f>VLOOKUP($A194,中間シート!$D$514:$K$663,4)</f>
        <v/>
      </c>
      <c r="E194" s="58" t="str">
        <f>VLOOKUP($A194,中間シート!$D$514:$K$663,5)</f>
        <v/>
      </c>
      <c r="F194" s="58" t="str">
        <f>VLOOKUP($A194,中間シート!$D$514:$K$663,6)</f>
        <v/>
      </c>
      <c r="G194" s="58" t="str">
        <f>VLOOKUP($A194,中間シート!$D$514:$K$663,7)</f>
        <v/>
      </c>
      <c r="H194" s="58" t="str">
        <f>VLOOKUP($A194,中間シート!$D$514:$K$663,8)</f>
        <v/>
      </c>
      <c r="J194" s="412" t="str">
        <f t="shared" si="9"/>
        <v/>
      </c>
      <c r="K194" s="412"/>
      <c r="L194" s="412"/>
      <c r="M194" s="412"/>
      <c r="N194" s="422" t="str">
        <f>IF($A194&lt;&gt;9999,IF($C194=2,VLOOKUP($A194,中間シート!$D$514:$T$663,14,FALSE),VLOOKUP($A194,中間シート!$D$514:$T$663,9,FALSE)),"")</f>
        <v/>
      </c>
      <c r="O194" s="423"/>
      <c r="P194" s="423"/>
      <c r="Q194" s="423"/>
      <c r="R194" s="423"/>
      <c r="S194" s="423"/>
      <c r="T194" s="424"/>
      <c r="U194" s="422" t="str">
        <f t="shared" si="6"/>
        <v/>
      </c>
      <c r="V194" s="424"/>
      <c r="W194" s="422" t="str">
        <f>IF($A194&lt;&gt;9999,IF($C194=2,VLOOKUP($A194,中間シート!$D$514:$T$663,15,FALSE),VLOOKUP($A194,中間シート!$D$514:$T$663,10,FALSE)),"")</f>
        <v/>
      </c>
      <c r="X194" s="423"/>
      <c r="Y194" s="423"/>
      <c r="Z194" s="423"/>
      <c r="AA194" s="423"/>
      <c r="AB194" s="423"/>
      <c r="AC194" s="424"/>
      <c r="AD194" s="422" t="str">
        <f t="shared" si="7"/>
        <v/>
      </c>
      <c r="AE194" s="424"/>
      <c r="AF194" s="422" t="str">
        <f>IF($A194&lt;&gt;9999,IF($C194=2,VLOOKUP($A194,中間シート!$D$514:$T$663,16,FALSE),VLOOKUP($A194,中間シート!$D$514:$T$663,11,FALSE)),"")</f>
        <v/>
      </c>
      <c r="AG194" s="423"/>
      <c r="AH194" s="423"/>
      <c r="AI194" s="423"/>
      <c r="AJ194" s="423"/>
      <c r="AK194" s="424"/>
      <c r="AL194" s="422" t="str">
        <f t="shared" si="8"/>
        <v/>
      </c>
      <c r="AM194" s="424"/>
      <c r="AN194" s="422" t="str">
        <f>IF($A194&lt;&gt;9999,IF($C194=2,VLOOKUP($A194,中間シート!$D$514:$T$663,17,FALSE),VLOOKUP($A194,中間シート!$D$514:$T$663,12,FALSE)),"")</f>
        <v/>
      </c>
      <c r="AO194" s="423"/>
      <c r="AP194" s="423"/>
      <c r="AQ194" s="423"/>
      <c r="AR194" s="423"/>
      <c r="AS194" s="424"/>
      <c r="AT194" s="422" t="str">
        <f t="shared" si="10"/>
        <v/>
      </c>
      <c r="AU194" s="424"/>
    </row>
    <row r="195" spans="1:47" ht="16.5" customHeight="1" x14ac:dyDescent="0.15">
      <c r="A195" s="58">
        <f>中間シート!AI597</f>
        <v>9999</v>
      </c>
      <c r="B195" s="58" t="str">
        <f>中間シート!AK597</f>
        <v>事業場99</v>
      </c>
      <c r="C195" s="58" t="e">
        <f>中間シート!AJ597</f>
        <v>#N/A</v>
      </c>
      <c r="D195" s="58" t="str">
        <f>VLOOKUP($A195,中間シート!$D$514:$K$663,4)</f>
        <v/>
      </c>
      <c r="E195" s="58" t="str">
        <f>VLOOKUP($A195,中間シート!$D$514:$K$663,5)</f>
        <v/>
      </c>
      <c r="F195" s="58" t="str">
        <f>VLOOKUP($A195,中間シート!$D$514:$K$663,6)</f>
        <v/>
      </c>
      <c r="G195" s="58" t="str">
        <f>VLOOKUP($A195,中間シート!$D$514:$K$663,7)</f>
        <v/>
      </c>
      <c r="H195" s="58" t="str">
        <f>VLOOKUP($A195,中間シート!$D$514:$K$663,8)</f>
        <v/>
      </c>
      <c r="J195" s="412" t="str">
        <f t="shared" si="9"/>
        <v/>
      </c>
      <c r="K195" s="412"/>
      <c r="L195" s="412"/>
      <c r="M195" s="412"/>
      <c r="N195" s="422" t="str">
        <f>IF($A195&lt;&gt;9999,IF($C195=2,VLOOKUP($A195,中間シート!$D$514:$T$663,14,FALSE),VLOOKUP($A195,中間シート!$D$514:$T$663,9,FALSE)),"")</f>
        <v/>
      </c>
      <c r="O195" s="423"/>
      <c r="P195" s="423"/>
      <c r="Q195" s="423"/>
      <c r="R195" s="423"/>
      <c r="S195" s="423"/>
      <c r="T195" s="424"/>
      <c r="U195" s="422" t="str">
        <f t="shared" si="6"/>
        <v/>
      </c>
      <c r="V195" s="424"/>
      <c r="W195" s="422" t="str">
        <f>IF($A195&lt;&gt;9999,IF($C195=2,VLOOKUP($A195,中間シート!$D$514:$T$663,15,FALSE),VLOOKUP($A195,中間シート!$D$514:$T$663,10,FALSE)),"")</f>
        <v/>
      </c>
      <c r="X195" s="423"/>
      <c r="Y195" s="423"/>
      <c r="Z195" s="423"/>
      <c r="AA195" s="423"/>
      <c r="AB195" s="423"/>
      <c r="AC195" s="424"/>
      <c r="AD195" s="422" t="str">
        <f t="shared" si="7"/>
        <v/>
      </c>
      <c r="AE195" s="424"/>
      <c r="AF195" s="422" t="str">
        <f>IF($A195&lt;&gt;9999,IF($C195=2,VLOOKUP($A195,中間シート!$D$514:$T$663,16,FALSE),VLOOKUP($A195,中間シート!$D$514:$T$663,11,FALSE)),"")</f>
        <v/>
      </c>
      <c r="AG195" s="423"/>
      <c r="AH195" s="423"/>
      <c r="AI195" s="423"/>
      <c r="AJ195" s="423"/>
      <c r="AK195" s="424"/>
      <c r="AL195" s="422" t="str">
        <f t="shared" si="8"/>
        <v/>
      </c>
      <c r="AM195" s="424"/>
      <c r="AN195" s="422" t="str">
        <f>IF($A195&lt;&gt;9999,IF($C195=2,VLOOKUP($A195,中間シート!$D$514:$T$663,17,FALSE),VLOOKUP($A195,中間シート!$D$514:$T$663,12,FALSE)),"")</f>
        <v/>
      </c>
      <c r="AO195" s="423"/>
      <c r="AP195" s="423"/>
      <c r="AQ195" s="423"/>
      <c r="AR195" s="423"/>
      <c r="AS195" s="424"/>
      <c r="AT195" s="422" t="str">
        <f t="shared" si="10"/>
        <v/>
      </c>
      <c r="AU195" s="424"/>
    </row>
    <row r="196" spans="1:47" ht="16.5" customHeight="1" x14ac:dyDescent="0.15">
      <c r="A196" s="58">
        <f>中間シート!AI598</f>
        <v>9999</v>
      </c>
      <c r="B196" s="58" t="str">
        <f>中間シート!AK598</f>
        <v>事業場99</v>
      </c>
      <c r="C196" s="58" t="e">
        <f>中間シート!AJ598</f>
        <v>#N/A</v>
      </c>
      <c r="D196" s="58" t="str">
        <f>VLOOKUP($A196,中間シート!$D$514:$K$663,4)</f>
        <v/>
      </c>
      <c r="E196" s="58" t="str">
        <f>VLOOKUP($A196,中間シート!$D$514:$K$663,5)</f>
        <v/>
      </c>
      <c r="F196" s="58" t="str">
        <f>VLOOKUP($A196,中間シート!$D$514:$K$663,6)</f>
        <v/>
      </c>
      <c r="G196" s="58" t="str">
        <f>VLOOKUP($A196,中間シート!$D$514:$K$663,7)</f>
        <v/>
      </c>
      <c r="H196" s="58" t="str">
        <f>VLOOKUP($A196,中間シート!$D$514:$K$663,8)</f>
        <v/>
      </c>
      <c r="J196" s="412" t="str">
        <f t="shared" si="9"/>
        <v/>
      </c>
      <c r="K196" s="412"/>
      <c r="L196" s="412"/>
      <c r="M196" s="412"/>
      <c r="N196" s="422" t="str">
        <f>IF($A196&lt;&gt;9999,IF($C196=2,VLOOKUP($A196,中間シート!$D$514:$T$663,14,FALSE),VLOOKUP($A196,中間シート!$D$514:$T$663,9,FALSE)),"")</f>
        <v/>
      </c>
      <c r="O196" s="423"/>
      <c r="P196" s="423"/>
      <c r="Q196" s="423"/>
      <c r="R196" s="423"/>
      <c r="S196" s="423"/>
      <c r="T196" s="424"/>
      <c r="U196" s="422" t="str">
        <f t="shared" si="6"/>
        <v/>
      </c>
      <c r="V196" s="424"/>
      <c r="W196" s="422" t="str">
        <f>IF($A196&lt;&gt;9999,IF($C196=2,VLOOKUP($A196,中間シート!$D$514:$T$663,15,FALSE),VLOOKUP($A196,中間シート!$D$514:$T$663,10,FALSE)),"")</f>
        <v/>
      </c>
      <c r="X196" s="423"/>
      <c r="Y196" s="423"/>
      <c r="Z196" s="423"/>
      <c r="AA196" s="423"/>
      <c r="AB196" s="423"/>
      <c r="AC196" s="424"/>
      <c r="AD196" s="422" t="str">
        <f t="shared" si="7"/>
        <v/>
      </c>
      <c r="AE196" s="424"/>
      <c r="AF196" s="422" t="str">
        <f>IF($A196&lt;&gt;9999,IF($C196=2,VLOOKUP($A196,中間シート!$D$514:$T$663,16,FALSE),VLOOKUP($A196,中間シート!$D$514:$T$663,11,FALSE)),"")</f>
        <v/>
      </c>
      <c r="AG196" s="423"/>
      <c r="AH196" s="423"/>
      <c r="AI196" s="423"/>
      <c r="AJ196" s="423"/>
      <c r="AK196" s="424"/>
      <c r="AL196" s="422" t="str">
        <f t="shared" si="8"/>
        <v/>
      </c>
      <c r="AM196" s="424"/>
      <c r="AN196" s="422" t="str">
        <f>IF($A196&lt;&gt;9999,IF($C196=2,VLOOKUP($A196,中間シート!$D$514:$T$663,17,FALSE),VLOOKUP($A196,中間シート!$D$514:$T$663,12,FALSE)),"")</f>
        <v/>
      </c>
      <c r="AO196" s="423"/>
      <c r="AP196" s="423"/>
      <c r="AQ196" s="423"/>
      <c r="AR196" s="423"/>
      <c r="AS196" s="424"/>
      <c r="AT196" s="422" t="str">
        <f t="shared" si="10"/>
        <v/>
      </c>
      <c r="AU196" s="424"/>
    </row>
    <row r="197" spans="1:47" ht="16.5" customHeight="1" x14ac:dyDescent="0.15">
      <c r="A197" s="58">
        <f>中間シート!AI599</f>
        <v>9999</v>
      </c>
      <c r="B197" s="58" t="str">
        <f>中間シート!AK599</f>
        <v>事業場99</v>
      </c>
      <c r="C197" s="58" t="e">
        <f>中間シート!AJ599</f>
        <v>#N/A</v>
      </c>
      <c r="D197" s="58" t="str">
        <f>VLOOKUP($A197,中間シート!$D$514:$K$663,4)</f>
        <v/>
      </c>
      <c r="E197" s="58" t="str">
        <f>VLOOKUP($A197,中間シート!$D$514:$K$663,5)</f>
        <v/>
      </c>
      <c r="F197" s="58" t="str">
        <f>VLOOKUP($A197,中間シート!$D$514:$K$663,6)</f>
        <v/>
      </c>
      <c r="G197" s="58" t="str">
        <f>VLOOKUP($A197,中間シート!$D$514:$K$663,7)</f>
        <v/>
      </c>
      <c r="H197" s="58" t="str">
        <f>VLOOKUP($A197,中間シート!$D$514:$K$663,8)</f>
        <v/>
      </c>
      <c r="J197" s="412" t="str">
        <f t="shared" si="9"/>
        <v/>
      </c>
      <c r="K197" s="412"/>
      <c r="L197" s="412"/>
      <c r="M197" s="412"/>
      <c r="N197" s="422" t="str">
        <f>IF($A197&lt;&gt;9999,IF($C197=2,VLOOKUP($A197,中間シート!$D$514:$T$663,14,FALSE),VLOOKUP($A197,中間シート!$D$514:$T$663,9,FALSE)),"")</f>
        <v/>
      </c>
      <c r="O197" s="423"/>
      <c r="P197" s="423"/>
      <c r="Q197" s="423"/>
      <c r="R197" s="423"/>
      <c r="S197" s="423"/>
      <c r="T197" s="424"/>
      <c r="U197" s="422" t="str">
        <f t="shared" si="6"/>
        <v/>
      </c>
      <c r="V197" s="424"/>
      <c r="W197" s="422" t="str">
        <f>IF($A197&lt;&gt;9999,IF($C197=2,VLOOKUP($A197,中間シート!$D$514:$T$663,15,FALSE),VLOOKUP($A197,中間シート!$D$514:$T$663,10,FALSE)),"")</f>
        <v/>
      </c>
      <c r="X197" s="423"/>
      <c r="Y197" s="423"/>
      <c r="Z197" s="423"/>
      <c r="AA197" s="423"/>
      <c r="AB197" s="423"/>
      <c r="AC197" s="424"/>
      <c r="AD197" s="422" t="str">
        <f t="shared" si="7"/>
        <v/>
      </c>
      <c r="AE197" s="424"/>
      <c r="AF197" s="422" t="str">
        <f>IF($A197&lt;&gt;9999,IF($C197=2,VLOOKUP($A197,中間シート!$D$514:$T$663,16,FALSE),VLOOKUP($A197,中間シート!$D$514:$T$663,11,FALSE)),"")</f>
        <v/>
      </c>
      <c r="AG197" s="423"/>
      <c r="AH197" s="423"/>
      <c r="AI197" s="423"/>
      <c r="AJ197" s="423"/>
      <c r="AK197" s="424"/>
      <c r="AL197" s="422" t="str">
        <f t="shared" si="8"/>
        <v/>
      </c>
      <c r="AM197" s="424"/>
      <c r="AN197" s="422" t="str">
        <f>IF($A197&lt;&gt;9999,IF($C197=2,VLOOKUP($A197,中間シート!$D$514:$T$663,17,FALSE),VLOOKUP($A197,中間シート!$D$514:$T$663,12,FALSE)),"")</f>
        <v/>
      </c>
      <c r="AO197" s="423"/>
      <c r="AP197" s="423"/>
      <c r="AQ197" s="423"/>
      <c r="AR197" s="423"/>
      <c r="AS197" s="424"/>
      <c r="AT197" s="422" t="str">
        <f t="shared" si="10"/>
        <v/>
      </c>
      <c r="AU197" s="424"/>
    </row>
    <row r="198" spans="1:47" ht="16.5" customHeight="1" x14ac:dyDescent="0.15">
      <c r="A198" s="58">
        <f>中間シート!AI600</f>
        <v>9999</v>
      </c>
      <c r="B198" s="58" t="str">
        <f>中間シート!AK600</f>
        <v>事業場99</v>
      </c>
      <c r="C198" s="58" t="e">
        <f>中間シート!AJ600</f>
        <v>#N/A</v>
      </c>
      <c r="D198" s="58" t="str">
        <f>VLOOKUP($A198,中間シート!$D$514:$K$663,4)</f>
        <v/>
      </c>
      <c r="E198" s="58" t="str">
        <f>VLOOKUP($A198,中間シート!$D$514:$K$663,5)</f>
        <v/>
      </c>
      <c r="F198" s="58" t="str">
        <f>VLOOKUP($A198,中間シート!$D$514:$K$663,6)</f>
        <v/>
      </c>
      <c r="G198" s="58" t="str">
        <f>VLOOKUP($A198,中間シート!$D$514:$K$663,7)</f>
        <v/>
      </c>
      <c r="H198" s="58" t="str">
        <f>VLOOKUP($A198,中間シート!$D$514:$K$663,8)</f>
        <v/>
      </c>
      <c r="J198" s="412" t="str">
        <f t="shared" si="9"/>
        <v/>
      </c>
      <c r="K198" s="412"/>
      <c r="L198" s="412"/>
      <c r="M198" s="412"/>
      <c r="N198" s="422" t="str">
        <f>IF($A198&lt;&gt;9999,IF($C198=2,VLOOKUP($A198,中間シート!$D$514:$T$663,14,FALSE),VLOOKUP($A198,中間シート!$D$514:$T$663,9,FALSE)),"")</f>
        <v/>
      </c>
      <c r="O198" s="423"/>
      <c r="P198" s="423"/>
      <c r="Q198" s="423"/>
      <c r="R198" s="423"/>
      <c r="S198" s="423"/>
      <c r="T198" s="424"/>
      <c r="U198" s="422" t="str">
        <f t="shared" si="6"/>
        <v/>
      </c>
      <c r="V198" s="424"/>
      <c r="W198" s="422" t="str">
        <f>IF($A198&lt;&gt;9999,IF($C198=2,VLOOKUP($A198,中間シート!$D$514:$T$663,15,FALSE),VLOOKUP($A198,中間シート!$D$514:$T$663,10,FALSE)),"")</f>
        <v/>
      </c>
      <c r="X198" s="423"/>
      <c r="Y198" s="423"/>
      <c r="Z198" s="423"/>
      <c r="AA198" s="423"/>
      <c r="AB198" s="423"/>
      <c r="AC198" s="424"/>
      <c r="AD198" s="422" t="str">
        <f t="shared" si="7"/>
        <v/>
      </c>
      <c r="AE198" s="424"/>
      <c r="AF198" s="422" t="str">
        <f>IF($A198&lt;&gt;9999,IF($C198=2,VLOOKUP($A198,中間シート!$D$514:$T$663,16,FALSE),VLOOKUP($A198,中間シート!$D$514:$T$663,11,FALSE)),"")</f>
        <v/>
      </c>
      <c r="AG198" s="423"/>
      <c r="AH198" s="423"/>
      <c r="AI198" s="423"/>
      <c r="AJ198" s="423"/>
      <c r="AK198" s="424"/>
      <c r="AL198" s="422" t="str">
        <f t="shared" si="8"/>
        <v/>
      </c>
      <c r="AM198" s="424"/>
      <c r="AN198" s="422" t="str">
        <f>IF($A198&lt;&gt;9999,IF($C198=2,VLOOKUP($A198,中間シート!$D$514:$T$663,17,FALSE),VLOOKUP($A198,中間シート!$D$514:$T$663,12,FALSE)),"")</f>
        <v/>
      </c>
      <c r="AO198" s="423"/>
      <c r="AP198" s="423"/>
      <c r="AQ198" s="423"/>
      <c r="AR198" s="423"/>
      <c r="AS198" s="424"/>
      <c r="AT198" s="422" t="str">
        <f t="shared" si="10"/>
        <v/>
      </c>
      <c r="AU198" s="424"/>
    </row>
    <row r="199" spans="1:47" ht="16.5" customHeight="1" x14ac:dyDescent="0.15">
      <c r="A199" s="58">
        <f>中間シート!AI601</f>
        <v>9999</v>
      </c>
      <c r="B199" s="58" t="str">
        <f>中間シート!AK601</f>
        <v>事業場99</v>
      </c>
      <c r="C199" s="58" t="e">
        <f>中間シート!AJ601</f>
        <v>#N/A</v>
      </c>
      <c r="D199" s="58" t="str">
        <f>VLOOKUP($A199,中間シート!$D$514:$K$663,4)</f>
        <v/>
      </c>
      <c r="E199" s="58" t="str">
        <f>VLOOKUP($A199,中間シート!$D$514:$K$663,5)</f>
        <v/>
      </c>
      <c r="F199" s="58" t="str">
        <f>VLOOKUP($A199,中間シート!$D$514:$K$663,6)</f>
        <v/>
      </c>
      <c r="G199" s="58" t="str">
        <f>VLOOKUP($A199,中間シート!$D$514:$K$663,7)</f>
        <v/>
      </c>
      <c r="H199" s="58" t="str">
        <f>VLOOKUP($A199,中間シート!$D$514:$K$663,8)</f>
        <v/>
      </c>
      <c r="J199" s="412" t="str">
        <f t="shared" si="9"/>
        <v/>
      </c>
      <c r="K199" s="412"/>
      <c r="L199" s="412"/>
      <c r="M199" s="412"/>
      <c r="N199" s="422" t="str">
        <f>IF($A199&lt;&gt;9999,IF($C199=2,VLOOKUP($A199,中間シート!$D$514:$T$663,14,FALSE),VLOOKUP($A199,中間シート!$D$514:$T$663,9,FALSE)),"")</f>
        <v/>
      </c>
      <c r="O199" s="423"/>
      <c r="P199" s="423"/>
      <c r="Q199" s="423"/>
      <c r="R199" s="423"/>
      <c r="S199" s="423"/>
      <c r="T199" s="424"/>
      <c r="U199" s="422" t="str">
        <f t="shared" si="6"/>
        <v/>
      </c>
      <c r="V199" s="424"/>
      <c r="W199" s="422" t="str">
        <f>IF($A199&lt;&gt;9999,IF($C199=2,VLOOKUP($A199,中間シート!$D$514:$T$663,15,FALSE),VLOOKUP($A199,中間シート!$D$514:$T$663,10,FALSE)),"")</f>
        <v/>
      </c>
      <c r="X199" s="423"/>
      <c r="Y199" s="423"/>
      <c r="Z199" s="423"/>
      <c r="AA199" s="423"/>
      <c r="AB199" s="423"/>
      <c r="AC199" s="424"/>
      <c r="AD199" s="422" t="str">
        <f t="shared" si="7"/>
        <v/>
      </c>
      <c r="AE199" s="424"/>
      <c r="AF199" s="422" t="str">
        <f>IF($A199&lt;&gt;9999,IF($C199=2,VLOOKUP($A199,中間シート!$D$514:$T$663,16,FALSE),VLOOKUP($A199,中間シート!$D$514:$T$663,11,FALSE)),"")</f>
        <v/>
      </c>
      <c r="AG199" s="423"/>
      <c r="AH199" s="423"/>
      <c r="AI199" s="423"/>
      <c r="AJ199" s="423"/>
      <c r="AK199" s="424"/>
      <c r="AL199" s="422" t="str">
        <f t="shared" si="8"/>
        <v/>
      </c>
      <c r="AM199" s="424"/>
      <c r="AN199" s="422" t="str">
        <f>IF($A199&lt;&gt;9999,IF($C199=2,VLOOKUP($A199,中間シート!$D$514:$T$663,17,FALSE),VLOOKUP($A199,中間シート!$D$514:$T$663,12,FALSE)),"")</f>
        <v/>
      </c>
      <c r="AO199" s="423"/>
      <c r="AP199" s="423"/>
      <c r="AQ199" s="423"/>
      <c r="AR199" s="423"/>
      <c r="AS199" s="424"/>
      <c r="AT199" s="422" t="str">
        <f t="shared" si="10"/>
        <v/>
      </c>
      <c r="AU199" s="424"/>
    </row>
    <row r="200" spans="1:47" ht="16.5" customHeight="1" x14ac:dyDescent="0.15">
      <c r="A200" s="58">
        <f>中間シート!AI602</f>
        <v>9999</v>
      </c>
      <c r="B200" s="58" t="str">
        <f>中間シート!AK602</f>
        <v>事業場99</v>
      </c>
      <c r="C200" s="58" t="e">
        <f>中間シート!AJ602</f>
        <v>#N/A</v>
      </c>
      <c r="D200" s="58" t="str">
        <f>VLOOKUP($A200,中間シート!$D$514:$K$663,4)</f>
        <v/>
      </c>
      <c r="E200" s="58" t="str">
        <f>VLOOKUP($A200,中間シート!$D$514:$K$663,5)</f>
        <v/>
      </c>
      <c r="F200" s="58" t="str">
        <f>VLOOKUP($A200,中間シート!$D$514:$K$663,6)</f>
        <v/>
      </c>
      <c r="G200" s="58" t="str">
        <f>VLOOKUP($A200,中間シート!$D$514:$K$663,7)</f>
        <v/>
      </c>
      <c r="H200" s="58" t="str">
        <f>VLOOKUP($A200,中間シート!$D$514:$K$663,8)</f>
        <v/>
      </c>
      <c r="J200" s="412" t="str">
        <f t="shared" si="9"/>
        <v/>
      </c>
      <c r="K200" s="412"/>
      <c r="L200" s="412"/>
      <c r="M200" s="412"/>
      <c r="N200" s="422" t="str">
        <f>IF($A200&lt;&gt;9999,IF($C200=2,VLOOKUP($A200,中間シート!$D$514:$T$663,14,FALSE),VLOOKUP($A200,中間シート!$D$514:$T$663,9,FALSE)),"")</f>
        <v/>
      </c>
      <c r="O200" s="423"/>
      <c r="P200" s="423"/>
      <c r="Q200" s="423"/>
      <c r="R200" s="423"/>
      <c r="S200" s="423"/>
      <c r="T200" s="424"/>
      <c r="U200" s="422" t="str">
        <f t="shared" si="6"/>
        <v/>
      </c>
      <c r="V200" s="424"/>
      <c r="W200" s="422" t="str">
        <f>IF($A200&lt;&gt;9999,IF($C200=2,VLOOKUP($A200,中間シート!$D$514:$T$663,15,FALSE),VLOOKUP($A200,中間シート!$D$514:$T$663,10,FALSE)),"")</f>
        <v/>
      </c>
      <c r="X200" s="423"/>
      <c r="Y200" s="423"/>
      <c r="Z200" s="423"/>
      <c r="AA200" s="423"/>
      <c r="AB200" s="423"/>
      <c r="AC200" s="424"/>
      <c r="AD200" s="422" t="str">
        <f t="shared" si="7"/>
        <v/>
      </c>
      <c r="AE200" s="424"/>
      <c r="AF200" s="422" t="str">
        <f>IF($A200&lt;&gt;9999,IF($C200=2,VLOOKUP($A200,中間シート!$D$514:$T$663,16,FALSE),VLOOKUP($A200,中間シート!$D$514:$T$663,11,FALSE)),"")</f>
        <v/>
      </c>
      <c r="AG200" s="423"/>
      <c r="AH200" s="423"/>
      <c r="AI200" s="423"/>
      <c r="AJ200" s="423"/>
      <c r="AK200" s="424"/>
      <c r="AL200" s="422" t="str">
        <f t="shared" si="8"/>
        <v/>
      </c>
      <c r="AM200" s="424"/>
      <c r="AN200" s="422" t="str">
        <f>IF($A200&lt;&gt;9999,IF($C200=2,VLOOKUP($A200,中間シート!$D$514:$T$663,17,FALSE),VLOOKUP($A200,中間シート!$D$514:$T$663,12,FALSE)),"")</f>
        <v/>
      </c>
      <c r="AO200" s="423"/>
      <c r="AP200" s="423"/>
      <c r="AQ200" s="423"/>
      <c r="AR200" s="423"/>
      <c r="AS200" s="424"/>
      <c r="AT200" s="422" t="str">
        <f t="shared" si="10"/>
        <v/>
      </c>
      <c r="AU200" s="424"/>
    </row>
    <row r="201" spans="1:47" ht="16.5" customHeight="1" x14ac:dyDescent="0.15">
      <c r="A201" s="58">
        <f>中間シート!AI603</f>
        <v>9999</v>
      </c>
      <c r="B201" s="58" t="str">
        <f>中間シート!AK603</f>
        <v>事業場99</v>
      </c>
      <c r="C201" s="58" t="e">
        <f>中間シート!AJ603</f>
        <v>#N/A</v>
      </c>
      <c r="D201" s="58" t="str">
        <f>VLOOKUP($A201,中間シート!$D$514:$K$663,4)</f>
        <v/>
      </c>
      <c r="E201" s="58" t="str">
        <f>VLOOKUP($A201,中間シート!$D$514:$K$663,5)</f>
        <v/>
      </c>
      <c r="F201" s="58" t="str">
        <f>VLOOKUP($A201,中間シート!$D$514:$K$663,6)</f>
        <v/>
      </c>
      <c r="G201" s="58" t="str">
        <f>VLOOKUP($A201,中間シート!$D$514:$K$663,7)</f>
        <v/>
      </c>
      <c r="H201" s="58" t="str">
        <f>VLOOKUP($A201,中間シート!$D$514:$K$663,8)</f>
        <v/>
      </c>
      <c r="J201" s="412" t="str">
        <f t="shared" si="9"/>
        <v/>
      </c>
      <c r="K201" s="412"/>
      <c r="L201" s="412"/>
      <c r="M201" s="412"/>
      <c r="N201" s="422" t="str">
        <f>IF($A201&lt;&gt;9999,IF($C201=2,VLOOKUP($A201,中間シート!$D$514:$T$663,14,FALSE),VLOOKUP($A201,中間シート!$D$514:$T$663,9,FALSE)),"")</f>
        <v/>
      </c>
      <c r="O201" s="423"/>
      <c r="P201" s="423"/>
      <c r="Q201" s="423"/>
      <c r="R201" s="423"/>
      <c r="S201" s="423"/>
      <c r="T201" s="424"/>
      <c r="U201" s="422" t="str">
        <f t="shared" si="6"/>
        <v/>
      </c>
      <c r="V201" s="424"/>
      <c r="W201" s="422" t="str">
        <f>IF($A201&lt;&gt;9999,IF($C201=2,VLOOKUP($A201,中間シート!$D$514:$T$663,15,FALSE),VLOOKUP($A201,中間シート!$D$514:$T$663,10,FALSE)),"")</f>
        <v/>
      </c>
      <c r="X201" s="423"/>
      <c r="Y201" s="423"/>
      <c r="Z201" s="423"/>
      <c r="AA201" s="423"/>
      <c r="AB201" s="423"/>
      <c r="AC201" s="424"/>
      <c r="AD201" s="422" t="str">
        <f t="shared" si="7"/>
        <v/>
      </c>
      <c r="AE201" s="424"/>
      <c r="AF201" s="422" t="str">
        <f>IF($A201&lt;&gt;9999,IF($C201=2,VLOOKUP($A201,中間シート!$D$514:$T$663,16,FALSE),VLOOKUP($A201,中間シート!$D$514:$T$663,11,FALSE)),"")</f>
        <v/>
      </c>
      <c r="AG201" s="423"/>
      <c r="AH201" s="423"/>
      <c r="AI201" s="423"/>
      <c r="AJ201" s="423"/>
      <c r="AK201" s="424"/>
      <c r="AL201" s="422" t="str">
        <f t="shared" si="8"/>
        <v/>
      </c>
      <c r="AM201" s="424"/>
      <c r="AN201" s="422" t="str">
        <f>IF($A201&lt;&gt;9999,IF($C201=2,VLOOKUP($A201,中間シート!$D$514:$T$663,17,FALSE),VLOOKUP($A201,中間シート!$D$514:$T$663,12,FALSE)),"")</f>
        <v/>
      </c>
      <c r="AO201" s="423"/>
      <c r="AP201" s="423"/>
      <c r="AQ201" s="423"/>
      <c r="AR201" s="423"/>
      <c r="AS201" s="424"/>
      <c r="AT201" s="422" t="str">
        <f t="shared" si="10"/>
        <v/>
      </c>
      <c r="AU201" s="424"/>
    </row>
    <row r="202" spans="1:47" ht="16.5" customHeight="1" x14ac:dyDescent="0.15">
      <c r="A202" s="58">
        <f>中間シート!AI604</f>
        <v>9999</v>
      </c>
      <c r="B202" s="58" t="str">
        <f>中間シート!AK604</f>
        <v>事業場99</v>
      </c>
      <c r="C202" s="58" t="e">
        <f>中間シート!AJ604</f>
        <v>#N/A</v>
      </c>
      <c r="D202" s="58" t="str">
        <f>VLOOKUP($A202,中間シート!$D$514:$K$663,4)</f>
        <v/>
      </c>
      <c r="E202" s="58" t="str">
        <f>VLOOKUP($A202,中間シート!$D$514:$K$663,5)</f>
        <v/>
      </c>
      <c r="F202" s="58" t="str">
        <f>VLOOKUP($A202,中間シート!$D$514:$K$663,6)</f>
        <v/>
      </c>
      <c r="G202" s="58" t="str">
        <f>VLOOKUP($A202,中間シート!$D$514:$K$663,7)</f>
        <v/>
      </c>
      <c r="H202" s="58" t="str">
        <f>VLOOKUP($A202,中間シート!$D$514:$K$663,8)</f>
        <v/>
      </c>
      <c r="J202" s="412" t="str">
        <f t="shared" si="9"/>
        <v/>
      </c>
      <c r="K202" s="412"/>
      <c r="L202" s="412"/>
      <c r="M202" s="412"/>
      <c r="N202" s="422" t="str">
        <f>IF($A202&lt;&gt;9999,IF($C202=2,VLOOKUP($A202,中間シート!$D$514:$T$663,14,FALSE),VLOOKUP($A202,中間シート!$D$514:$T$663,9,FALSE)),"")</f>
        <v/>
      </c>
      <c r="O202" s="423"/>
      <c r="P202" s="423"/>
      <c r="Q202" s="423"/>
      <c r="R202" s="423"/>
      <c r="S202" s="423"/>
      <c r="T202" s="424"/>
      <c r="U202" s="422" t="str">
        <f t="shared" si="6"/>
        <v/>
      </c>
      <c r="V202" s="424"/>
      <c r="W202" s="422" t="str">
        <f>IF($A202&lt;&gt;9999,IF($C202=2,VLOOKUP($A202,中間シート!$D$514:$T$663,15,FALSE),VLOOKUP($A202,中間シート!$D$514:$T$663,10,FALSE)),"")</f>
        <v/>
      </c>
      <c r="X202" s="423"/>
      <c r="Y202" s="423"/>
      <c r="Z202" s="423"/>
      <c r="AA202" s="423"/>
      <c r="AB202" s="423"/>
      <c r="AC202" s="424"/>
      <c r="AD202" s="422" t="str">
        <f t="shared" si="7"/>
        <v/>
      </c>
      <c r="AE202" s="424"/>
      <c r="AF202" s="422" t="str">
        <f>IF($A202&lt;&gt;9999,IF($C202=2,VLOOKUP($A202,中間シート!$D$514:$T$663,16,FALSE),VLOOKUP($A202,中間シート!$D$514:$T$663,11,FALSE)),"")</f>
        <v/>
      </c>
      <c r="AG202" s="423"/>
      <c r="AH202" s="423"/>
      <c r="AI202" s="423"/>
      <c r="AJ202" s="423"/>
      <c r="AK202" s="424"/>
      <c r="AL202" s="422" t="str">
        <f t="shared" si="8"/>
        <v/>
      </c>
      <c r="AM202" s="424"/>
      <c r="AN202" s="422" t="str">
        <f>IF($A202&lt;&gt;9999,IF($C202=2,VLOOKUP($A202,中間シート!$D$514:$T$663,17,FALSE),VLOOKUP($A202,中間シート!$D$514:$T$663,12,FALSE)),"")</f>
        <v/>
      </c>
      <c r="AO202" s="423"/>
      <c r="AP202" s="423"/>
      <c r="AQ202" s="423"/>
      <c r="AR202" s="423"/>
      <c r="AS202" s="424"/>
      <c r="AT202" s="422" t="str">
        <f t="shared" si="10"/>
        <v/>
      </c>
      <c r="AU202" s="424"/>
    </row>
    <row r="203" spans="1:47" ht="16.5" customHeight="1" x14ac:dyDescent="0.15">
      <c r="A203" s="58">
        <f>中間シート!AI605</f>
        <v>9999</v>
      </c>
      <c r="B203" s="58" t="str">
        <f>中間シート!AK605</f>
        <v>事業場99</v>
      </c>
      <c r="C203" s="58" t="e">
        <f>中間シート!AJ605</f>
        <v>#N/A</v>
      </c>
      <c r="D203" s="58" t="str">
        <f>VLOOKUP($A203,中間シート!$D$514:$K$663,4)</f>
        <v/>
      </c>
      <c r="E203" s="58" t="str">
        <f>VLOOKUP($A203,中間シート!$D$514:$K$663,5)</f>
        <v/>
      </c>
      <c r="F203" s="58" t="str">
        <f>VLOOKUP($A203,中間シート!$D$514:$K$663,6)</f>
        <v/>
      </c>
      <c r="G203" s="58" t="str">
        <f>VLOOKUP($A203,中間シート!$D$514:$K$663,7)</f>
        <v/>
      </c>
      <c r="H203" s="58" t="str">
        <f>VLOOKUP($A203,中間シート!$D$514:$K$663,8)</f>
        <v/>
      </c>
      <c r="J203" s="412" t="str">
        <f t="shared" si="9"/>
        <v/>
      </c>
      <c r="K203" s="412"/>
      <c r="L203" s="412"/>
      <c r="M203" s="412"/>
      <c r="N203" s="422" t="str">
        <f>IF($A203&lt;&gt;9999,IF($C203=2,VLOOKUP($A203,中間シート!$D$514:$T$663,14,FALSE),VLOOKUP($A203,中間シート!$D$514:$T$663,9,FALSE)),"")</f>
        <v/>
      </c>
      <c r="O203" s="423"/>
      <c r="P203" s="423"/>
      <c r="Q203" s="423"/>
      <c r="R203" s="423"/>
      <c r="S203" s="423"/>
      <c r="T203" s="424"/>
      <c r="U203" s="422" t="str">
        <f t="shared" si="6"/>
        <v/>
      </c>
      <c r="V203" s="424"/>
      <c r="W203" s="422" t="str">
        <f>IF($A203&lt;&gt;9999,IF($C203=2,VLOOKUP($A203,中間シート!$D$514:$T$663,15,FALSE),VLOOKUP($A203,中間シート!$D$514:$T$663,10,FALSE)),"")</f>
        <v/>
      </c>
      <c r="X203" s="423"/>
      <c r="Y203" s="423"/>
      <c r="Z203" s="423"/>
      <c r="AA203" s="423"/>
      <c r="AB203" s="423"/>
      <c r="AC203" s="424"/>
      <c r="AD203" s="422" t="str">
        <f t="shared" si="7"/>
        <v/>
      </c>
      <c r="AE203" s="424"/>
      <c r="AF203" s="422" t="str">
        <f>IF($A203&lt;&gt;9999,IF($C203=2,VLOOKUP($A203,中間シート!$D$514:$T$663,16,FALSE),VLOOKUP($A203,中間シート!$D$514:$T$663,11,FALSE)),"")</f>
        <v/>
      </c>
      <c r="AG203" s="423"/>
      <c r="AH203" s="423"/>
      <c r="AI203" s="423"/>
      <c r="AJ203" s="423"/>
      <c r="AK203" s="424"/>
      <c r="AL203" s="422" t="str">
        <f t="shared" si="8"/>
        <v/>
      </c>
      <c r="AM203" s="424"/>
      <c r="AN203" s="422" t="str">
        <f>IF($A203&lt;&gt;9999,IF($C203=2,VLOOKUP($A203,中間シート!$D$514:$T$663,17,FALSE),VLOOKUP($A203,中間シート!$D$514:$T$663,12,FALSE)),"")</f>
        <v/>
      </c>
      <c r="AO203" s="423"/>
      <c r="AP203" s="423"/>
      <c r="AQ203" s="423"/>
      <c r="AR203" s="423"/>
      <c r="AS203" s="424"/>
      <c r="AT203" s="422" t="str">
        <f t="shared" si="10"/>
        <v/>
      </c>
      <c r="AU203" s="424"/>
    </row>
    <row r="204" spans="1:47" ht="16.5" customHeight="1" x14ac:dyDescent="0.15">
      <c r="A204" s="58">
        <f>中間シート!AI606</f>
        <v>9999</v>
      </c>
      <c r="B204" s="58" t="str">
        <f>中間シート!AK606</f>
        <v>事業場99</v>
      </c>
      <c r="C204" s="58" t="e">
        <f>中間シート!AJ606</f>
        <v>#N/A</v>
      </c>
      <c r="D204" s="58" t="str">
        <f>VLOOKUP($A204,中間シート!$D$514:$K$663,4)</f>
        <v/>
      </c>
      <c r="E204" s="58" t="str">
        <f>VLOOKUP($A204,中間シート!$D$514:$K$663,5)</f>
        <v/>
      </c>
      <c r="F204" s="58" t="str">
        <f>VLOOKUP($A204,中間シート!$D$514:$K$663,6)</f>
        <v/>
      </c>
      <c r="G204" s="58" t="str">
        <f>VLOOKUP($A204,中間シート!$D$514:$K$663,7)</f>
        <v/>
      </c>
      <c r="H204" s="58" t="str">
        <f>VLOOKUP($A204,中間シート!$D$514:$K$663,8)</f>
        <v/>
      </c>
      <c r="J204" s="412" t="str">
        <f t="shared" si="9"/>
        <v/>
      </c>
      <c r="K204" s="412"/>
      <c r="L204" s="412"/>
      <c r="M204" s="412"/>
      <c r="N204" s="422" t="str">
        <f>IF($A204&lt;&gt;9999,IF($C204=2,VLOOKUP($A204,中間シート!$D$514:$T$663,14,FALSE),VLOOKUP($A204,中間シート!$D$514:$T$663,9,FALSE)),"")</f>
        <v/>
      </c>
      <c r="O204" s="423"/>
      <c r="P204" s="423"/>
      <c r="Q204" s="423"/>
      <c r="R204" s="423"/>
      <c r="S204" s="423"/>
      <c r="T204" s="424"/>
      <c r="U204" s="422" t="str">
        <f t="shared" si="6"/>
        <v/>
      </c>
      <c r="V204" s="424"/>
      <c r="W204" s="422" t="str">
        <f>IF($A204&lt;&gt;9999,IF($C204=2,VLOOKUP($A204,中間シート!$D$514:$T$663,15,FALSE),VLOOKUP($A204,中間シート!$D$514:$T$663,10,FALSE)),"")</f>
        <v/>
      </c>
      <c r="X204" s="423"/>
      <c r="Y204" s="423"/>
      <c r="Z204" s="423"/>
      <c r="AA204" s="423"/>
      <c r="AB204" s="423"/>
      <c r="AC204" s="424"/>
      <c r="AD204" s="422" t="str">
        <f t="shared" si="7"/>
        <v/>
      </c>
      <c r="AE204" s="424"/>
      <c r="AF204" s="422" t="str">
        <f>IF($A204&lt;&gt;9999,IF($C204=2,VLOOKUP($A204,中間シート!$D$514:$T$663,16,FALSE),VLOOKUP($A204,中間シート!$D$514:$T$663,11,FALSE)),"")</f>
        <v/>
      </c>
      <c r="AG204" s="423"/>
      <c r="AH204" s="423"/>
      <c r="AI204" s="423"/>
      <c r="AJ204" s="423"/>
      <c r="AK204" s="424"/>
      <c r="AL204" s="422" t="str">
        <f t="shared" si="8"/>
        <v/>
      </c>
      <c r="AM204" s="424"/>
      <c r="AN204" s="422" t="str">
        <f>IF($A204&lt;&gt;9999,IF($C204=2,VLOOKUP($A204,中間シート!$D$514:$T$663,17,FALSE),VLOOKUP($A204,中間シート!$D$514:$T$663,12,FALSE)),"")</f>
        <v/>
      </c>
      <c r="AO204" s="423"/>
      <c r="AP204" s="423"/>
      <c r="AQ204" s="423"/>
      <c r="AR204" s="423"/>
      <c r="AS204" s="424"/>
      <c r="AT204" s="422" t="str">
        <f t="shared" si="10"/>
        <v/>
      </c>
      <c r="AU204" s="424"/>
    </row>
    <row r="205" spans="1:47" ht="16.5" customHeight="1" x14ac:dyDescent="0.15">
      <c r="A205" s="58">
        <f>中間シート!AI607</f>
        <v>9999</v>
      </c>
      <c r="B205" s="58" t="str">
        <f>中間シート!AK607</f>
        <v>事業場99</v>
      </c>
      <c r="C205" s="58" t="e">
        <f>中間シート!AJ607</f>
        <v>#N/A</v>
      </c>
      <c r="D205" s="58" t="str">
        <f>VLOOKUP($A205,中間シート!$D$514:$K$663,4)</f>
        <v/>
      </c>
      <c r="E205" s="58" t="str">
        <f>VLOOKUP($A205,中間シート!$D$514:$K$663,5)</f>
        <v/>
      </c>
      <c r="F205" s="58" t="str">
        <f>VLOOKUP($A205,中間シート!$D$514:$K$663,6)</f>
        <v/>
      </c>
      <c r="G205" s="58" t="str">
        <f>VLOOKUP($A205,中間シート!$D$514:$K$663,7)</f>
        <v/>
      </c>
      <c r="H205" s="58" t="str">
        <f>VLOOKUP($A205,中間シート!$D$514:$K$663,8)</f>
        <v/>
      </c>
      <c r="J205" s="412" t="str">
        <f t="shared" si="9"/>
        <v/>
      </c>
      <c r="K205" s="412"/>
      <c r="L205" s="412"/>
      <c r="M205" s="412"/>
      <c r="N205" s="422" t="str">
        <f>IF($A205&lt;&gt;9999,IF($C205=2,VLOOKUP($A205,中間シート!$D$514:$T$663,14,FALSE),VLOOKUP($A205,中間シート!$D$514:$T$663,9,FALSE)),"")</f>
        <v/>
      </c>
      <c r="O205" s="423"/>
      <c r="P205" s="423"/>
      <c r="Q205" s="423"/>
      <c r="R205" s="423"/>
      <c r="S205" s="423"/>
      <c r="T205" s="424"/>
      <c r="U205" s="422" t="str">
        <f t="shared" si="6"/>
        <v/>
      </c>
      <c r="V205" s="424"/>
      <c r="W205" s="422" t="str">
        <f>IF($A205&lt;&gt;9999,IF($C205=2,VLOOKUP($A205,中間シート!$D$514:$T$663,15,FALSE),VLOOKUP($A205,中間シート!$D$514:$T$663,10,FALSE)),"")</f>
        <v/>
      </c>
      <c r="X205" s="423"/>
      <c r="Y205" s="423"/>
      <c r="Z205" s="423"/>
      <c r="AA205" s="423"/>
      <c r="AB205" s="423"/>
      <c r="AC205" s="424"/>
      <c r="AD205" s="422" t="str">
        <f t="shared" si="7"/>
        <v/>
      </c>
      <c r="AE205" s="424"/>
      <c r="AF205" s="422" t="str">
        <f>IF($A205&lt;&gt;9999,IF($C205=2,VLOOKUP($A205,中間シート!$D$514:$T$663,16,FALSE),VLOOKUP($A205,中間シート!$D$514:$T$663,11,FALSE)),"")</f>
        <v/>
      </c>
      <c r="AG205" s="423"/>
      <c r="AH205" s="423"/>
      <c r="AI205" s="423"/>
      <c r="AJ205" s="423"/>
      <c r="AK205" s="424"/>
      <c r="AL205" s="422" t="str">
        <f t="shared" si="8"/>
        <v/>
      </c>
      <c r="AM205" s="424"/>
      <c r="AN205" s="422" t="str">
        <f>IF($A205&lt;&gt;9999,IF($C205=2,VLOOKUP($A205,中間シート!$D$514:$T$663,17,FALSE),VLOOKUP($A205,中間シート!$D$514:$T$663,12,FALSE)),"")</f>
        <v/>
      </c>
      <c r="AO205" s="423"/>
      <c r="AP205" s="423"/>
      <c r="AQ205" s="423"/>
      <c r="AR205" s="423"/>
      <c r="AS205" s="424"/>
      <c r="AT205" s="422" t="str">
        <f t="shared" si="10"/>
        <v/>
      </c>
      <c r="AU205" s="424"/>
    </row>
    <row r="206" spans="1:47" ht="16.5" customHeight="1" x14ac:dyDescent="0.15">
      <c r="A206" s="58">
        <f>中間シート!AI608</f>
        <v>9999</v>
      </c>
      <c r="B206" s="58" t="str">
        <f>中間シート!AK608</f>
        <v>事業場99</v>
      </c>
      <c r="C206" s="58" t="e">
        <f>中間シート!AJ608</f>
        <v>#N/A</v>
      </c>
      <c r="D206" s="58" t="str">
        <f>VLOOKUP($A206,中間シート!$D$514:$K$663,4)</f>
        <v/>
      </c>
      <c r="E206" s="58" t="str">
        <f>VLOOKUP($A206,中間シート!$D$514:$K$663,5)</f>
        <v/>
      </c>
      <c r="F206" s="58" t="str">
        <f>VLOOKUP($A206,中間シート!$D$514:$K$663,6)</f>
        <v/>
      </c>
      <c r="G206" s="58" t="str">
        <f>VLOOKUP($A206,中間シート!$D$514:$K$663,7)</f>
        <v/>
      </c>
      <c r="H206" s="58" t="str">
        <f>VLOOKUP($A206,中間シート!$D$514:$K$663,8)</f>
        <v/>
      </c>
      <c r="J206" s="412" t="str">
        <f t="shared" si="9"/>
        <v/>
      </c>
      <c r="K206" s="412"/>
      <c r="L206" s="412"/>
      <c r="M206" s="412"/>
      <c r="N206" s="422" t="str">
        <f>IF($A206&lt;&gt;9999,IF($C206=2,VLOOKUP($A206,中間シート!$D$514:$T$663,14,FALSE),VLOOKUP($A206,中間シート!$D$514:$T$663,9,FALSE)),"")</f>
        <v/>
      </c>
      <c r="O206" s="423"/>
      <c r="P206" s="423"/>
      <c r="Q206" s="423"/>
      <c r="R206" s="423"/>
      <c r="S206" s="423"/>
      <c r="T206" s="424"/>
      <c r="U206" s="422" t="str">
        <f t="shared" si="6"/>
        <v/>
      </c>
      <c r="V206" s="424"/>
      <c r="W206" s="422" t="str">
        <f>IF($A206&lt;&gt;9999,IF($C206=2,VLOOKUP($A206,中間シート!$D$514:$T$663,15,FALSE),VLOOKUP($A206,中間シート!$D$514:$T$663,10,FALSE)),"")</f>
        <v/>
      </c>
      <c r="X206" s="423"/>
      <c r="Y206" s="423"/>
      <c r="Z206" s="423"/>
      <c r="AA206" s="423"/>
      <c r="AB206" s="423"/>
      <c r="AC206" s="424"/>
      <c r="AD206" s="422" t="str">
        <f t="shared" si="7"/>
        <v/>
      </c>
      <c r="AE206" s="424"/>
      <c r="AF206" s="422" t="str">
        <f>IF($A206&lt;&gt;9999,IF($C206=2,VLOOKUP($A206,中間シート!$D$514:$T$663,16,FALSE),VLOOKUP($A206,中間シート!$D$514:$T$663,11,FALSE)),"")</f>
        <v/>
      </c>
      <c r="AG206" s="423"/>
      <c r="AH206" s="423"/>
      <c r="AI206" s="423"/>
      <c r="AJ206" s="423"/>
      <c r="AK206" s="424"/>
      <c r="AL206" s="422" t="str">
        <f t="shared" si="8"/>
        <v/>
      </c>
      <c r="AM206" s="424"/>
      <c r="AN206" s="422" t="str">
        <f>IF($A206&lt;&gt;9999,IF($C206=2,VLOOKUP($A206,中間シート!$D$514:$T$663,17,FALSE),VLOOKUP($A206,中間シート!$D$514:$T$663,12,FALSE)),"")</f>
        <v/>
      </c>
      <c r="AO206" s="423"/>
      <c r="AP206" s="423"/>
      <c r="AQ206" s="423"/>
      <c r="AR206" s="423"/>
      <c r="AS206" s="424"/>
      <c r="AT206" s="422" t="str">
        <f t="shared" si="10"/>
        <v/>
      </c>
      <c r="AU206" s="424"/>
    </row>
    <row r="207" spans="1:47" ht="16.5" customHeight="1" x14ac:dyDescent="0.15">
      <c r="A207" s="58">
        <f>中間シート!AI609</f>
        <v>9999</v>
      </c>
      <c r="B207" s="58" t="str">
        <f>中間シート!AK609</f>
        <v>事業場99</v>
      </c>
      <c r="C207" s="58" t="e">
        <f>中間シート!AJ609</f>
        <v>#N/A</v>
      </c>
      <c r="D207" s="58" t="str">
        <f>VLOOKUP($A207,中間シート!$D$514:$K$663,4)</f>
        <v/>
      </c>
      <c r="E207" s="58" t="str">
        <f>VLOOKUP($A207,中間シート!$D$514:$K$663,5)</f>
        <v/>
      </c>
      <c r="F207" s="58" t="str">
        <f>VLOOKUP($A207,中間シート!$D$514:$K$663,6)</f>
        <v/>
      </c>
      <c r="G207" s="58" t="str">
        <f>VLOOKUP($A207,中間シート!$D$514:$K$663,7)</f>
        <v/>
      </c>
      <c r="H207" s="58" t="str">
        <f>VLOOKUP($A207,中間シート!$D$514:$K$663,8)</f>
        <v/>
      </c>
      <c r="J207" s="412" t="str">
        <f t="shared" si="9"/>
        <v/>
      </c>
      <c r="K207" s="412"/>
      <c r="L207" s="412"/>
      <c r="M207" s="412"/>
      <c r="N207" s="422" t="str">
        <f>IF($A207&lt;&gt;9999,IF($C207=2,VLOOKUP($A207,中間シート!$D$514:$T$663,14,FALSE),VLOOKUP($A207,中間シート!$D$514:$T$663,9,FALSE)),"")</f>
        <v/>
      </c>
      <c r="O207" s="423"/>
      <c r="P207" s="423"/>
      <c r="Q207" s="423"/>
      <c r="R207" s="423"/>
      <c r="S207" s="423"/>
      <c r="T207" s="424"/>
      <c r="U207" s="422" t="str">
        <f t="shared" si="6"/>
        <v/>
      </c>
      <c r="V207" s="424"/>
      <c r="W207" s="422" t="str">
        <f>IF($A207&lt;&gt;9999,IF($C207=2,VLOOKUP($A207,中間シート!$D$514:$T$663,15,FALSE),VLOOKUP($A207,中間シート!$D$514:$T$663,10,FALSE)),"")</f>
        <v/>
      </c>
      <c r="X207" s="423"/>
      <c r="Y207" s="423"/>
      <c r="Z207" s="423"/>
      <c r="AA207" s="423"/>
      <c r="AB207" s="423"/>
      <c r="AC207" s="424"/>
      <c r="AD207" s="422" t="str">
        <f t="shared" si="7"/>
        <v/>
      </c>
      <c r="AE207" s="424"/>
      <c r="AF207" s="422" t="str">
        <f>IF($A207&lt;&gt;9999,IF($C207=2,VLOOKUP($A207,中間シート!$D$514:$T$663,16,FALSE),VLOOKUP($A207,中間シート!$D$514:$T$663,11,FALSE)),"")</f>
        <v/>
      </c>
      <c r="AG207" s="423"/>
      <c r="AH207" s="423"/>
      <c r="AI207" s="423"/>
      <c r="AJ207" s="423"/>
      <c r="AK207" s="424"/>
      <c r="AL207" s="422" t="str">
        <f t="shared" si="8"/>
        <v/>
      </c>
      <c r="AM207" s="424"/>
      <c r="AN207" s="422" t="str">
        <f>IF($A207&lt;&gt;9999,IF($C207=2,VLOOKUP($A207,中間シート!$D$514:$T$663,17,FALSE),VLOOKUP($A207,中間シート!$D$514:$T$663,12,FALSE)),"")</f>
        <v/>
      </c>
      <c r="AO207" s="423"/>
      <c r="AP207" s="423"/>
      <c r="AQ207" s="423"/>
      <c r="AR207" s="423"/>
      <c r="AS207" s="424"/>
      <c r="AT207" s="422" t="str">
        <f t="shared" si="10"/>
        <v/>
      </c>
      <c r="AU207" s="424"/>
    </row>
    <row r="208" spans="1:47" ht="16.5" customHeight="1" x14ac:dyDescent="0.15">
      <c r="A208" s="58">
        <f>中間シート!AI610</f>
        <v>9999</v>
      </c>
      <c r="B208" s="58" t="str">
        <f>中間シート!AK610</f>
        <v>事業場99</v>
      </c>
      <c r="C208" s="58" t="e">
        <f>中間シート!AJ610</f>
        <v>#N/A</v>
      </c>
      <c r="D208" s="58" t="str">
        <f>VLOOKUP($A208,中間シート!$D$514:$K$663,4)</f>
        <v/>
      </c>
      <c r="E208" s="58" t="str">
        <f>VLOOKUP($A208,中間シート!$D$514:$K$663,5)</f>
        <v/>
      </c>
      <c r="F208" s="58" t="str">
        <f>VLOOKUP($A208,中間シート!$D$514:$K$663,6)</f>
        <v/>
      </c>
      <c r="G208" s="58" t="str">
        <f>VLOOKUP($A208,中間シート!$D$514:$K$663,7)</f>
        <v/>
      </c>
      <c r="H208" s="58" t="str">
        <f>VLOOKUP($A208,中間シート!$D$514:$K$663,8)</f>
        <v/>
      </c>
      <c r="J208" s="412" t="str">
        <f t="shared" si="9"/>
        <v/>
      </c>
      <c r="K208" s="412"/>
      <c r="L208" s="412"/>
      <c r="M208" s="412"/>
      <c r="N208" s="422" t="str">
        <f>IF($A208&lt;&gt;9999,IF($C208=2,VLOOKUP($A208,中間シート!$D$514:$T$663,14,FALSE),VLOOKUP($A208,中間シート!$D$514:$T$663,9,FALSE)),"")</f>
        <v/>
      </c>
      <c r="O208" s="423"/>
      <c r="P208" s="423"/>
      <c r="Q208" s="423"/>
      <c r="R208" s="423"/>
      <c r="S208" s="423"/>
      <c r="T208" s="424"/>
      <c r="U208" s="422" t="str">
        <f t="shared" si="6"/>
        <v/>
      </c>
      <c r="V208" s="424"/>
      <c r="W208" s="422" t="str">
        <f>IF($A208&lt;&gt;9999,IF($C208=2,VLOOKUP($A208,中間シート!$D$514:$T$663,15,FALSE),VLOOKUP($A208,中間シート!$D$514:$T$663,10,FALSE)),"")</f>
        <v/>
      </c>
      <c r="X208" s="423"/>
      <c r="Y208" s="423"/>
      <c r="Z208" s="423"/>
      <c r="AA208" s="423"/>
      <c r="AB208" s="423"/>
      <c r="AC208" s="424"/>
      <c r="AD208" s="422" t="str">
        <f t="shared" si="7"/>
        <v/>
      </c>
      <c r="AE208" s="424"/>
      <c r="AF208" s="422" t="str">
        <f>IF($A208&lt;&gt;9999,IF($C208=2,VLOOKUP($A208,中間シート!$D$514:$T$663,16,FALSE),VLOOKUP($A208,中間シート!$D$514:$T$663,11,FALSE)),"")</f>
        <v/>
      </c>
      <c r="AG208" s="423"/>
      <c r="AH208" s="423"/>
      <c r="AI208" s="423"/>
      <c r="AJ208" s="423"/>
      <c r="AK208" s="424"/>
      <c r="AL208" s="422" t="str">
        <f t="shared" si="8"/>
        <v/>
      </c>
      <c r="AM208" s="424"/>
      <c r="AN208" s="422" t="str">
        <f>IF($A208&lt;&gt;9999,IF($C208=2,VLOOKUP($A208,中間シート!$D$514:$T$663,17,FALSE),VLOOKUP($A208,中間シート!$D$514:$T$663,12,FALSE)),"")</f>
        <v/>
      </c>
      <c r="AO208" s="423"/>
      <c r="AP208" s="423"/>
      <c r="AQ208" s="423"/>
      <c r="AR208" s="423"/>
      <c r="AS208" s="424"/>
      <c r="AT208" s="422" t="str">
        <f t="shared" si="10"/>
        <v/>
      </c>
      <c r="AU208" s="424"/>
    </row>
    <row r="209" spans="1:47" ht="16.5" customHeight="1" x14ac:dyDescent="0.15">
      <c r="A209" s="58">
        <f>中間シート!AI611</f>
        <v>9999</v>
      </c>
      <c r="B209" s="58" t="str">
        <f>中間シート!AK611</f>
        <v>事業場99</v>
      </c>
      <c r="C209" s="58" t="e">
        <f>中間シート!AJ611</f>
        <v>#N/A</v>
      </c>
      <c r="D209" s="58" t="str">
        <f>VLOOKUP($A209,中間シート!$D$514:$K$663,4)</f>
        <v/>
      </c>
      <c r="E209" s="58" t="str">
        <f>VLOOKUP($A209,中間シート!$D$514:$K$663,5)</f>
        <v/>
      </c>
      <c r="F209" s="58" t="str">
        <f>VLOOKUP($A209,中間シート!$D$514:$K$663,6)</f>
        <v/>
      </c>
      <c r="G209" s="58" t="str">
        <f>VLOOKUP($A209,中間シート!$D$514:$K$663,7)</f>
        <v/>
      </c>
      <c r="H209" s="58" t="str">
        <f>VLOOKUP($A209,中間シート!$D$514:$K$663,8)</f>
        <v/>
      </c>
      <c r="J209" s="412" t="str">
        <f t="shared" si="9"/>
        <v/>
      </c>
      <c r="K209" s="412"/>
      <c r="L209" s="412"/>
      <c r="M209" s="412"/>
      <c r="N209" s="422" t="str">
        <f>IF($A209&lt;&gt;9999,IF($C209=2,VLOOKUP($A209,中間シート!$D$514:$T$663,14,FALSE),VLOOKUP($A209,中間シート!$D$514:$T$663,9,FALSE)),"")</f>
        <v/>
      </c>
      <c r="O209" s="423"/>
      <c r="P209" s="423"/>
      <c r="Q209" s="423"/>
      <c r="R209" s="423"/>
      <c r="S209" s="423"/>
      <c r="T209" s="424"/>
      <c r="U209" s="422" t="str">
        <f t="shared" si="6"/>
        <v/>
      </c>
      <c r="V209" s="424"/>
      <c r="W209" s="422" t="str">
        <f>IF($A209&lt;&gt;9999,IF($C209=2,VLOOKUP($A209,中間シート!$D$514:$T$663,15,FALSE),VLOOKUP($A209,中間シート!$D$514:$T$663,10,FALSE)),"")</f>
        <v/>
      </c>
      <c r="X209" s="423"/>
      <c r="Y209" s="423"/>
      <c r="Z209" s="423"/>
      <c r="AA209" s="423"/>
      <c r="AB209" s="423"/>
      <c r="AC209" s="424"/>
      <c r="AD209" s="422" t="str">
        <f t="shared" si="7"/>
        <v/>
      </c>
      <c r="AE209" s="424"/>
      <c r="AF209" s="422" t="str">
        <f>IF($A209&lt;&gt;9999,IF($C209=2,VLOOKUP($A209,中間シート!$D$514:$T$663,16,FALSE),VLOOKUP($A209,中間シート!$D$514:$T$663,11,FALSE)),"")</f>
        <v/>
      </c>
      <c r="AG209" s="423"/>
      <c r="AH209" s="423"/>
      <c r="AI209" s="423"/>
      <c r="AJ209" s="423"/>
      <c r="AK209" s="424"/>
      <c r="AL209" s="422" t="str">
        <f t="shared" si="8"/>
        <v/>
      </c>
      <c r="AM209" s="424"/>
      <c r="AN209" s="422" t="str">
        <f>IF($A209&lt;&gt;9999,IF($C209=2,VLOOKUP($A209,中間シート!$D$514:$T$663,17,FALSE),VLOOKUP($A209,中間シート!$D$514:$T$663,12,FALSE)),"")</f>
        <v/>
      </c>
      <c r="AO209" s="423"/>
      <c r="AP209" s="423"/>
      <c r="AQ209" s="423"/>
      <c r="AR209" s="423"/>
      <c r="AS209" s="424"/>
      <c r="AT209" s="422" t="str">
        <f t="shared" si="10"/>
        <v/>
      </c>
      <c r="AU209" s="424"/>
    </row>
    <row r="210" spans="1:47" ht="16.5" customHeight="1" x14ac:dyDescent="0.15">
      <c r="A210" s="58">
        <f>中間シート!AI612</f>
        <v>9999</v>
      </c>
      <c r="B210" s="58" t="str">
        <f>中間シート!AK612</f>
        <v>事業場99</v>
      </c>
      <c r="C210" s="58" t="e">
        <f>中間シート!AJ612</f>
        <v>#N/A</v>
      </c>
      <c r="D210" s="58" t="str">
        <f>VLOOKUP($A210,中間シート!$D$514:$K$663,4)</f>
        <v/>
      </c>
      <c r="E210" s="58" t="str">
        <f>VLOOKUP($A210,中間シート!$D$514:$K$663,5)</f>
        <v/>
      </c>
      <c r="F210" s="58" t="str">
        <f>VLOOKUP($A210,中間シート!$D$514:$K$663,6)</f>
        <v/>
      </c>
      <c r="G210" s="58" t="str">
        <f>VLOOKUP($A210,中間シート!$D$514:$K$663,7)</f>
        <v/>
      </c>
      <c r="H210" s="58" t="str">
        <f>VLOOKUP($A210,中間シート!$D$514:$K$663,8)</f>
        <v/>
      </c>
      <c r="J210" s="412" t="str">
        <f t="shared" si="9"/>
        <v/>
      </c>
      <c r="K210" s="412"/>
      <c r="L210" s="412"/>
      <c r="M210" s="412"/>
      <c r="N210" s="422" t="str">
        <f>IF($A210&lt;&gt;9999,IF($C210=2,VLOOKUP($A210,中間シート!$D$514:$T$663,14,FALSE),VLOOKUP($A210,中間シート!$D$514:$T$663,9,FALSE)),"")</f>
        <v/>
      </c>
      <c r="O210" s="423"/>
      <c r="P210" s="423"/>
      <c r="Q210" s="423"/>
      <c r="R210" s="423"/>
      <c r="S210" s="423"/>
      <c r="T210" s="424"/>
      <c r="U210" s="422" t="str">
        <f t="shared" si="6"/>
        <v/>
      </c>
      <c r="V210" s="424"/>
      <c r="W210" s="422" t="str">
        <f>IF($A210&lt;&gt;9999,IF($C210=2,VLOOKUP($A210,中間シート!$D$514:$T$663,15,FALSE),VLOOKUP($A210,中間シート!$D$514:$T$663,10,FALSE)),"")</f>
        <v/>
      </c>
      <c r="X210" s="423"/>
      <c r="Y210" s="423"/>
      <c r="Z210" s="423"/>
      <c r="AA210" s="423"/>
      <c r="AB210" s="423"/>
      <c r="AC210" s="424"/>
      <c r="AD210" s="422" t="str">
        <f t="shared" si="7"/>
        <v/>
      </c>
      <c r="AE210" s="424"/>
      <c r="AF210" s="422" t="str">
        <f>IF($A210&lt;&gt;9999,IF($C210=2,VLOOKUP($A210,中間シート!$D$514:$T$663,16,FALSE),VLOOKUP($A210,中間シート!$D$514:$T$663,11,FALSE)),"")</f>
        <v/>
      </c>
      <c r="AG210" s="423"/>
      <c r="AH210" s="423"/>
      <c r="AI210" s="423"/>
      <c r="AJ210" s="423"/>
      <c r="AK210" s="424"/>
      <c r="AL210" s="422" t="str">
        <f t="shared" si="8"/>
        <v/>
      </c>
      <c r="AM210" s="424"/>
      <c r="AN210" s="422" t="str">
        <f>IF($A210&lt;&gt;9999,IF($C210=2,VLOOKUP($A210,中間シート!$D$514:$T$663,17,FALSE),VLOOKUP($A210,中間シート!$D$514:$T$663,12,FALSE)),"")</f>
        <v/>
      </c>
      <c r="AO210" s="423"/>
      <c r="AP210" s="423"/>
      <c r="AQ210" s="423"/>
      <c r="AR210" s="423"/>
      <c r="AS210" s="424"/>
      <c r="AT210" s="422" t="str">
        <f t="shared" si="10"/>
        <v/>
      </c>
      <c r="AU210" s="424"/>
    </row>
    <row r="211" spans="1:47" ht="16.5" customHeight="1" x14ac:dyDescent="0.15">
      <c r="A211" s="58">
        <f>中間シート!AI613</f>
        <v>9999</v>
      </c>
      <c r="B211" s="58" t="str">
        <f>中間シート!AK613</f>
        <v>事業場99</v>
      </c>
      <c r="C211" s="58" t="e">
        <f>中間シート!AJ613</f>
        <v>#N/A</v>
      </c>
      <c r="D211" s="58" t="str">
        <f>VLOOKUP($A211,中間シート!$D$514:$K$663,4)</f>
        <v/>
      </c>
      <c r="E211" s="58" t="str">
        <f>VLOOKUP($A211,中間シート!$D$514:$K$663,5)</f>
        <v/>
      </c>
      <c r="F211" s="58" t="str">
        <f>VLOOKUP($A211,中間シート!$D$514:$K$663,6)</f>
        <v/>
      </c>
      <c r="G211" s="58" t="str">
        <f>VLOOKUP($A211,中間シート!$D$514:$K$663,7)</f>
        <v/>
      </c>
      <c r="H211" s="58" t="str">
        <f>VLOOKUP($A211,中間シート!$D$514:$K$663,8)</f>
        <v/>
      </c>
      <c r="J211" s="412" t="str">
        <f t="shared" si="9"/>
        <v/>
      </c>
      <c r="K211" s="412"/>
      <c r="L211" s="412"/>
      <c r="M211" s="412"/>
      <c r="N211" s="422" t="str">
        <f>IF($A211&lt;&gt;9999,IF($C211=2,VLOOKUP($A211,中間シート!$D$514:$T$663,14,FALSE),VLOOKUP($A211,中間シート!$D$514:$T$663,9,FALSE)),"")</f>
        <v/>
      </c>
      <c r="O211" s="423"/>
      <c r="P211" s="423"/>
      <c r="Q211" s="423"/>
      <c r="R211" s="423"/>
      <c r="S211" s="423"/>
      <c r="T211" s="424"/>
      <c r="U211" s="422" t="str">
        <f t="shared" si="6"/>
        <v/>
      </c>
      <c r="V211" s="424"/>
      <c r="W211" s="422" t="str">
        <f>IF($A211&lt;&gt;9999,IF($C211=2,VLOOKUP($A211,中間シート!$D$514:$T$663,15,FALSE),VLOOKUP($A211,中間シート!$D$514:$T$663,10,FALSE)),"")</f>
        <v/>
      </c>
      <c r="X211" s="423"/>
      <c r="Y211" s="423"/>
      <c r="Z211" s="423"/>
      <c r="AA211" s="423"/>
      <c r="AB211" s="423"/>
      <c r="AC211" s="424"/>
      <c r="AD211" s="422" t="str">
        <f t="shared" si="7"/>
        <v/>
      </c>
      <c r="AE211" s="424"/>
      <c r="AF211" s="422" t="str">
        <f>IF($A211&lt;&gt;9999,IF($C211=2,VLOOKUP($A211,中間シート!$D$514:$T$663,16,FALSE),VLOOKUP($A211,中間シート!$D$514:$T$663,11,FALSE)),"")</f>
        <v/>
      </c>
      <c r="AG211" s="423"/>
      <c r="AH211" s="423"/>
      <c r="AI211" s="423"/>
      <c r="AJ211" s="423"/>
      <c r="AK211" s="424"/>
      <c r="AL211" s="422" t="str">
        <f t="shared" si="8"/>
        <v/>
      </c>
      <c r="AM211" s="424"/>
      <c r="AN211" s="422" t="str">
        <f>IF($A211&lt;&gt;9999,IF($C211=2,VLOOKUP($A211,中間シート!$D$514:$T$663,17,FALSE),VLOOKUP($A211,中間シート!$D$514:$T$663,12,FALSE)),"")</f>
        <v/>
      </c>
      <c r="AO211" s="423"/>
      <c r="AP211" s="423"/>
      <c r="AQ211" s="423"/>
      <c r="AR211" s="423"/>
      <c r="AS211" s="424"/>
      <c r="AT211" s="422" t="str">
        <f t="shared" si="10"/>
        <v/>
      </c>
      <c r="AU211" s="424"/>
    </row>
    <row r="212" spans="1:47" ht="16.5" customHeight="1" x14ac:dyDescent="0.15">
      <c r="A212" s="58">
        <f>中間シート!AI614</f>
        <v>9999</v>
      </c>
      <c r="B212" s="58" t="str">
        <f>中間シート!AK614</f>
        <v>事業場99</v>
      </c>
      <c r="C212" s="58" t="e">
        <f>中間シート!AJ614</f>
        <v>#N/A</v>
      </c>
      <c r="D212" s="58" t="str">
        <f>VLOOKUP($A212,中間シート!$D$514:$K$663,4)</f>
        <v/>
      </c>
      <c r="E212" s="58" t="str">
        <f>VLOOKUP($A212,中間シート!$D$514:$K$663,5)</f>
        <v/>
      </c>
      <c r="F212" s="58" t="str">
        <f>VLOOKUP($A212,中間シート!$D$514:$K$663,6)</f>
        <v/>
      </c>
      <c r="G212" s="58" t="str">
        <f>VLOOKUP($A212,中間シート!$D$514:$K$663,7)</f>
        <v/>
      </c>
      <c r="H212" s="58" t="str">
        <f>VLOOKUP($A212,中間シート!$D$514:$K$663,8)</f>
        <v/>
      </c>
      <c r="J212" s="412" t="str">
        <f t="shared" si="9"/>
        <v/>
      </c>
      <c r="K212" s="412"/>
      <c r="L212" s="412"/>
      <c r="M212" s="412"/>
      <c r="N212" s="422" t="str">
        <f>IF($A212&lt;&gt;9999,IF($C212=2,VLOOKUP($A212,中間シート!$D$514:$T$663,14,FALSE),VLOOKUP($A212,中間シート!$D$514:$T$663,9,FALSE)),"")</f>
        <v/>
      </c>
      <c r="O212" s="423"/>
      <c r="P212" s="423"/>
      <c r="Q212" s="423"/>
      <c r="R212" s="423"/>
      <c r="S212" s="423"/>
      <c r="T212" s="424"/>
      <c r="U212" s="422" t="str">
        <f t="shared" si="6"/>
        <v/>
      </c>
      <c r="V212" s="424"/>
      <c r="W212" s="422" t="str">
        <f>IF($A212&lt;&gt;9999,IF($C212=2,VLOOKUP($A212,中間シート!$D$514:$T$663,15,FALSE),VLOOKUP($A212,中間シート!$D$514:$T$663,10,FALSE)),"")</f>
        <v/>
      </c>
      <c r="X212" s="423"/>
      <c r="Y212" s="423"/>
      <c r="Z212" s="423"/>
      <c r="AA212" s="423"/>
      <c r="AB212" s="423"/>
      <c r="AC212" s="424"/>
      <c r="AD212" s="422" t="str">
        <f t="shared" si="7"/>
        <v/>
      </c>
      <c r="AE212" s="424"/>
      <c r="AF212" s="422" t="str">
        <f>IF($A212&lt;&gt;9999,IF($C212=2,VLOOKUP($A212,中間シート!$D$514:$T$663,16,FALSE),VLOOKUP($A212,中間シート!$D$514:$T$663,11,FALSE)),"")</f>
        <v/>
      </c>
      <c r="AG212" s="423"/>
      <c r="AH212" s="423"/>
      <c r="AI212" s="423"/>
      <c r="AJ212" s="423"/>
      <c r="AK212" s="424"/>
      <c r="AL212" s="422" t="str">
        <f t="shared" si="8"/>
        <v/>
      </c>
      <c r="AM212" s="424"/>
      <c r="AN212" s="422" t="str">
        <f>IF($A212&lt;&gt;9999,IF($C212=2,VLOOKUP($A212,中間シート!$D$514:$T$663,17,FALSE),VLOOKUP($A212,中間シート!$D$514:$T$663,12,FALSE)),"")</f>
        <v/>
      </c>
      <c r="AO212" s="423"/>
      <c r="AP212" s="423"/>
      <c r="AQ212" s="423"/>
      <c r="AR212" s="423"/>
      <c r="AS212" s="424"/>
      <c r="AT212" s="422" t="str">
        <f t="shared" si="10"/>
        <v/>
      </c>
      <c r="AU212" s="424"/>
    </row>
    <row r="213" spans="1:47" ht="16.5" customHeight="1" x14ac:dyDescent="0.15">
      <c r="A213" s="58">
        <f>中間シート!AI615</f>
        <v>9999</v>
      </c>
      <c r="B213" s="58" t="str">
        <f>中間シート!AK615</f>
        <v>事業場99</v>
      </c>
      <c r="C213" s="58" t="e">
        <f>中間シート!AJ615</f>
        <v>#N/A</v>
      </c>
      <c r="D213" s="58" t="str">
        <f>VLOOKUP($A213,中間シート!$D$514:$K$663,4)</f>
        <v/>
      </c>
      <c r="E213" s="58" t="str">
        <f>VLOOKUP($A213,中間シート!$D$514:$K$663,5)</f>
        <v/>
      </c>
      <c r="F213" s="58" t="str">
        <f>VLOOKUP($A213,中間シート!$D$514:$K$663,6)</f>
        <v/>
      </c>
      <c r="G213" s="58" t="str">
        <f>VLOOKUP($A213,中間シート!$D$514:$K$663,7)</f>
        <v/>
      </c>
      <c r="H213" s="58" t="str">
        <f>VLOOKUP($A213,中間シート!$D$514:$K$663,8)</f>
        <v/>
      </c>
      <c r="J213" s="412" t="str">
        <f t="shared" si="9"/>
        <v/>
      </c>
      <c r="K213" s="412"/>
      <c r="L213" s="412"/>
      <c r="M213" s="412"/>
      <c r="N213" s="422" t="str">
        <f>IF($A213&lt;&gt;9999,IF($C213=2,VLOOKUP($A213,中間シート!$D$514:$T$663,14,FALSE),VLOOKUP($A213,中間シート!$D$514:$T$663,9,FALSE)),"")</f>
        <v/>
      </c>
      <c r="O213" s="423"/>
      <c r="P213" s="423"/>
      <c r="Q213" s="423"/>
      <c r="R213" s="423"/>
      <c r="S213" s="423"/>
      <c r="T213" s="424"/>
      <c r="U213" s="422" t="str">
        <f t="shared" si="6"/>
        <v/>
      </c>
      <c r="V213" s="424"/>
      <c r="W213" s="422" t="str">
        <f>IF($A213&lt;&gt;9999,IF($C213=2,VLOOKUP($A213,中間シート!$D$514:$T$663,15,FALSE),VLOOKUP($A213,中間シート!$D$514:$T$663,10,FALSE)),"")</f>
        <v/>
      </c>
      <c r="X213" s="423"/>
      <c r="Y213" s="423"/>
      <c r="Z213" s="423"/>
      <c r="AA213" s="423"/>
      <c r="AB213" s="423"/>
      <c r="AC213" s="424"/>
      <c r="AD213" s="422" t="str">
        <f t="shared" si="7"/>
        <v/>
      </c>
      <c r="AE213" s="424"/>
      <c r="AF213" s="422" t="str">
        <f>IF($A213&lt;&gt;9999,IF($C213=2,VLOOKUP($A213,中間シート!$D$514:$T$663,16,FALSE),VLOOKUP($A213,中間シート!$D$514:$T$663,11,FALSE)),"")</f>
        <v/>
      </c>
      <c r="AG213" s="423"/>
      <c r="AH213" s="423"/>
      <c r="AI213" s="423"/>
      <c r="AJ213" s="423"/>
      <c r="AK213" s="424"/>
      <c r="AL213" s="422" t="str">
        <f t="shared" si="8"/>
        <v/>
      </c>
      <c r="AM213" s="424"/>
      <c r="AN213" s="422" t="str">
        <f>IF($A213&lt;&gt;9999,IF($C213=2,VLOOKUP($A213,中間シート!$D$514:$T$663,17,FALSE),VLOOKUP($A213,中間シート!$D$514:$T$663,12,FALSE)),"")</f>
        <v/>
      </c>
      <c r="AO213" s="423"/>
      <c r="AP213" s="423"/>
      <c r="AQ213" s="423"/>
      <c r="AR213" s="423"/>
      <c r="AS213" s="424"/>
      <c r="AT213" s="422" t="str">
        <f t="shared" si="10"/>
        <v/>
      </c>
      <c r="AU213" s="424"/>
    </row>
    <row r="214" spans="1:47" ht="16.5" customHeight="1" x14ac:dyDescent="0.15">
      <c r="A214" s="58">
        <f>中間シート!AI616</f>
        <v>9999</v>
      </c>
      <c r="B214" s="58" t="str">
        <f>中間シート!AK616</f>
        <v>事業場99</v>
      </c>
      <c r="C214" s="58" t="e">
        <f>中間シート!AJ616</f>
        <v>#N/A</v>
      </c>
      <c r="D214" s="58" t="str">
        <f>VLOOKUP($A214,中間シート!$D$514:$K$663,4)</f>
        <v/>
      </c>
      <c r="E214" s="58" t="str">
        <f>VLOOKUP($A214,中間シート!$D$514:$K$663,5)</f>
        <v/>
      </c>
      <c r="F214" s="58" t="str">
        <f>VLOOKUP($A214,中間シート!$D$514:$K$663,6)</f>
        <v/>
      </c>
      <c r="G214" s="58" t="str">
        <f>VLOOKUP($A214,中間シート!$D$514:$K$663,7)</f>
        <v/>
      </c>
      <c r="H214" s="58" t="str">
        <f>VLOOKUP($A214,中間シート!$D$514:$K$663,8)</f>
        <v/>
      </c>
      <c r="J214" s="412" t="str">
        <f t="shared" si="9"/>
        <v/>
      </c>
      <c r="K214" s="412"/>
      <c r="L214" s="412"/>
      <c r="M214" s="412"/>
      <c r="N214" s="422" t="str">
        <f>IF($A214&lt;&gt;9999,IF($C214=2,VLOOKUP($A214,中間シート!$D$514:$T$663,14,FALSE),VLOOKUP($A214,中間シート!$D$514:$T$663,9,FALSE)),"")</f>
        <v/>
      </c>
      <c r="O214" s="423"/>
      <c r="P214" s="423"/>
      <c r="Q214" s="423"/>
      <c r="R214" s="423"/>
      <c r="S214" s="423"/>
      <c r="T214" s="424"/>
      <c r="U214" s="422" t="str">
        <f t="shared" si="6"/>
        <v/>
      </c>
      <c r="V214" s="424"/>
      <c r="W214" s="422" t="str">
        <f>IF($A214&lt;&gt;9999,IF($C214=2,VLOOKUP($A214,中間シート!$D$514:$T$663,15,FALSE),VLOOKUP($A214,中間シート!$D$514:$T$663,10,FALSE)),"")</f>
        <v/>
      </c>
      <c r="X214" s="423"/>
      <c r="Y214" s="423"/>
      <c r="Z214" s="423"/>
      <c r="AA214" s="423"/>
      <c r="AB214" s="423"/>
      <c r="AC214" s="424"/>
      <c r="AD214" s="422" t="str">
        <f t="shared" si="7"/>
        <v/>
      </c>
      <c r="AE214" s="424"/>
      <c r="AF214" s="422" t="str">
        <f>IF($A214&lt;&gt;9999,IF($C214=2,VLOOKUP($A214,中間シート!$D$514:$T$663,16,FALSE),VLOOKUP($A214,中間シート!$D$514:$T$663,11,FALSE)),"")</f>
        <v/>
      </c>
      <c r="AG214" s="423"/>
      <c r="AH214" s="423"/>
      <c r="AI214" s="423"/>
      <c r="AJ214" s="423"/>
      <c r="AK214" s="424"/>
      <c r="AL214" s="422" t="str">
        <f t="shared" si="8"/>
        <v/>
      </c>
      <c r="AM214" s="424"/>
      <c r="AN214" s="422" t="str">
        <f>IF($A214&lt;&gt;9999,IF($C214=2,VLOOKUP($A214,中間シート!$D$514:$T$663,17,FALSE),VLOOKUP($A214,中間シート!$D$514:$T$663,12,FALSE)),"")</f>
        <v/>
      </c>
      <c r="AO214" s="423"/>
      <c r="AP214" s="423"/>
      <c r="AQ214" s="423"/>
      <c r="AR214" s="423"/>
      <c r="AS214" s="424"/>
      <c r="AT214" s="422" t="str">
        <f t="shared" si="10"/>
        <v/>
      </c>
      <c r="AU214" s="424"/>
    </row>
    <row r="215" spans="1:47" ht="16.5" customHeight="1" x14ac:dyDescent="0.15">
      <c r="A215" s="58">
        <f>中間シート!AI617</f>
        <v>9999</v>
      </c>
      <c r="B215" s="58" t="str">
        <f>中間シート!AK617</f>
        <v>事業場99</v>
      </c>
      <c r="C215" s="58" t="e">
        <f>中間シート!AJ617</f>
        <v>#N/A</v>
      </c>
      <c r="D215" s="58" t="str">
        <f>VLOOKUP($A215,中間シート!$D$514:$K$663,4)</f>
        <v/>
      </c>
      <c r="E215" s="58" t="str">
        <f>VLOOKUP($A215,中間シート!$D$514:$K$663,5)</f>
        <v/>
      </c>
      <c r="F215" s="58" t="str">
        <f>VLOOKUP($A215,中間シート!$D$514:$K$663,6)</f>
        <v/>
      </c>
      <c r="G215" s="58" t="str">
        <f>VLOOKUP($A215,中間シート!$D$514:$K$663,7)</f>
        <v/>
      </c>
      <c r="H215" s="58" t="str">
        <f>VLOOKUP($A215,中間シート!$D$514:$K$663,8)</f>
        <v/>
      </c>
      <c r="J215" s="412" t="str">
        <f t="shared" si="9"/>
        <v/>
      </c>
      <c r="K215" s="412"/>
      <c r="L215" s="412"/>
      <c r="M215" s="412"/>
      <c r="N215" s="422" t="str">
        <f>IF($A215&lt;&gt;9999,IF($C215=2,VLOOKUP($A215,中間シート!$D$514:$T$663,14,FALSE),VLOOKUP($A215,中間シート!$D$514:$T$663,9,FALSE)),"")</f>
        <v/>
      </c>
      <c r="O215" s="423"/>
      <c r="P215" s="423"/>
      <c r="Q215" s="423"/>
      <c r="R215" s="423"/>
      <c r="S215" s="423"/>
      <c r="T215" s="424"/>
      <c r="U215" s="422" t="str">
        <f t="shared" si="6"/>
        <v/>
      </c>
      <c r="V215" s="424"/>
      <c r="W215" s="422" t="str">
        <f>IF($A215&lt;&gt;9999,IF($C215=2,VLOOKUP($A215,中間シート!$D$514:$T$663,15,FALSE),VLOOKUP($A215,中間シート!$D$514:$T$663,10,FALSE)),"")</f>
        <v/>
      </c>
      <c r="X215" s="423"/>
      <c r="Y215" s="423"/>
      <c r="Z215" s="423"/>
      <c r="AA215" s="423"/>
      <c r="AB215" s="423"/>
      <c r="AC215" s="424"/>
      <c r="AD215" s="422" t="str">
        <f t="shared" si="7"/>
        <v/>
      </c>
      <c r="AE215" s="424"/>
      <c r="AF215" s="422" t="str">
        <f>IF($A215&lt;&gt;9999,IF($C215=2,VLOOKUP($A215,中間シート!$D$514:$T$663,16,FALSE),VLOOKUP($A215,中間シート!$D$514:$T$663,11,FALSE)),"")</f>
        <v/>
      </c>
      <c r="AG215" s="423"/>
      <c r="AH215" s="423"/>
      <c r="AI215" s="423"/>
      <c r="AJ215" s="423"/>
      <c r="AK215" s="424"/>
      <c r="AL215" s="422" t="str">
        <f t="shared" si="8"/>
        <v/>
      </c>
      <c r="AM215" s="424"/>
      <c r="AN215" s="422" t="str">
        <f>IF($A215&lt;&gt;9999,IF($C215=2,VLOOKUP($A215,中間シート!$D$514:$T$663,17,FALSE),VLOOKUP($A215,中間シート!$D$514:$T$663,12,FALSE)),"")</f>
        <v/>
      </c>
      <c r="AO215" s="423"/>
      <c r="AP215" s="423"/>
      <c r="AQ215" s="423"/>
      <c r="AR215" s="423"/>
      <c r="AS215" s="424"/>
      <c r="AT215" s="422" t="str">
        <f t="shared" si="10"/>
        <v/>
      </c>
      <c r="AU215" s="424"/>
    </row>
    <row r="216" spans="1:47" ht="16.5" customHeight="1" x14ac:dyDescent="0.15">
      <c r="A216" s="58">
        <f>中間シート!AI618</f>
        <v>9999</v>
      </c>
      <c r="B216" s="58" t="str">
        <f>中間シート!AK618</f>
        <v>事業場99</v>
      </c>
      <c r="C216" s="58" t="e">
        <f>中間シート!AJ618</f>
        <v>#N/A</v>
      </c>
      <c r="D216" s="58" t="str">
        <f>VLOOKUP($A216,中間シート!$D$514:$K$663,4)</f>
        <v/>
      </c>
      <c r="E216" s="58" t="str">
        <f>VLOOKUP($A216,中間シート!$D$514:$K$663,5)</f>
        <v/>
      </c>
      <c r="F216" s="58" t="str">
        <f>VLOOKUP($A216,中間シート!$D$514:$K$663,6)</f>
        <v/>
      </c>
      <c r="G216" s="58" t="str">
        <f>VLOOKUP($A216,中間シート!$D$514:$K$663,7)</f>
        <v/>
      </c>
      <c r="H216" s="58" t="str">
        <f>VLOOKUP($A216,中間シート!$D$514:$K$663,8)</f>
        <v/>
      </c>
      <c r="J216" s="412" t="str">
        <f t="shared" si="9"/>
        <v/>
      </c>
      <c r="K216" s="412"/>
      <c r="L216" s="412"/>
      <c r="M216" s="412"/>
      <c r="N216" s="422" t="str">
        <f>IF($A216&lt;&gt;9999,IF($C216=2,VLOOKUP($A216,中間シート!$D$514:$T$663,14,FALSE),VLOOKUP($A216,中間シート!$D$514:$T$663,9,FALSE)),"")</f>
        <v/>
      </c>
      <c r="O216" s="423"/>
      <c r="P216" s="423"/>
      <c r="Q216" s="423"/>
      <c r="R216" s="423"/>
      <c r="S216" s="423"/>
      <c r="T216" s="424"/>
      <c r="U216" s="422" t="str">
        <f t="shared" si="6"/>
        <v/>
      </c>
      <c r="V216" s="424"/>
      <c r="W216" s="422" t="str">
        <f>IF($A216&lt;&gt;9999,IF($C216=2,VLOOKUP($A216,中間シート!$D$514:$T$663,15,FALSE),VLOOKUP($A216,中間シート!$D$514:$T$663,10,FALSE)),"")</f>
        <v/>
      </c>
      <c r="X216" s="423"/>
      <c r="Y216" s="423"/>
      <c r="Z216" s="423"/>
      <c r="AA216" s="423"/>
      <c r="AB216" s="423"/>
      <c r="AC216" s="424"/>
      <c r="AD216" s="422" t="str">
        <f t="shared" si="7"/>
        <v/>
      </c>
      <c r="AE216" s="424"/>
      <c r="AF216" s="422" t="str">
        <f>IF($A216&lt;&gt;9999,IF($C216=2,VLOOKUP($A216,中間シート!$D$514:$T$663,16,FALSE),VLOOKUP($A216,中間シート!$D$514:$T$663,11,FALSE)),"")</f>
        <v/>
      </c>
      <c r="AG216" s="423"/>
      <c r="AH216" s="423"/>
      <c r="AI216" s="423"/>
      <c r="AJ216" s="423"/>
      <c r="AK216" s="424"/>
      <c r="AL216" s="422" t="str">
        <f t="shared" si="8"/>
        <v/>
      </c>
      <c r="AM216" s="424"/>
      <c r="AN216" s="422" t="str">
        <f>IF($A216&lt;&gt;9999,IF($C216=2,VLOOKUP($A216,中間シート!$D$514:$T$663,17,FALSE),VLOOKUP($A216,中間シート!$D$514:$T$663,12,FALSE)),"")</f>
        <v/>
      </c>
      <c r="AO216" s="423"/>
      <c r="AP216" s="423"/>
      <c r="AQ216" s="423"/>
      <c r="AR216" s="423"/>
      <c r="AS216" s="424"/>
      <c r="AT216" s="422" t="str">
        <f t="shared" si="10"/>
        <v/>
      </c>
      <c r="AU216" s="424"/>
    </row>
    <row r="217" spans="1:47" ht="16.5" customHeight="1" x14ac:dyDescent="0.15">
      <c r="A217" s="58">
        <f>中間シート!AI619</f>
        <v>9999</v>
      </c>
      <c r="B217" s="58" t="str">
        <f>中間シート!AK619</f>
        <v>事業場99</v>
      </c>
      <c r="C217" s="58" t="e">
        <f>中間シート!AJ619</f>
        <v>#N/A</v>
      </c>
      <c r="D217" s="58" t="str">
        <f>VLOOKUP($A217,中間シート!$D$514:$K$663,4)</f>
        <v/>
      </c>
      <c r="E217" s="58" t="str">
        <f>VLOOKUP($A217,中間シート!$D$514:$K$663,5)</f>
        <v/>
      </c>
      <c r="F217" s="58" t="str">
        <f>VLOOKUP($A217,中間シート!$D$514:$K$663,6)</f>
        <v/>
      </c>
      <c r="G217" s="58" t="str">
        <f>VLOOKUP($A217,中間シート!$D$514:$K$663,7)</f>
        <v/>
      </c>
      <c r="H217" s="58" t="str">
        <f>VLOOKUP($A217,中間シート!$D$514:$K$663,8)</f>
        <v/>
      </c>
      <c r="J217" s="412" t="str">
        <f t="shared" si="9"/>
        <v/>
      </c>
      <c r="K217" s="412"/>
      <c r="L217" s="412"/>
      <c r="M217" s="412"/>
      <c r="N217" s="422" t="str">
        <f>IF($A217&lt;&gt;9999,IF($C217=2,VLOOKUP($A217,中間シート!$D$514:$T$663,14,FALSE),VLOOKUP($A217,中間シート!$D$514:$T$663,9,FALSE)),"")</f>
        <v/>
      </c>
      <c r="O217" s="423"/>
      <c r="P217" s="423"/>
      <c r="Q217" s="423"/>
      <c r="R217" s="423"/>
      <c r="S217" s="423"/>
      <c r="T217" s="424"/>
      <c r="U217" s="422" t="str">
        <f t="shared" si="6"/>
        <v/>
      </c>
      <c r="V217" s="424"/>
      <c r="W217" s="422" t="str">
        <f>IF($A217&lt;&gt;9999,IF($C217=2,VLOOKUP($A217,中間シート!$D$514:$T$663,15,FALSE),VLOOKUP($A217,中間シート!$D$514:$T$663,10,FALSE)),"")</f>
        <v/>
      </c>
      <c r="X217" s="423"/>
      <c r="Y217" s="423"/>
      <c r="Z217" s="423"/>
      <c r="AA217" s="423"/>
      <c r="AB217" s="423"/>
      <c r="AC217" s="424"/>
      <c r="AD217" s="422" t="str">
        <f t="shared" si="7"/>
        <v/>
      </c>
      <c r="AE217" s="424"/>
      <c r="AF217" s="422" t="str">
        <f>IF($A217&lt;&gt;9999,IF($C217=2,VLOOKUP($A217,中間シート!$D$514:$T$663,16,FALSE),VLOOKUP($A217,中間シート!$D$514:$T$663,11,FALSE)),"")</f>
        <v/>
      </c>
      <c r="AG217" s="423"/>
      <c r="AH217" s="423"/>
      <c r="AI217" s="423"/>
      <c r="AJ217" s="423"/>
      <c r="AK217" s="424"/>
      <c r="AL217" s="422" t="str">
        <f t="shared" si="8"/>
        <v/>
      </c>
      <c r="AM217" s="424"/>
      <c r="AN217" s="422" t="str">
        <f>IF($A217&lt;&gt;9999,IF($C217=2,VLOOKUP($A217,中間シート!$D$514:$T$663,17,FALSE),VLOOKUP($A217,中間シート!$D$514:$T$663,12,FALSE)),"")</f>
        <v/>
      </c>
      <c r="AO217" s="423"/>
      <c r="AP217" s="423"/>
      <c r="AQ217" s="423"/>
      <c r="AR217" s="423"/>
      <c r="AS217" s="424"/>
      <c r="AT217" s="422" t="str">
        <f t="shared" si="10"/>
        <v/>
      </c>
      <c r="AU217" s="424"/>
    </row>
    <row r="218" spans="1:47" ht="16.5" customHeight="1" x14ac:dyDescent="0.15">
      <c r="A218" s="58">
        <f>中間シート!AI620</f>
        <v>9999</v>
      </c>
      <c r="B218" s="58" t="str">
        <f>中間シート!AK620</f>
        <v>事業場99</v>
      </c>
      <c r="C218" s="58" t="e">
        <f>中間シート!AJ620</f>
        <v>#N/A</v>
      </c>
      <c r="D218" s="58" t="str">
        <f>VLOOKUP($A218,中間シート!$D$514:$K$663,4)</f>
        <v/>
      </c>
      <c r="E218" s="58" t="str">
        <f>VLOOKUP($A218,中間シート!$D$514:$K$663,5)</f>
        <v/>
      </c>
      <c r="F218" s="58" t="str">
        <f>VLOOKUP($A218,中間シート!$D$514:$K$663,6)</f>
        <v/>
      </c>
      <c r="G218" s="58" t="str">
        <f>VLOOKUP($A218,中間シート!$D$514:$K$663,7)</f>
        <v/>
      </c>
      <c r="H218" s="58" t="str">
        <f>VLOOKUP($A218,中間シート!$D$514:$K$663,8)</f>
        <v/>
      </c>
      <c r="J218" s="412" t="str">
        <f t="shared" si="9"/>
        <v/>
      </c>
      <c r="K218" s="412"/>
      <c r="L218" s="412"/>
      <c r="M218" s="412"/>
      <c r="N218" s="422" t="str">
        <f>IF($A218&lt;&gt;9999,IF($C218=2,VLOOKUP($A218,中間シート!$D$514:$T$663,14,FALSE),VLOOKUP($A218,中間シート!$D$514:$T$663,9,FALSE)),"")</f>
        <v/>
      </c>
      <c r="O218" s="423"/>
      <c r="P218" s="423"/>
      <c r="Q218" s="423"/>
      <c r="R218" s="423"/>
      <c r="S218" s="423"/>
      <c r="T218" s="424"/>
      <c r="U218" s="422" t="str">
        <f t="shared" si="6"/>
        <v/>
      </c>
      <c r="V218" s="424"/>
      <c r="W218" s="422" t="str">
        <f>IF($A218&lt;&gt;9999,IF($C218=2,VLOOKUP($A218,中間シート!$D$514:$T$663,15,FALSE),VLOOKUP($A218,中間シート!$D$514:$T$663,10,FALSE)),"")</f>
        <v/>
      </c>
      <c r="X218" s="423"/>
      <c r="Y218" s="423"/>
      <c r="Z218" s="423"/>
      <c r="AA218" s="423"/>
      <c r="AB218" s="423"/>
      <c r="AC218" s="424"/>
      <c r="AD218" s="422" t="str">
        <f t="shared" si="7"/>
        <v/>
      </c>
      <c r="AE218" s="424"/>
      <c r="AF218" s="422" t="str">
        <f>IF($A218&lt;&gt;9999,IF($C218=2,VLOOKUP($A218,中間シート!$D$514:$T$663,16,FALSE),VLOOKUP($A218,中間シート!$D$514:$T$663,11,FALSE)),"")</f>
        <v/>
      </c>
      <c r="AG218" s="423"/>
      <c r="AH218" s="423"/>
      <c r="AI218" s="423"/>
      <c r="AJ218" s="423"/>
      <c r="AK218" s="424"/>
      <c r="AL218" s="422" t="str">
        <f t="shared" si="8"/>
        <v/>
      </c>
      <c r="AM218" s="424"/>
      <c r="AN218" s="422" t="str">
        <f>IF($A218&lt;&gt;9999,IF($C218=2,VLOOKUP($A218,中間シート!$D$514:$T$663,17,FALSE),VLOOKUP($A218,中間シート!$D$514:$T$663,12,FALSE)),"")</f>
        <v/>
      </c>
      <c r="AO218" s="423"/>
      <c r="AP218" s="423"/>
      <c r="AQ218" s="423"/>
      <c r="AR218" s="423"/>
      <c r="AS218" s="424"/>
      <c r="AT218" s="422" t="str">
        <f t="shared" si="10"/>
        <v/>
      </c>
      <c r="AU218" s="424"/>
    </row>
    <row r="219" spans="1:47" ht="16.5" customHeight="1" x14ac:dyDescent="0.15">
      <c r="A219" s="58">
        <f>中間シート!AI621</f>
        <v>9999</v>
      </c>
      <c r="B219" s="58" t="str">
        <f>中間シート!AK621</f>
        <v>事業場99</v>
      </c>
      <c r="C219" s="58" t="e">
        <f>中間シート!AJ621</f>
        <v>#N/A</v>
      </c>
      <c r="D219" s="58" t="str">
        <f>VLOOKUP($A219,中間シート!$D$514:$K$663,4)</f>
        <v/>
      </c>
      <c r="E219" s="58" t="str">
        <f>VLOOKUP($A219,中間シート!$D$514:$K$663,5)</f>
        <v/>
      </c>
      <c r="F219" s="58" t="str">
        <f>VLOOKUP($A219,中間シート!$D$514:$K$663,6)</f>
        <v/>
      </c>
      <c r="G219" s="58" t="str">
        <f>VLOOKUP($A219,中間シート!$D$514:$K$663,7)</f>
        <v/>
      </c>
      <c r="H219" s="58" t="str">
        <f>VLOOKUP($A219,中間シート!$D$514:$K$663,8)</f>
        <v/>
      </c>
      <c r="J219" s="412" t="str">
        <f t="shared" si="9"/>
        <v/>
      </c>
      <c r="K219" s="412"/>
      <c r="L219" s="412"/>
      <c r="M219" s="412"/>
      <c r="N219" s="422" t="str">
        <f>IF($A219&lt;&gt;9999,IF($C219=2,VLOOKUP($A219,中間シート!$D$514:$T$663,14,FALSE),VLOOKUP($A219,中間シート!$D$514:$T$663,9,FALSE)),"")</f>
        <v/>
      </c>
      <c r="O219" s="423"/>
      <c r="P219" s="423"/>
      <c r="Q219" s="423"/>
      <c r="R219" s="423"/>
      <c r="S219" s="423"/>
      <c r="T219" s="424"/>
      <c r="U219" s="422" t="str">
        <f t="shared" si="6"/>
        <v/>
      </c>
      <c r="V219" s="424"/>
      <c r="W219" s="422" t="str">
        <f>IF($A219&lt;&gt;9999,IF($C219=2,VLOOKUP($A219,中間シート!$D$514:$T$663,15,FALSE),VLOOKUP($A219,中間シート!$D$514:$T$663,10,FALSE)),"")</f>
        <v/>
      </c>
      <c r="X219" s="423"/>
      <c r="Y219" s="423"/>
      <c r="Z219" s="423"/>
      <c r="AA219" s="423"/>
      <c r="AB219" s="423"/>
      <c r="AC219" s="424"/>
      <c r="AD219" s="422" t="str">
        <f t="shared" si="7"/>
        <v/>
      </c>
      <c r="AE219" s="424"/>
      <c r="AF219" s="422" t="str">
        <f>IF($A219&lt;&gt;9999,IF($C219=2,VLOOKUP($A219,中間シート!$D$514:$T$663,16,FALSE),VLOOKUP($A219,中間シート!$D$514:$T$663,11,FALSE)),"")</f>
        <v/>
      </c>
      <c r="AG219" s="423"/>
      <c r="AH219" s="423"/>
      <c r="AI219" s="423"/>
      <c r="AJ219" s="423"/>
      <c r="AK219" s="424"/>
      <c r="AL219" s="422" t="str">
        <f t="shared" si="8"/>
        <v/>
      </c>
      <c r="AM219" s="424"/>
      <c r="AN219" s="422" t="str">
        <f>IF($A219&lt;&gt;9999,IF($C219=2,VLOOKUP($A219,中間シート!$D$514:$T$663,17,FALSE),VLOOKUP($A219,中間シート!$D$514:$T$663,12,FALSE)),"")</f>
        <v/>
      </c>
      <c r="AO219" s="423"/>
      <c r="AP219" s="423"/>
      <c r="AQ219" s="423"/>
      <c r="AR219" s="423"/>
      <c r="AS219" s="424"/>
      <c r="AT219" s="422" t="str">
        <f t="shared" si="10"/>
        <v/>
      </c>
      <c r="AU219" s="424"/>
    </row>
    <row r="220" spans="1:47" ht="16.5" customHeight="1" x14ac:dyDescent="0.15">
      <c r="A220" s="58">
        <f>中間シート!AI622</f>
        <v>9999</v>
      </c>
      <c r="B220" s="58" t="str">
        <f>中間シート!AK622</f>
        <v>事業場99</v>
      </c>
      <c r="C220" s="58" t="e">
        <f>中間シート!AJ622</f>
        <v>#N/A</v>
      </c>
      <c r="D220" s="58" t="str">
        <f>VLOOKUP($A220,中間シート!$D$514:$K$663,4)</f>
        <v/>
      </c>
      <c r="E220" s="58" t="str">
        <f>VLOOKUP($A220,中間シート!$D$514:$K$663,5)</f>
        <v/>
      </c>
      <c r="F220" s="58" t="str">
        <f>VLOOKUP($A220,中間シート!$D$514:$K$663,6)</f>
        <v/>
      </c>
      <c r="G220" s="58" t="str">
        <f>VLOOKUP($A220,中間シート!$D$514:$K$663,7)</f>
        <v/>
      </c>
      <c r="H220" s="58" t="str">
        <f>VLOOKUP($A220,中間シート!$D$514:$K$663,8)</f>
        <v/>
      </c>
      <c r="J220" s="412" t="str">
        <f t="shared" si="9"/>
        <v/>
      </c>
      <c r="K220" s="412"/>
      <c r="L220" s="412"/>
      <c r="M220" s="412"/>
      <c r="N220" s="422" t="str">
        <f>IF($A220&lt;&gt;9999,IF($C220=2,VLOOKUP($A220,中間シート!$D$514:$T$663,14,FALSE),VLOOKUP($A220,中間シート!$D$514:$T$663,9,FALSE)),"")</f>
        <v/>
      </c>
      <c r="O220" s="423"/>
      <c r="P220" s="423"/>
      <c r="Q220" s="423"/>
      <c r="R220" s="423"/>
      <c r="S220" s="423"/>
      <c r="T220" s="424"/>
      <c r="U220" s="422" t="str">
        <f t="shared" si="6"/>
        <v/>
      </c>
      <c r="V220" s="424"/>
      <c r="W220" s="422" t="str">
        <f>IF($A220&lt;&gt;9999,IF($C220=2,VLOOKUP($A220,中間シート!$D$514:$T$663,15,FALSE),VLOOKUP($A220,中間シート!$D$514:$T$663,10,FALSE)),"")</f>
        <v/>
      </c>
      <c r="X220" s="423"/>
      <c r="Y220" s="423"/>
      <c r="Z220" s="423"/>
      <c r="AA220" s="423"/>
      <c r="AB220" s="423"/>
      <c r="AC220" s="424"/>
      <c r="AD220" s="422" t="str">
        <f t="shared" si="7"/>
        <v/>
      </c>
      <c r="AE220" s="424"/>
      <c r="AF220" s="422" t="str">
        <f>IF($A220&lt;&gt;9999,IF($C220=2,VLOOKUP($A220,中間シート!$D$514:$T$663,16,FALSE),VLOOKUP($A220,中間シート!$D$514:$T$663,11,FALSE)),"")</f>
        <v/>
      </c>
      <c r="AG220" s="423"/>
      <c r="AH220" s="423"/>
      <c r="AI220" s="423"/>
      <c r="AJ220" s="423"/>
      <c r="AK220" s="424"/>
      <c r="AL220" s="422" t="str">
        <f t="shared" si="8"/>
        <v/>
      </c>
      <c r="AM220" s="424"/>
      <c r="AN220" s="422" t="str">
        <f>IF($A220&lt;&gt;9999,IF($C220=2,VLOOKUP($A220,中間シート!$D$514:$T$663,17,FALSE),VLOOKUP($A220,中間シート!$D$514:$T$663,12,FALSE)),"")</f>
        <v/>
      </c>
      <c r="AO220" s="423"/>
      <c r="AP220" s="423"/>
      <c r="AQ220" s="423"/>
      <c r="AR220" s="423"/>
      <c r="AS220" s="424"/>
      <c r="AT220" s="422" t="str">
        <f t="shared" si="10"/>
        <v/>
      </c>
      <c r="AU220" s="424"/>
    </row>
    <row r="221" spans="1:47" ht="16.5" customHeight="1" x14ac:dyDescent="0.15">
      <c r="A221" s="58">
        <f>中間シート!AI623</f>
        <v>9999</v>
      </c>
      <c r="B221" s="58" t="str">
        <f>中間シート!AK623</f>
        <v>事業場99</v>
      </c>
      <c r="C221" s="58" t="e">
        <f>中間シート!AJ623</f>
        <v>#N/A</v>
      </c>
      <c r="D221" s="58" t="str">
        <f>VLOOKUP($A221,中間シート!$D$514:$K$663,4)</f>
        <v/>
      </c>
      <c r="E221" s="58" t="str">
        <f>VLOOKUP($A221,中間シート!$D$514:$K$663,5)</f>
        <v/>
      </c>
      <c r="F221" s="58" t="str">
        <f>VLOOKUP($A221,中間シート!$D$514:$K$663,6)</f>
        <v/>
      </c>
      <c r="G221" s="58" t="str">
        <f>VLOOKUP($A221,中間シート!$D$514:$K$663,7)</f>
        <v/>
      </c>
      <c r="H221" s="58" t="str">
        <f>VLOOKUP($A221,中間シート!$D$514:$K$663,8)</f>
        <v/>
      </c>
      <c r="J221" s="412" t="str">
        <f t="shared" si="9"/>
        <v/>
      </c>
      <c r="K221" s="412"/>
      <c r="L221" s="412"/>
      <c r="M221" s="412"/>
      <c r="N221" s="422" t="str">
        <f>IF($A221&lt;&gt;9999,IF($C221=2,VLOOKUP($A221,中間シート!$D$514:$T$663,14,FALSE),VLOOKUP($A221,中間シート!$D$514:$T$663,9,FALSE)),"")</f>
        <v/>
      </c>
      <c r="O221" s="423"/>
      <c r="P221" s="423"/>
      <c r="Q221" s="423"/>
      <c r="R221" s="423"/>
      <c r="S221" s="423"/>
      <c r="T221" s="424"/>
      <c r="U221" s="422" t="str">
        <f t="shared" si="6"/>
        <v/>
      </c>
      <c r="V221" s="424"/>
      <c r="W221" s="422" t="str">
        <f>IF($A221&lt;&gt;9999,IF($C221=2,VLOOKUP($A221,中間シート!$D$514:$T$663,15,FALSE),VLOOKUP($A221,中間シート!$D$514:$T$663,10,FALSE)),"")</f>
        <v/>
      </c>
      <c r="X221" s="423"/>
      <c r="Y221" s="423"/>
      <c r="Z221" s="423"/>
      <c r="AA221" s="423"/>
      <c r="AB221" s="423"/>
      <c r="AC221" s="424"/>
      <c r="AD221" s="422" t="str">
        <f t="shared" si="7"/>
        <v/>
      </c>
      <c r="AE221" s="424"/>
      <c r="AF221" s="422" t="str">
        <f>IF($A221&lt;&gt;9999,IF($C221=2,VLOOKUP($A221,中間シート!$D$514:$T$663,16,FALSE),VLOOKUP($A221,中間シート!$D$514:$T$663,11,FALSE)),"")</f>
        <v/>
      </c>
      <c r="AG221" s="423"/>
      <c r="AH221" s="423"/>
      <c r="AI221" s="423"/>
      <c r="AJ221" s="423"/>
      <c r="AK221" s="424"/>
      <c r="AL221" s="422" t="str">
        <f t="shared" si="8"/>
        <v/>
      </c>
      <c r="AM221" s="424"/>
      <c r="AN221" s="422" t="str">
        <f>IF($A221&lt;&gt;9999,IF($C221=2,VLOOKUP($A221,中間シート!$D$514:$T$663,17,FALSE),VLOOKUP($A221,中間シート!$D$514:$T$663,12,FALSE)),"")</f>
        <v/>
      </c>
      <c r="AO221" s="423"/>
      <c r="AP221" s="423"/>
      <c r="AQ221" s="423"/>
      <c r="AR221" s="423"/>
      <c r="AS221" s="424"/>
      <c r="AT221" s="422" t="str">
        <f t="shared" si="10"/>
        <v/>
      </c>
      <c r="AU221" s="424"/>
    </row>
    <row r="222" spans="1:47" ht="16.5" customHeight="1" x14ac:dyDescent="0.15">
      <c r="A222" s="58">
        <f>中間シート!AI624</f>
        <v>9999</v>
      </c>
      <c r="B222" s="58" t="str">
        <f>中間シート!AK624</f>
        <v>事業場99</v>
      </c>
      <c r="C222" s="58" t="e">
        <f>中間シート!AJ624</f>
        <v>#N/A</v>
      </c>
      <c r="D222" s="58" t="str">
        <f>VLOOKUP($A222,中間シート!$D$514:$K$663,4)</f>
        <v/>
      </c>
      <c r="E222" s="58" t="str">
        <f>VLOOKUP($A222,中間シート!$D$514:$K$663,5)</f>
        <v/>
      </c>
      <c r="F222" s="58" t="str">
        <f>VLOOKUP($A222,中間シート!$D$514:$K$663,6)</f>
        <v/>
      </c>
      <c r="G222" s="58" t="str">
        <f>VLOOKUP($A222,中間シート!$D$514:$K$663,7)</f>
        <v/>
      </c>
      <c r="H222" s="58" t="str">
        <f>VLOOKUP($A222,中間シート!$D$514:$K$663,8)</f>
        <v/>
      </c>
      <c r="J222" s="412" t="str">
        <f t="shared" si="9"/>
        <v/>
      </c>
      <c r="K222" s="412"/>
      <c r="L222" s="412"/>
      <c r="M222" s="412"/>
      <c r="N222" s="422" t="str">
        <f>IF($A222&lt;&gt;9999,IF($C222=2,VLOOKUP($A222,中間シート!$D$514:$T$663,14,FALSE),VLOOKUP($A222,中間シート!$D$514:$T$663,9,FALSE)),"")</f>
        <v/>
      </c>
      <c r="O222" s="423"/>
      <c r="P222" s="423"/>
      <c r="Q222" s="423"/>
      <c r="R222" s="423"/>
      <c r="S222" s="423"/>
      <c r="T222" s="424"/>
      <c r="U222" s="422" t="str">
        <f t="shared" si="6"/>
        <v/>
      </c>
      <c r="V222" s="424"/>
      <c r="W222" s="422" t="str">
        <f>IF($A222&lt;&gt;9999,IF($C222=2,VLOOKUP($A222,中間シート!$D$514:$T$663,15,FALSE),VLOOKUP($A222,中間シート!$D$514:$T$663,10,FALSE)),"")</f>
        <v/>
      </c>
      <c r="X222" s="423"/>
      <c r="Y222" s="423"/>
      <c r="Z222" s="423"/>
      <c r="AA222" s="423"/>
      <c r="AB222" s="423"/>
      <c r="AC222" s="424"/>
      <c r="AD222" s="422" t="str">
        <f t="shared" si="7"/>
        <v/>
      </c>
      <c r="AE222" s="424"/>
      <c r="AF222" s="422" t="str">
        <f>IF($A222&lt;&gt;9999,IF($C222=2,VLOOKUP($A222,中間シート!$D$514:$T$663,16,FALSE),VLOOKUP($A222,中間シート!$D$514:$T$663,11,FALSE)),"")</f>
        <v/>
      </c>
      <c r="AG222" s="423"/>
      <c r="AH222" s="423"/>
      <c r="AI222" s="423"/>
      <c r="AJ222" s="423"/>
      <c r="AK222" s="424"/>
      <c r="AL222" s="422" t="str">
        <f t="shared" si="8"/>
        <v/>
      </c>
      <c r="AM222" s="424"/>
      <c r="AN222" s="422" t="str">
        <f>IF($A222&lt;&gt;9999,IF($C222=2,VLOOKUP($A222,中間シート!$D$514:$T$663,17,FALSE),VLOOKUP($A222,中間シート!$D$514:$T$663,12,FALSE)),"")</f>
        <v/>
      </c>
      <c r="AO222" s="423"/>
      <c r="AP222" s="423"/>
      <c r="AQ222" s="423"/>
      <c r="AR222" s="423"/>
      <c r="AS222" s="424"/>
      <c r="AT222" s="422" t="str">
        <f t="shared" si="10"/>
        <v/>
      </c>
      <c r="AU222" s="424"/>
    </row>
    <row r="223" spans="1:47" ht="16.5" customHeight="1" x14ac:dyDescent="0.15">
      <c r="A223" s="58">
        <f>中間シート!AI625</f>
        <v>9999</v>
      </c>
      <c r="B223" s="58" t="str">
        <f>中間シート!AK625</f>
        <v>事業場99</v>
      </c>
      <c r="C223" s="58" t="e">
        <f>中間シート!AJ625</f>
        <v>#N/A</v>
      </c>
      <c r="D223" s="58" t="str">
        <f>VLOOKUP($A223,中間シート!$D$514:$K$663,4)</f>
        <v/>
      </c>
      <c r="E223" s="58" t="str">
        <f>VLOOKUP($A223,中間シート!$D$514:$K$663,5)</f>
        <v/>
      </c>
      <c r="F223" s="58" t="str">
        <f>VLOOKUP($A223,中間シート!$D$514:$K$663,6)</f>
        <v/>
      </c>
      <c r="G223" s="58" t="str">
        <f>VLOOKUP($A223,中間シート!$D$514:$K$663,7)</f>
        <v/>
      </c>
      <c r="H223" s="58" t="str">
        <f>VLOOKUP($A223,中間シート!$D$514:$K$663,8)</f>
        <v/>
      </c>
      <c r="J223" s="412" t="str">
        <f t="shared" si="9"/>
        <v/>
      </c>
      <c r="K223" s="412"/>
      <c r="L223" s="412"/>
      <c r="M223" s="412"/>
      <c r="N223" s="422" t="str">
        <f>IF($A223&lt;&gt;9999,IF($C223=2,VLOOKUP($A223,中間シート!$D$514:$T$663,14,FALSE),VLOOKUP($A223,中間シート!$D$514:$T$663,9,FALSE)),"")</f>
        <v/>
      </c>
      <c r="O223" s="423"/>
      <c r="P223" s="423"/>
      <c r="Q223" s="423"/>
      <c r="R223" s="423"/>
      <c r="S223" s="423"/>
      <c r="T223" s="424"/>
      <c r="U223" s="422" t="str">
        <f t="shared" si="6"/>
        <v/>
      </c>
      <c r="V223" s="424"/>
      <c r="W223" s="422" t="str">
        <f>IF($A223&lt;&gt;9999,IF($C223=2,VLOOKUP($A223,中間シート!$D$514:$T$663,15,FALSE),VLOOKUP($A223,中間シート!$D$514:$T$663,10,FALSE)),"")</f>
        <v/>
      </c>
      <c r="X223" s="423"/>
      <c r="Y223" s="423"/>
      <c r="Z223" s="423"/>
      <c r="AA223" s="423"/>
      <c r="AB223" s="423"/>
      <c r="AC223" s="424"/>
      <c r="AD223" s="422" t="str">
        <f t="shared" si="7"/>
        <v/>
      </c>
      <c r="AE223" s="424"/>
      <c r="AF223" s="422" t="str">
        <f>IF($A223&lt;&gt;9999,IF($C223=2,VLOOKUP($A223,中間シート!$D$514:$T$663,16,FALSE),VLOOKUP($A223,中間シート!$D$514:$T$663,11,FALSE)),"")</f>
        <v/>
      </c>
      <c r="AG223" s="423"/>
      <c r="AH223" s="423"/>
      <c r="AI223" s="423"/>
      <c r="AJ223" s="423"/>
      <c r="AK223" s="424"/>
      <c r="AL223" s="422" t="str">
        <f t="shared" si="8"/>
        <v/>
      </c>
      <c r="AM223" s="424"/>
      <c r="AN223" s="422" t="str">
        <f>IF($A223&lt;&gt;9999,IF($C223=2,VLOOKUP($A223,中間シート!$D$514:$T$663,17,FALSE),VLOOKUP($A223,中間シート!$D$514:$T$663,12,FALSE)),"")</f>
        <v/>
      </c>
      <c r="AO223" s="423"/>
      <c r="AP223" s="423"/>
      <c r="AQ223" s="423"/>
      <c r="AR223" s="423"/>
      <c r="AS223" s="424"/>
      <c r="AT223" s="422" t="str">
        <f t="shared" si="10"/>
        <v/>
      </c>
      <c r="AU223" s="424"/>
    </row>
    <row r="224" spans="1:47" ht="16.5" customHeight="1" x14ac:dyDescent="0.15">
      <c r="A224" s="58">
        <f>中間シート!AI626</f>
        <v>9999</v>
      </c>
      <c r="B224" s="58" t="str">
        <f>中間シート!AK626</f>
        <v>事業場99</v>
      </c>
      <c r="C224" s="58" t="e">
        <f>中間シート!AJ626</f>
        <v>#N/A</v>
      </c>
      <c r="D224" s="58" t="str">
        <f>VLOOKUP($A224,中間シート!$D$514:$K$663,4)</f>
        <v/>
      </c>
      <c r="E224" s="58" t="str">
        <f>VLOOKUP($A224,中間シート!$D$514:$K$663,5)</f>
        <v/>
      </c>
      <c r="F224" s="58" t="str">
        <f>VLOOKUP($A224,中間シート!$D$514:$K$663,6)</f>
        <v/>
      </c>
      <c r="G224" s="58" t="str">
        <f>VLOOKUP($A224,中間シート!$D$514:$K$663,7)</f>
        <v/>
      </c>
      <c r="H224" s="58" t="str">
        <f>VLOOKUP($A224,中間シート!$D$514:$K$663,8)</f>
        <v/>
      </c>
      <c r="J224" s="412" t="str">
        <f t="shared" si="9"/>
        <v/>
      </c>
      <c r="K224" s="412"/>
      <c r="L224" s="412"/>
      <c r="M224" s="412"/>
      <c r="N224" s="422" t="str">
        <f>IF($A224&lt;&gt;9999,IF($C224=2,VLOOKUP($A224,中間シート!$D$514:$T$663,14,FALSE),VLOOKUP($A224,中間シート!$D$514:$T$663,9,FALSE)),"")</f>
        <v/>
      </c>
      <c r="O224" s="423"/>
      <c r="P224" s="423"/>
      <c r="Q224" s="423"/>
      <c r="R224" s="423"/>
      <c r="S224" s="423"/>
      <c r="T224" s="424"/>
      <c r="U224" s="422" t="str">
        <f t="shared" si="6"/>
        <v/>
      </c>
      <c r="V224" s="424"/>
      <c r="W224" s="422" t="str">
        <f>IF($A224&lt;&gt;9999,IF($C224=2,VLOOKUP($A224,中間シート!$D$514:$T$663,15,FALSE),VLOOKUP($A224,中間シート!$D$514:$T$663,10,FALSE)),"")</f>
        <v/>
      </c>
      <c r="X224" s="423"/>
      <c r="Y224" s="423"/>
      <c r="Z224" s="423"/>
      <c r="AA224" s="423"/>
      <c r="AB224" s="423"/>
      <c r="AC224" s="424"/>
      <c r="AD224" s="422" t="str">
        <f t="shared" si="7"/>
        <v/>
      </c>
      <c r="AE224" s="424"/>
      <c r="AF224" s="422" t="str">
        <f>IF($A224&lt;&gt;9999,IF($C224=2,VLOOKUP($A224,中間シート!$D$514:$T$663,16,FALSE),VLOOKUP($A224,中間シート!$D$514:$T$663,11,FALSE)),"")</f>
        <v/>
      </c>
      <c r="AG224" s="423"/>
      <c r="AH224" s="423"/>
      <c r="AI224" s="423"/>
      <c r="AJ224" s="423"/>
      <c r="AK224" s="424"/>
      <c r="AL224" s="422" t="str">
        <f t="shared" si="8"/>
        <v/>
      </c>
      <c r="AM224" s="424"/>
      <c r="AN224" s="422" t="str">
        <f>IF($A224&lt;&gt;9999,IF($C224=2,VLOOKUP($A224,中間シート!$D$514:$T$663,17,FALSE),VLOOKUP($A224,中間シート!$D$514:$T$663,12,FALSE)),"")</f>
        <v/>
      </c>
      <c r="AO224" s="423"/>
      <c r="AP224" s="423"/>
      <c r="AQ224" s="423"/>
      <c r="AR224" s="423"/>
      <c r="AS224" s="424"/>
      <c r="AT224" s="422" t="str">
        <f t="shared" si="10"/>
        <v/>
      </c>
      <c r="AU224" s="424"/>
    </row>
    <row r="225" spans="1:47" ht="16.5" customHeight="1" x14ac:dyDescent="0.15">
      <c r="A225" s="58">
        <f>中間シート!AI627</f>
        <v>9999</v>
      </c>
      <c r="B225" s="58" t="str">
        <f>中間シート!AK627</f>
        <v>事業場99</v>
      </c>
      <c r="C225" s="58" t="e">
        <f>中間シート!AJ627</f>
        <v>#N/A</v>
      </c>
      <c r="D225" s="58" t="str">
        <f>VLOOKUP($A225,中間シート!$D$514:$K$663,4)</f>
        <v/>
      </c>
      <c r="E225" s="58" t="str">
        <f>VLOOKUP($A225,中間シート!$D$514:$K$663,5)</f>
        <v/>
      </c>
      <c r="F225" s="58" t="str">
        <f>VLOOKUP($A225,中間シート!$D$514:$K$663,6)</f>
        <v/>
      </c>
      <c r="G225" s="58" t="str">
        <f>VLOOKUP($A225,中間シート!$D$514:$K$663,7)</f>
        <v/>
      </c>
      <c r="H225" s="58" t="str">
        <f>VLOOKUP($A225,中間シート!$D$514:$K$663,8)</f>
        <v/>
      </c>
      <c r="J225" s="412" t="str">
        <f t="shared" si="9"/>
        <v/>
      </c>
      <c r="K225" s="412"/>
      <c r="L225" s="412"/>
      <c r="M225" s="412"/>
      <c r="N225" s="422" t="str">
        <f>IF($A225&lt;&gt;9999,IF($C225=2,VLOOKUP($A225,中間シート!$D$514:$T$663,14,FALSE),VLOOKUP($A225,中間シート!$D$514:$T$663,9,FALSE)),"")</f>
        <v/>
      </c>
      <c r="O225" s="423"/>
      <c r="P225" s="423"/>
      <c r="Q225" s="423"/>
      <c r="R225" s="423"/>
      <c r="S225" s="423"/>
      <c r="T225" s="424"/>
      <c r="U225" s="422" t="str">
        <f t="shared" si="6"/>
        <v/>
      </c>
      <c r="V225" s="424"/>
      <c r="W225" s="422" t="str">
        <f>IF($A225&lt;&gt;9999,IF($C225=2,VLOOKUP($A225,中間シート!$D$514:$T$663,15,FALSE),VLOOKUP($A225,中間シート!$D$514:$T$663,10,FALSE)),"")</f>
        <v/>
      </c>
      <c r="X225" s="423"/>
      <c r="Y225" s="423"/>
      <c r="Z225" s="423"/>
      <c r="AA225" s="423"/>
      <c r="AB225" s="423"/>
      <c r="AC225" s="424"/>
      <c r="AD225" s="422" t="str">
        <f t="shared" si="7"/>
        <v/>
      </c>
      <c r="AE225" s="424"/>
      <c r="AF225" s="422" t="str">
        <f>IF($A225&lt;&gt;9999,IF($C225=2,VLOOKUP($A225,中間シート!$D$514:$T$663,16,FALSE),VLOOKUP($A225,中間シート!$D$514:$T$663,11,FALSE)),"")</f>
        <v/>
      </c>
      <c r="AG225" s="423"/>
      <c r="AH225" s="423"/>
      <c r="AI225" s="423"/>
      <c r="AJ225" s="423"/>
      <c r="AK225" s="424"/>
      <c r="AL225" s="422" t="str">
        <f t="shared" si="8"/>
        <v/>
      </c>
      <c r="AM225" s="424"/>
      <c r="AN225" s="422" t="str">
        <f>IF($A225&lt;&gt;9999,IF($C225=2,VLOOKUP($A225,中間シート!$D$514:$T$663,17,FALSE),VLOOKUP($A225,中間シート!$D$514:$T$663,12,FALSE)),"")</f>
        <v/>
      </c>
      <c r="AO225" s="423"/>
      <c r="AP225" s="423"/>
      <c r="AQ225" s="423"/>
      <c r="AR225" s="423"/>
      <c r="AS225" s="424"/>
      <c r="AT225" s="422" t="str">
        <f t="shared" si="10"/>
        <v/>
      </c>
      <c r="AU225" s="424"/>
    </row>
    <row r="226" spans="1:47" ht="16.5" customHeight="1" x14ac:dyDescent="0.15">
      <c r="A226" s="58">
        <f>中間シート!AI628</f>
        <v>9999</v>
      </c>
      <c r="B226" s="58" t="str">
        <f>中間シート!AK628</f>
        <v>事業場99</v>
      </c>
      <c r="C226" s="58" t="e">
        <f>中間シート!AJ628</f>
        <v>#N/A</v>
      </c>
      <c r="D226" s="58" t="str">
        <f>VLOOKUP($A226,中間シート!$D$514:$K$663,4)</f>
        <v/>
      </c>
      <c r="E226" s="58" t="str">
        <f>VLOOKUP($A226,中間シート!$D$514:$K$663,5)</f>
        <v/>
      </c>
      <c r="F226" s="58" t="str">
        <f>VLOOKUP($A226,中間シート!$D$514:$K$663,6)</f>
        <v/>
      </c>
      <c r="G226" s="58" t="str">
        <f>VLOOKUP($A226,中間シート!$D$514:$K$663,7)</f>
        <v/>
      </c>
      <c r="H226" s="58" t="str">
        <f>VLOOKUP($A226,中間シート!$D$514:$K$663,8)</f>
        <v/>
      </c>
      <c r="J226" s="412" t="str">
        <f t="shared" si="9"/>
        <v/>
      </c>
      <c r="K226" s="412"/>
      <c r="L226" s="412"/>
      <c r="M226" s="412"/>
      <c r="N226" s="422" t="str">
        <f>IF($A226&lt;&gt;9999,IF($C226=2,VLOOKUP($A226,中間シート!$D$514:$T$663,14,FALSE),VLOOKUP($A226,中間シート!$D$514:$T$663,9,FALSE)),"")</f>
        <v/>
      </c>
      <c r="O226" s="423"/>
      <c r="P226" s="423"/>
      <c r="Q226" s="423"/>
      <c r="R226" s="423"/>
      <c r="S226" s="423"/>
      <c r="T226" s="424"/>
      <c r="U226" s="422" t="str">
        <f t="shared" si="6"/>
        <v/>
      </c>
      <c r="V226" s="424"/>
      <c r="W226" s="422" t="str">
        <f>IF($A226&lt;&gt;9999,IF($C226=2,VLOOKUP($A226,中間シート!$D$514:$T$663,15,FALSE),VLOOKUP($A226,中間シート!$D$514:$T$663,10,FALSE)),"")</f>
        <v/>
      </c>
      <c r="X226" s="423"/>
      <c r="Y226" s="423"/>
      <c r="Z226" s="423"/>
      <c r="AA226" s="423"/>
      <c r="AB226" s="423"/>
      <c r="AC226" s="424"/>
      <c r="AD226" s="422" t="str">
        <f t="shared" si="7"/>
        <v/>
      </c>
      <c r="AE226" s="424"/>
      <c r="AF226" s="422" t="str">
        <f>IF($A226&lt;&gt;9999,IF($C226=2,VLOOKUP($A226,中間シート!$D$514:$T$663,16,FALSE),VLOOKUP($A226,中間シート!$D$514:$T$663,11,FALSE)),"")</f>
        <v/>
      </c>
      <c r="AG226" s="423"/>
      <c r="AH226" s="423"/>
      <c r="AI226" s="423"/>
      <c r="AJ226" s="423"/>
      <c r="AK226" s="424"/>
      <c r="AL226" s="422" t="str">
        <f t="shared" si="8"/>
        <v/>
      </c>
      <c r="AM226" s="424"/>
      <c r="AN226" s="422" t="str">
        <f>IF($A226&lt;&gt;9999,IF($C226=2,VLOOKUP($A226,中間シート!$D$514:$T$663,17,FALSE),VLOOKUP($A226,中間シート!$D$514:$T$663,12,FALSE)),"")</f>
        <v/>
      </c>
      <c r="AO226" s="423"/>
      <c r="AP226" s="423"/>
      <c r="AQ226" s="423"/>
      <c r="AR226" s="423"/>
      <c r="AS226" s="424"/>
      <c r="AT226" s="422" t="str">
        <f t="shared" si="10"/>
        <v/>
      </c>
      <c r="AU226" s="424"/>
    </row>
    <row r="227" spans="1:47" ht="16.5" customHeight="1" x14ac:dyDescent="0.15">
      <c r="A227" s="58">
        <f>中間シート!AI629</f>
        <v>9999</v>
      </c>
      <c r="B227" s="58" t="str">
        <f>中間シート!AK629</f>
        <v>事業場99</v>
      </c>
      <c r="C227" s="58" t="e">
        <f>中間シート!AJ629</f>
        <v>#N/A</v>
      </c>
      <c r="D227" s="58" t="str">
        <f>VLOOKUP($A227,中間シート!$D$514:$K$663,4)</f>
        <v/>
      </c>
      <c r="E227" s="58" t="str">
        <f>VLOOKUP($A227,中間シート!$D$514:$K$663,5)</f>
        <v/>
      </c>
      <c r="F227" s="58" t="str">
        <f>VLOOKUP($A227,中間シート!$D$514:$K$663,6)</f>
        <v/>
      </c>
      <c r="G227" s="58" t="str">
        <f>VLOOKUP($A227,中間シート!$D$514:$K$663,7)</f>
        <v/>
      </c>
      <c r="H227" s="58" t="str">
        <f>VLOOKUP($A227,中間シート!$D$514:$K$663,8)</f>
        <v/>
      </c>
      <c r="J227" s="412" t="str">
        <f t="shared" si="9"/>
        <v/>
      </c>
      <c r="K227" s="412"/>
      <c r="L227" s="412"/>
      <c r="M227" s="412"/>
      <c r="N227" s="422" t="str">
        <f>IF($A227&lt;&gt;9999,IF($C227=2,VLOOKUP($A227,中間シート!$D$514:$T$663,14,FALSE),VLOOKUP($A227,中間シート!$D$514:$T$663,9,FALSE)),"")</f>
        <v/>
      </c>
      <c r="O227" s="423"/>
      <c r="P227" s="423"/>
      <c r="Q227" s="423"/>
      <c r="R227" s="423"/>
      <c r="S227" s="423"/>
      <c r="T227" s="424"/>
      <c r="U227" s="422" t="str">
        <f t="shared" si="6"/>
        <v/>
      </c>
      <c r="V227" s="424"/>
      <c r="W227" s="422" t="str">
        <f>IF($A227&lt;&gt;9999,IF($C227=2,VLOOKUP($A227,中間シート!$D$514:$T$663,15,FALSE),VLOOKUP($A227,中間シート!$D$514:$T$663,10,FALSE)),"")</f>
        <v/>
      </c>
      <c r="X227" s="423"/>
      <c r="Y227" s="423"/>
      <c r="Z227" s="423"/>
      <c r="AA227" s="423"/>
      <c r="AB227" s="423"/>
      <c r="AC227" s="424"/>
      <c r="AD227" s="422" t="str">
        <f t="shared" si="7"/>
        <v/>
      </c>
      <c r="AE227" s="424"/>
      <c r="AF227" s="422" t="str">
        <f>IF($A227&lt;&gt;9999,IF($C227=2,VLOOKUP($A227,中間シート!$D$514:$T$663,16,FALSE),VLOOKUP($A227,中間シート!$D$514:$T$663,11,FALSE)),"")</f>
        <v/>
      </c>
      <c r="AG227" s="423"/>
      <c r="AH227" s="423"/>
      <c r="AI227" s="423"/>
      <c r="AJ227" s="423"/>
      <c r="AK227" s="424"/>
      <c r="AL227" s="422" t="str">
        <f t="shared" si="8"/>
        <v/>
      </c>
      <c r="AM227" s="424"/>
      <c r="AN227" s="422" t="str">
        <f>IF($A227&lt;&gt;9999,IF($C227=2,VLOOKUP($A227,中間シート!$D$514:$T$663,17,FALSE),VLOOKUP($A227,中間シート!$D$514:$T$663,12,FALSE)),"")</f>
        <v/>
      </c>
      <c r="AO227" s="423"/>
      <c r="AP227" s="423"/>
      <c r="AQ227" s="423"/>
      <c r="AR227" s="423"/>
      <c r="AS227" s="424"/>
      <c r="AT227" s="422" t="str">
        <f t="shared" si="10"/>
        <v/>
      </c>
      <c r="AU227" s="424"/>
    </row>
    <row r="228" spans="1:47" ht="16.5" customHeight="1" x14ac:dyDescent="0.15">
      <c r="A228" s="58">
        <f>中間シート!AI630</f>
        <v>9999</v>
      </c>
      <c r="B228" s="58" t="str">
        <f>中間シート!AK630</f>
        <v>事業場99</v>
      </c>
      <c r="C228" s="58" t="e">
        <f>中間シート!AJ630</f>
        <v>#N/A</v>
      </c>
      <c r="D228" s="58" t="str">
        <f>VLOOKUP($A228,中間シート!$D$514:$K$663,4)</f>
        <v/>
      </c>
      <c r="E228" s="58" t="str">
        <f>VLOOKUP($A228,中間シート!$D$514:$K$663,5)</f>
        <v/>
      </c>
      <c r="F228" s="58" t="str">
        <f>VLOOKUP($A228,中間シート!$D$514:$K$663,6)</f>
        <v/>
      </c>
      <c r="G228" s="58" t="str">
        <f>VLOOKUP($A228,中間シート!$D$514:$K$663,7)</f>
        <v/>
      </c>
      <c r="H228" s="58" t="str">
        <f>VLOOKUP($A228,中間シート!$D$514:$K$663,8)</f>
        <v/>
      </c>
      <c r="J228" s="412" t="str">
        <f t="shared" si="9"/>
        <v/>
      </c>
      <c r="K228" s="412"/>
      <c r="L228" s="412"/>
      <c r="M228" s="412"/>
      <c r="N228" s="422" t="str">
        <f>IF($A228&lt;&gt;9999,IF($C228=2,VLOOKUP($A228,中間シート!$D$514:$T$663,14,FALSE),VLOOKUP($A228,中間シート!$D$514:$T$663,9,FALSE)),"")</f>
        <v/>
      </c>
      <c r="O228" s="423"/>
      <c r="P228" s="423"/>
      <c r="Q228" s="423"/>
      <c r="R228" s="423"/>
      <c r="S228" s="423"/>
      <c r="T228" s="424"/>
      <c r="U228" s="422" t="str">
        <f t="shared" si="6"/>
        <v/>
      </c>
      <c r="V228" s="424"/>
      <c r="W228" s="422" t="str">
        <f>IF($A228&lt;&gt;9999,IF($C228=2,VLOOKUP($A228,中間シート!$D$514:$T$663,15,FALSE),VLOOKUP($A228,中間シート!$D$514:$T$663,10,FALSE)),"")</f>
        <v/>
      </c>
      <c r="X228" s="423"/>
      <c r="Y228" s="423"/>
      <c r="Z228" s="423"/>
      <c r="AA228" s="423"/>
      <c r="AB228" s="423"/>
      <c r="AC228" s="424"/>
      <c r="AD228" s="422" t="str">
        <f t="shared" si="7"/>
        <v/>
      </c>
      <c r="AE228" s="424"/>
      <c r="AF228" s="422" t="str">
        <f>IF($A228&lt;&gt;9999,IF($C228=2,VLOOKUP($A228,中間シート!$D$514:$T$663,16,FALSE),VLOOKUP($A228,中間シート!$D$514:$T$663,11,FALSE)),"")</f>
        <v/>
      </c>
      <c r="AG228" s="423"/>
      <c r="AH228" s="423"/>
      <c r="AI228" s="423"/>
      <c r="AJ228" s="423"/>
      <c r="AK228" s="424"/>
      <c r="AL228" s="422" t="str">
        <f t="shared" si="8"/>
        <v/>
      </c>
      <c r="AM228" s="424"/>
      <c r="AN228" s="422" t="str">
        <f>IF($A228&lt;&gt;9999,IF($C228=2,VLOOKUP($A228,中間シート!$D$514:$T$663,17,FALSE),VLOOKUP($A228,中間シート!$D$514:$T$663,12,FALSE)),"")</f>
        <v/>
      </c>
      <c r="AO228" s="423"/>
      <c r="AP228" s="423"/>
      <c r="AQ228" s="423"/>
      <c r="AR228" s="423"/>
      <c r="AS228" s="424"/>
      <c r="AT228" s="422" t="str">
        <f t="shared" si="10"/>
        <v/>
      </c>
      <c r="AU228" s="424"/>
    </row>
    <row r="229" spans="1:47" ht="16.5" customHeight="1" x14ac:dyDescent="0.15">
      <c r="A229" s="58">
        <f>中間シート!AI631</f>
        <v>9999</v>
      </c>
      <c r="B229" s="58" t="str">
        <f>中間シート!AK631</f>
        <v>事業場99</v>
      </c>
      <c r="C229" s="58" t="e">
        <f>中間シート!AJ631</f>
        <v>#N/A</v>
      </c>
      <c r="D229" s="58" t="str">
        <f>VLOOKUP($A229,中間シート!$D$514:$K$663,4)</f>
        <v/>
      </c>
      <c r="E229" s="58" t="str">
        <f>VLOOKUP($A229,中間シート!$D$514:$K$663,5)</f>
        <v/>
      </c>
      <c r="F229" s="58" t="str">
        <f>VLOOKUP($A229,中間シート!$D$514:$K$663,6)</f>
        <v/>
      </c>
      <c r="G229" s="58" t="str">
        <f>VLOOKUP($A229,中間シート!$D$514:$K$663,7)</f>
        <v/>
      </c>
      <c r="H229" s="58" t="str">
        <f>VLOOKUP($A229,中間シート!$D$514:$K$663,8)</f>
        <v/>
      </c>
      <c r="J229" s="412" t="str">
        <f t="shared" si="9"/>
        <v/>
      </c>
      <c r="K229" s="412"/>
      <c r="L229" s="412"/>
      <c r="M229" s="412"/>
      <c r="N229" s="422" t="str">
        <f>IF($A229&lt;&gt;9999,IF($C229=2,VLOOKUP($A229,中間シート!$D$514:$T$663,14,FALSE),VLOOKUP($A229,中間シート!$D$514:$T$663,9,FALSE)),"")</f>
        <v/>
      </c>
      <c r="O229" s="423"/>
      <c r="P229" s="423"/>
      <c r="Q229" s="423"/>
      <c r="R229" s="423"/>
      <c r="S229" s="423"/>
      <c r="T229" s="424"/>
      <c r="U229" s="422" t="str">
        <f t="shared" si="6"/>
        <v/>
      </c>
      <c r="V229" s="424"/>
      <c r="W229" s="422" t="str">
        <f>IF($A229&lt;&gt;9999,IF($C229=2,VLOOKUP($A229,中間シート!$D$514:$T$663,15,FALSE),VLOOKUP($A229,中間シート!$D$514:$T$663,10,FALSE)),"")</f>
        <v/>
      </c>
      <c r="X229" s="423"/>
      <c r="Y229" s="423"/>
      <c r="Z229" s="423"/>
      <c r="AA229" s="423"/>
      <c r="AB229" s="423"/>
      <c r="AC229" s="424"/>
      <c r="AD229" s="422" t="str">
        <f t="shared" si="7"/>
        <v/>
      </c>
      <c r="AE229" s="424"/>
      <c r="AF229" s="422" t="str">
        <f>IF($A229&lt;&gt;9999,IF($C229=2,VLOOKUP($A229,中間シート!$D$514:$T$663,16,FALSE),VLOOKUP($A229,中間シート!$D$514:$T$663,11,FALSE)),"")</f>
        <v/>
      </c>
      <c r="AG229" s="423"/>
      <c r="AH229" s="423"/>
      <c r="AI229" s="423"/>
      <c r="AJ229" s="423"/>
      <c r="AK229" s="424"/>
      <c r="AL229" s="422" t="str">
        <f t="shared" si="8"/>
        <v/>
      </c>
      <c r="AM229" s="424"/>
      <c r="AN229" s="422" t="str">
        <f>IF($A229&lt;&gt;9999,IF($C229=2,VLOOKUP($A229,中間シート!$D$514:$T$663,17,FALSE),VLOOKUP($A229,中間シート!$D$514:$T$663,12,FALSE)),"")</f>
        <v/>
      </c>
      <c r="AO229" s="423"/>
      <c r="AP229" s="423"/>
      <c r="AQ229" s="423"/>
      <c r="AR229" s="423"/>
      <c r="AS229" s="424"/>
      <c r="AT229" s="422" t="str">
        <f t="shared" si="10"/>
        <v/>
      </c>
      <c r="AU229" s="424"/>
    </row>
    <row r="230" spans="1:47" ht="16.5" customHeight="1" x14ac:dyDescent="0.15">
      <c r="A230" s="58">
        <f>中間シート!AI632</f>
        <v>9999</v>
      </c>
      <c r="B230" s="58" t="str">
        <f>中間シート!AK632</f>
        <v>事業場99</v>
      </c>
      <c r="C230" s="58" t="e">
        <f>中間シート!AJ632</f>
        <v>#N/A</v>
      </c>
      <c r="D230" s="58" t="str">
        <f>VLOOKUP($A230,中間シート!$D$514:$K$663,4)</f>
        <v/>
      </c>
      <c r="E230" s="58" t="str">
        <f>VLOOKUP($A230,中間シート!$D$514:$K$663,5)</f>
        <v/>
      </c>
      <c r="F230" s="58" t="str">
        <f>VLOOKUP($A230,中間シート!$D$514:$K$663,6)</f>
        <v/>
      </c>
      <c r="G230" s="58" t="str">
        <f>VLOOKUP($A230,中間シート!$D$514:$K$663,7)</f>
        <v/>
      </c>
      <c r="H230" s="58" t="str">
        <f>VLOOKUP($A230,中間シート!$D$514:$K$663,8)</f>
        <v/>
      </c>
      <c r="J230" s="412" t="str">
        <f t="shared" si="9"/>
        <v/>
      </c>
      <c r="K230" s="412"/>
      <c r="L230" s="412"/>
      <c r="M230" s="412"/>
      <c r="N230" s="422" t="str">
        <f>IF($A230&lt;&gt;9999,IF($C230=2,VLOOKUP($A230,中間シート!$D$514:$T$663,14,FALSE),VLOOKUP($A230,中間シート!$D$514:$T$663,9,FALSE)),"")</f>
        <v/>
      </c>
      <c r="O230" s="423"/>
      <c r="P230" s="423"/>
      <c r="Q230" s="423"/>
      <c r="R230" s="423"/>
      <c r="S230" s="423"/>
      <c r="T230" s="424"/>
      <c r="U230" s="422" t="str">
        <f t="shared" si="6"/>
        <v/>
      </c>
      <c r="V230" s="424"/>
      <c r="W230" s="422" t="str">
        <f>IF($A230&lt;&gt;9999,IF($C230=2,VLOOKUP($A230,中間シート!$D$514:$T$663,15,FALSE),VLOOKUP($A230,中間シート!$D$514:$T$663,10,FALSE)),"")</f>
        <v/>
      </c>
      <c r="X230" s="423"/>
      <c r="Y230" s="423"/>
      <c r="Z230" s="423"/>
      <c r="AA230" s="423"/>
      <c r="AB230" s="423"/>
      <c r="AC230" s="424"/>
      <c r="AD230" s="422" t="str">
        <f t="shared" si="7"/>
        <v/>
      </c>
      <c r="AE230" s="424"/>
      <c r="AF230" s="422" t="str">
        <f>IF($A230&lt;&gt;9999,IF($C230=2,VLOOKUP($A230,中間シート!$D$514:$T$663,16,FALSE),VLOOKUP($A230,中間シート!$D$514:$T$663,11,FALSE)),"")</f>
        <v/>
      </c>
      <c r="AG230" s="423"/>
      <c r="AH230" s="423"/>
      <c r="AI230" s="423"/>
      <c r="AJ230" s="423"/>
      <c r="AK230" s="424"/>
      <c r="AL230" s="422" t="str">
        <f t="shared" si="8"/>
        <v/>
      </c>
      <c r="AM230" s="424"/>
      <c r="AN230" s="422" t="str">
        <f>IF($A230&lt;&gt;9999,IF($C230=2,VLOOKUP($A230,中間シート!$D$514:$T$663,17,FALSE),VLOOKUP($A230,中間シート!$D$514:$T$663,12,FALSE)),"")</f>
        <v/>
      </c>
      <c r="AO230" s="423"/>
      <c r="AP230" s="423"/>
      <c r="AQ230" s="423"/>
      <c r="AR230" s="423"/>
      <c r="AS230" s="424"/>
      <c r="AT230" s="422" t="str">
        <f t="shared" si="10"/>
        <v/>
      </c>
      <c r="AU230" s="424"/>
    </row>
    <row r="231" spans="1:47" ht="16.5" customHeight="1" x14ac:dyDescent="0.15">
      <c r="A231" s="58">
        <f>中間シート!AI633</f>
        <v>9999</v>
      </c>
      <c r="B231" s="58" t="str">
        <f>中間シート!AK633</f>
        <v>事業場99</v>
      </c>
      <c r="C231" s="58" t="e">
        <f>中間シート!AJ633</f>
        <v>#N/A</v>
      </c>
      <c r="D231" s="58" t="str">
        <f>VLOOKUP($A231,中間シート!$D$514:$K$663,4)</f>
        <v/>
      </c>
      <c r="E231" s="58" t="str">
        <f>VLOOKUP($A231,中間シート!$D$514:$K$663,5)</f>
        <v/>
      </c>
      <c r="F231" s="58" t="str">
        <f>VLOOKUP($A231,中間シート!$D$514:$K$663,6)</f>
        <v/>
      </c>
      <c r="G231" s="58" t="str">
        <f>VLOOKUP($A231,中間シート!$D$514:$K$663,7)</f>
        <v/>
      </c>
      <c r="H231" s="58" t="str">
        <f>VLOOKUP($A231,中間シート!$D$514:$K$663,8)</f>
        <v/>
      </c>
      <c r="J231" s="412" t="str">
        <f t="shared" si="9"/>
        <v/>
      </c>
      <c r="K231" s="412"/>
      <c r="L231" s="412"/>
      <c r="M231" s="412"/>
      <c r="N231" s="422" t="str">
        <f>IF($A231&lt;&gt;9999,IF($C231=2,VLOOKUP($A231,中間シート!$D$514:$T$663,14,FALSE),VLOOKUP($A231,中間シート!$D$514:$T$663,9,FALSE)),"")</f>
        <v/>
      </c>
      <c r="O231" s="423"/>
      <c r="P231" s="423"/>
      <c r="Q231" s="423"/>
      <c r="R231" s="423"/>
      <c r="S231" s="423"/>
      <c r="T231" s="424"/>
      <c r="U231" s="422" t="str">
        <f t="shared" si="6"/>
        <v/>
      </c>
      <c r="V231" s="424"/>
      <c r="W231" s="422" t="str">
        <f>IF($A231&lt;&gt;9999,IF($C231=2,VLOOKUP($A231,中間シート!$D$514:$T$663,15,FALSE),VLOOKUP($A231,中間シート!$D$514:$T$663,10,FALSE)),"")</f>
        <v/>
      </c>
      <c r="X231" s="423"/>
      <c r="Y231" s="423"/>
      <c r="Z231" s="423"/>
      <c r="AA231" s="423"/>
      <c r="AB231" s="423"/>
      <c r="AC231" s="424"/>
      <c r="AD231" s="422" t="str">
        <f t="shared" si="7"/>
        <v/>
      </c>
      <c r="AE231" s="424"/>
      <c r="AF231" s="422" t="str">
        <f>IF($A231&lt;&gt;9999,IF($C231=2,VLOOKUP($A231,中間シート!$D$514:$T$663,16,FALSE),VLOOKUP($A231,中間シート!$D$514:$T$663,11,FALSE)),"")</f>
        <v/>
      </c>
      <c r="AG231" s="423"/>
      <c r="AH231" s="423"/>
      <c r="AI231" s="423"/>
      <c r="AJ231" s="423"/>
      <c r="AK231" s="424"/>
      <c r="AL231" s="422" t="str">
        <f t="shared" si="8"/>
        <v/>
      </c>
      <c r="AM231" s="424"/>
      <c r="AN231" s="422" t="str">
        <f>IF($A231&lt;&gt;9999,IF($C231=2,VLOOKUP($A231,中間シート!$D$514:$T$663,17,FALSE),VLOOKUP($A231,中間シート!$D$514:$T$663,12,FALSE)),"")</f>
        <v/>
      </c>
      <c r="AO231" s="423"/>
      <c r="AP231" s="423"/>
      <c r="AQ231" s="423"/>
      <c r="AR231" s="423"/>
      <c r="AS231" s="424"/>
      <c r="AT231" s="422" t="str">
        <f t="shared" si="10"/>
        <v/>
      </c>
      <c r="AU231" s="424"/>
    </row>
    <row r="232" spans="1:47" ht="16.5" customHeight="1" x14ac:dyDescent="0.15">
      <c r="A232" s="58">
        <f>中間シート!AI634</f>
        <v>9999</v>
      </c>
      <c r="B232" s="58" t="str">
        <f>中間シート!AK634</f>
        <v>事業場99</v>
      </c>
      <c r="C232" s="58" t="e">
        <f>中間シート!AJ634</f>
        <v>#N/A</v>
      </c>
      <c r="D232" s="58" t="str">
        <f>VLOOKUP($A232,中間シート!$D$514:$K$663,4)</f>
        <v/>
      </c>
      <c r="E232" s="58" t="str">
        <f>VLOOKUP($A232,中間シート!$D$514:$K$663,5)</f>
        <v/>
      </c>
      <c r="F232" s="58" t="str">
        <f>VLOOKUP($A232,中間シート!$D$514:$K$663,6)</f>
        <v/>
      </c>
      <c r="G232" s="58" t="str">
        <f>VLOOKUP($A232,中間シート!$D$514:$K$663,7)</f>
        <v/>
      </c>
      <c r="H232" s="58" t="str">
        <f>VLOOKUP($A232,中間シート!$D$514:$K$663,8)</f>
        <v/>
      </c>
      <c r="J232" s="412" t="str">
        <f t="shared" si="9"/>
        <v/>
      </c>
      <c r="K232" s="412"/>
      <c r="L232" s="412"/>
      <c r="M232" s="412"/>
      <c r="N232" s="422" t="str">
        <f>IF($A232&lt;&gt;9999,IF($C232=2,VLOOKUP($A232,中間シート!$D$514:$T$663,14,FALSE),VLOOKUP($A232,中間シート!$D$514:$T$663,9,FALSE)),"")</f>
        <v/>
      </c>
      <c r="O232" s="423"/>
      <c r="P232" s="423"/>
      <c r="Q232" s="423"/>
      <c r="R232" s="423"/>
      <c r="S232" s="423"/>
      <c r="T232" s="424"/>
      <c r="U232" s="422" t="str">
        <f t="shared" si="6"/>
        <v/>
      </c>
      <c r="V232" s="424"/>
      <c r="W232" s="422" t="str">
        <f>IF($A232&lt;&gt;9999,IF($C232=2,VLOOKUP($A232,中間シート!$D$514:$T$663,15,FALSE),VLOOKUP($A232,中間シート!$D$514:$T$663,10,FALSE)),"")</f>
        <v/>
      </c>
      <c r="X232" s="423"/>
      <c r="Y232" s="423"/>
      <c r="Z232" s="423"/>
      <c r="AA232" s="423"/>
      <c r="AB232" s="423"/>
      <c r="AC232" s="424"/>
      <c r="AD232" s="422" t="str">
        <f t="shared" si="7"/>
        <v/>
      </c>
      <c r="AE232" s="424"/>
      <c r="AF232" s="422" t="str">
        <f>IF($A232&lt;&gt;9999,IF($C232=2,VLOOKUP($A232,中間シート!$D$514:$T$663,16,FALSE),VLOOKUP($A232,中間シート!$D$514:$T$663,11,FALSE)),"")</f>
        <v/>
      </c>
      <c r="AG232" s="423"/>
      <c r="AH232" s="423"/>
      <c r="AI232" s="423"/>
      <c r="AJ232" s="423"/>
      <c r="AK232" s="424"/>
      <c r="AL232" s="422" t="str">
        <f t="shared" si="8"/>
        <v/>
      </c>
      <c r="AM232" s="424"/>
      <c r="AN232" s="422" t="str">
        <f>IF($A232&lt;&gt;9999,IF($C232=2,VLOOKUP($A232,中間シート!$D$514:$T$663,17,FALSE),VLOOKUP($A232,中間シート!$D$514:$T$663,12,FALSE)),"")</f>
        <v/>
      </c>
      <c r="AO232" s="423"/>
      <c r="AP232" s="423"/>
      <c r="AQ232" s="423"/>
      <c r="AR232" s="423"/>
      <c r="AS232" s="424"/>
      <c r="AT232" s="422" t="str">
        <f t="shared" si="10"/>
        <v/>
      </c>
      <c r="AU232" s="424"/>
    </row>
    <row r="233" spans="1:47" ht="16.5" customHeight="1" x14ac:dyDescent="0.15">
      <c r="A233" s="58">
        <f>中間シート!AI635</f>
        <v>9999</v>
      </c>
      <c r="B233" s="58" t="str">
        <f>中間シート!AK635</f>
        <v>事業場99</v>
      </c>
      <c r="C233" s="58" t="e">
        <f>中間シート!AJ635</f>
        <v>#N/A</v>
      </c>
      <c r="D233" s="58" t="str">
        <f>VLOOKUP($A233,中間シート!$D$514:$K$663,4)</f>
        <v/>
      </c>
      <c r="E233" s="58" t="str">
        <f>VLOOKUP($A233,中間シート!$D$514:$K$663,5)</f>
        <v/>
      </c>
      <c r="F233" s="58" t="str">
        <f>VLOOKUP($A233,中間シート!$D$514:$K$663,6)</f>
        <v/>
      </c>
      <c r="G233" s="58" t="str">
        <f>VLOOKUP($A233,中間シート!$D$514:$K$663,7)</f>
        <v/>
      </c>
      <c r="H233" s="58" t="str">
        <f>VLOOKUP($A233,中間シート!$D$514:$K$663,8)</f>
        <v/>
      </c>
      <c r="J233" s="412" t="str">
        <f t="shared" si="9"/>
        <v/>
      </c>
      <c r="K233" s="412"/>
      <c r="L233" s="412"/>
      <c r="M233" s="412"/>
      <c r="N233" s="422" t="str">
        <f>IF($A233&lt;&gt;9999,IF($C233=2,VLOOKUP($A233,中間シート!$D$514:$T$663,14,FALSE),VLOOKUP($A233,中間シート!$D$514:$T$663,9,FALSE)),"")</f>
        <v/>
      </c>
      <c r="O233" s="423"/>
      <c r="P233" s="423"/>
      <c r="Q233" s="423"/>
      <c r="R233" s="423"/>
      <c r="S233" s="423"/>
      <c r="T233" s="424"/>
      <c r="U233" s="422" t="str">
        <f t="shared" si="6"/>
        <v/>
      </c>
      <c r="V233" s="424"/>
      <c r="W233" s="422" t="str">
        <f>IF($A233&lt;&gt;9999,IF($C233=2,VLOOKUP($A233,中間シート!$D$514:$T$663,15,FALSE),VLOOKUP($A233,中間シート!$D$514:$T$663,10,FALSE)),"")</f>
        <v/>
      </c>
      <c r="X233" s="423"/>
      <c r="Y233" s="423"/>
      <c r="Z233" s="423"/>
      <c r="AA233" s="423"/>
      <c r="AB233" s="423"/>
      <c r="AC233" s="424"/>
      <c r="AD233" s="422" t="str">
        <f t="shared" si="7"/>
        <v/>
      </c>
      <c r="AE233" s="424"/>
      <c r="AF233" s="422" t="str">
        <f>IF($A233&lt;&gt;9999,IF($C233=2,VLOOKUP($A233,中間シート!$D$514:$T$663,16,FALSE),VLOOKUP($A233,中間シート!$D$514:$T$663,11,FALSE)),"")</f>
        <v/>
      </c>
      <c r="AG233" s="423"/>
      <c r="AH233" s="423"/>
      <c r="AI233" s="423"/>
      <c r="AJ233" s="423"/>
      <c r="AK233" s="424"/>
      <c r="AL233" s="422" t="str">
        <f t="shared" si="8"/>
        <v/>
      </c>
      <c r="AM233" s="424"/>
      <c r="AN233" s="422" t="str">
        <f>IF($A233&lt;&gt;9999,IF($C233=2,VLOOKUP($A233,中間シート!$D$514:$T$663,17,FALSE),VLOOKUP($A233,中間シート!$D$514:$T$663,12,FALSE)),"")</f>
        <v/>
      </c>
      <c r="AO233" s="423"/>
      <c r="AP233" s="423"/>
      <c r="AQ233" s="423"/>
      <c r="AR233" s="423"/>
      <c r="AS233" s="424"/>
      <c r="AT233" s="422" t="str">
        <f t="shared" si="10"/>
        <v/>
      </c>
      <c r="AU233" s="424"/>
    </row>
    <row r="234" spans="1:47" ht="16.5" customHeight="1" x14ac:dyDescent="0.15">
      <c r="A234" s="58">
        <f>中間シート!AI636</f>
        <v>9999</v>
      </c>
      <c r="B234" s="58" t="str">
        <f>中間シート!AK636</f>
        <v>事業場99</v>
      </c>
      <c r="C234" s="58" t="e">
        <f>中間シート!AJ636</f>
        <v>#N/A</v>
      </c>
      <c r="D234" s="58" t="str">
        <f>VLOOKUP($A234,中間シート!$D$514:$K$663,4)</f>
        <v/>
      </c>
      <c r="E234" s="58" t="str">
        <f>VLOOKUP($A234,中間シート!$D$514:$K$663,5)</f>
        <v/>
      </c>
      <c r="F234" s="58" t="str">
        <f>VLOOKUP($A234,中間シート!$D$514:$K$663,6)</f>
        <v/>
      </c>
      <c r="G234" s="58" t="str">
        <f>VLOOKUP($A234,中間シート!$D$514:$K$663,7)</f>
        <v/>
      </c>
      <c r="H234" s="58" t="str">
        <f>VLOOKUP($A234,中間シート!$D$514:$K$663,8)</f>
        <v/>
      </c>
      <c r="J234" s="412" t="str">
        <f t="shared" si="9"/>
        <v/>
      </c>
      <c r="K234" s="412"/>
      <c r="L234" s="412"/>
      <c r="M234" s="412"/>
      <c r="N234" s="422" t="str">
        <f>IF($A234&lt;&gt;9999,IF($C234=2,VLOOKUP($A234,中間シート!$D$514:$T$663,14,FALSE),VLOOKUP($A234,中間シート!$D$514:$T$663,9,FALSE)),"")</f>
        <v/>
      </c>
      <c r="O234" s="423"/>
      <c r="P234" s="423"/>
      <c r="Q234" s="423"/>
      <c r="R234" s="423"/>
      <c r="S234" s="423"/>
      <c r="T234" s="424"/>
      <c r="U234" s="422" t="str">
        <f t="shared" si="6"/>
        <v/>
      </c>
      <c r="V234" s="424"/>
      <c r="W234" s="422" t="str">
        <f>IF($A234&lt;&gt;9999,IF($C234=2,VLOOKUP($A234,中間シート!$D$514:$T$663,15,FALSE),VLOOKUP($A234,中間シート!$D$514:$T$663,10,FALSE)),"")</f>
        <v/>
      </c>
      <c r="X234" s="423"/>
      <c r="Y234" s="423"/>
      <c r="Z234" s="423"/>
      <c r="AA234" s="423"/>
      <c r="AB234" s="423"/>
      <c r="AC234" s="424"/>
      <c r="AD234" s="422" t="str">
        <f t="shared" si="7"/>
        <v/>
      </c>
      <c r="AE234" s="424"/>
      <c r="AF234" s="422" t="str">
        <f>IF($A234&lt;&gt;9999,IF($C234=2,VLOOKUP($A234,中間シート!$D$514:$T$663,16,FALSE),VLOOKUP($A234,中間シート!$D$514:$T$663,11,FALSE)),"")</f>
        <v/>
      </c>
      <c r="AG234" s="423"/>
      <c r="AH234" s="423"/>
      <c r="AI234" s="423"/>
      <c r="AJ234" s="423"/>
      <c r="AK234" s="424"/>
      <c r="AL234" s="422" t="str">
        <f t="shared" si="8"/>
        <v/>
      </c>
      <c r="AM234" s="424"/>
      <c r="AN234" s="422" t="str">
        <f>IF($A234&lt;&gt;9999,IF($C234=2,VLOOKUP($A234,中間シート!$D$514:$T$663,17,FALSE),VLOOKUP($A234,中間シート!$D$514:$T$663,12,FALSE)),"")</f>
        <v/>
      </c>
      <c r="AO234" s="423"/>
      <c r="AP234" s="423"/>
      <c r="AQ234" s="423"/>
      <c r="AR234" s="423"/>
      <c r="AS234" s="424"/>
      <c r="AT234" s="422" t="str">
        <f t="shared" si="10"/>
        <v/>
      </c>
      <c r="AU234" s="424"/>
    </row>
    <row r="235" spans="1:47" ht="16.5" customHeight="1" x14ac:dyDescent="0.15">
      <c r="A235" s="58">
        <f>中間シート!AI637</f>
        <v>9999</v>
      </c>
      <c r="B235" s="58" t="str">
        <f>中間シート!AK637</f>
        <v>事業場99</v>
      </c>
      <c r="C235" s="58" t="e">
        <f>中間シート!AJ637</f>
        <v>#N/A</v>
      </c>
      <c r="D235" s="58" t="str">
        <f>VLOOKUP($A235,中間シート!$D$514:$K$663,4)</f>
        <v/>
      </c>
      <c r="E235" s="58" t="str">
        <f>VLOOKUP($A235,中間シート!$D$514:$K$663,5)</f>
        <v/>
      </c>
      <c r="F235" s="58" t="str">
        <f>VLOOKUP($A235,中間シート!$D$514:$K$663,6)</f>
        <v/>
      </c>
      <c r="G235" s="58" t="str">
        <f>VLOOKUP($A235,中間シート!$D$514:$K$663,7)</f>
        <v/>
      </c>
      <c r="H235" s="58" t="str">
        <f>VLOOKUP($A235,中間シート!$D$514:$K$663,8)</f>
        <v/>
      </c>
      <c r="J235" s="412" t="str">
        <f t="shared" si="9"/>
        <v/>
      </c>
      <c r="K235" s="412"/>
      <c r="L235" s="412"/>
      <c r="M235" s="412"/>
      <c r="N235" s="422" t="str">
        <f>IF($A235&lt;&gt;9999,IF($C235=2,VLOOKUP($A235,中間シート!$D$514:$T$663,14,FALSE),VLOOKUP($A235,中間シート!$D$514:$T$663,9,FALSE)),"")</f>
        <v/>
      </c>
      <c r="O235" s="423"/>
      <c r="P235" s="423"/>
      <c r="Q235" s="423"/>
      <c r="R235" s="423"/>
      <c r="S235" s="423"/>
      <c r="T235" s="424"/>
      <c r="U235" s="422" t="str">
        <f t="shared" si="6"/>
        <v/>
      </c>
      <c r="V235" s="424"/>
      <c r="W235" s="422" t="str">
        <f>IF($A235&lt;&gt;9999,IF($C235=2,VLOOKUP($A235,中間シート!$D$514:$T$663,15,FALSE),VLOOKUP($A235,中間シート!$D$514:$T$663,10,FALSE)),"")</f>
        <v/>
      </c>
      <c r="X235" s="423"/>
      <c r="Y235" s="423"/>
      <c r="Z235" s="423"/>
      <c r="AA235" s="423"/>
      <c r="AB235" s="423"/>
      <c r="AC235" s="424"/>
      <c r="AD235" s="422" t="str">
        <f t="shared" si="7"/>
        <v/>
      </c>
      <c r="AE235" s="424"/>
      <c r="AF235" s="422" t="str">
        <f>IF($A235&lt;&gt;9999,IF($C235=2,VLOOKUP($A235,中間シート!$D$514:$T$663,16,FALSE),VLOOKUP($A235,中間シート!$D$514:$T$663,11,FALSE)),"")</f>
        <v/>
      </c>
      <c r="AG235" s="423"/>
      <c r="AH235" s="423"/>
      <c r="AI235" s="423"/>
      <c r="AJ235" s="423"/>
      <c r="AK235" s="424"/>
      <c r="AL235" s="422" t="str">
        <f t="shared" si="8"/>
        <v/>
      </c>
      <c r="AM235" s="424"/>
      <c r="AN235" s="422" t="str">
        <f>IF($A235&lt;&gt;9999,IF($C235=2,VLOOKUP($A235,中間シート!$D$514:$T$663,17,FALSE),VLOOKUP($A235,中間シート!$D$514:$T$663,12,FALSE)),"")</f>
        <v/>
      </c>
      <c r="AO235" s="423"/>
      <c r="AP235" s="423"/>
      <c r="AQ235" s="423"/>
      <c r="AR235" s="423"/>
      <c r="AS235" s="424"/>
      <c r="AT235" s="422" t="str">
        <f t="shared" si="10"/>
        <v/>
      </c>
      <c r="AU235" s="424"/>
    </row>
    <row r="236" spans="1:47" ht="16.5" customHeight="1" x14ac:dyDescent="0.15">
      <c r="A236" s="58">
        <f>中間シート!AI638</f>
        <v>9999</v>
      </c>
      <c r="B236" s="58" t="str">
        <f>中間シート!AK638</f>
        <v>事業場99</v>
      </c>
      <c r="C236" s="58" t="e">
        <f>中間シート!AJ638</f>
        <v>#N/A</v>
      </c>
      <c r="D236" s="58" t="str">
        <f>VLOOKUP($A236,中間シート!$D$514:$K$663,4)</f>
        <v/>
      </c>
      <c r="E236" s="58" t="str">
        <f>VLOOKUP($A236,中間シート!$D$514:$K$663,5)</f>
        <v/>
      </c>
      <c r="F236" s="58" t="str">
        <f>VLOOKUP($A236,中間シート!$D$514:$K$663,6)</f>
        <v/>
      </c>
      <c r="G236" s="58" t="str">
        <f>VLOOKUP($A236,中間シート!$D$514:$K$663,7)</f>
        <v/>
      </c>
      <c r="H236" s="58" t="str">
        <f>VLOOKUP($A236,中間シート!$D$514:$K$663,8)</f>
        <v/>
      </c>
      <c r="J236" s="412" t="str">
        <f t="shared" si="9"/>
        <v/>
      </c>
      <c r="K236" s="412"/>
      <c r="L236" s="412"/>
      <c r="M236" s="412"/>
      <c r="N236" s="422" t="str">
        <f>IF($A236&lt;&gt;9999,IF($C236=2,VLOOKUP($A236,中間シート!$D$514:$T$663,14,FALSE),VLOOKUP($A236,中間シート!$D$514:$T$663,9,FALSE)),"")</f>
        <v/>
      </c>
      <c r="O236" s="423"/>
      <c r="P236" s="423"/>
      <c r="Q236" s="423"/>
      <c r="R236" s="423"/>
      <c r="S236" s="423"/>
      <c r="T236" s="424"/>
      <c r="U236" s="422" t="str">
        <f t="shared" si="6"/>
        <v/>
      </c>
      <c r="V236" s="424"/>
      <c r="W236" s="422" t="str">
        <f>IF($A236&lt;&gt;9999,IF($C236=2,VLOOKUP($A236,中間シート!$D$514:$T$663,15,FALSE),VLOOKUP($A236,中間シート!$D$514:$T$663,10,FALSE)),"")</f>
        <v/>
      </c>
      <c r="X236" s="423"/>
      <c r="Y236" s="423"/>
      <c r="Z236" s="423"/>
      <c r="AA236" s="423"/>
      <c r="AB236" s="423"/>
      <c r="AC236" s="424"/>
      <c r="AD236" s="422" t="str">
        <f t="shared" si="7"/>
        <v/>
      </c>
      <c r="AE236" s="424"/>
      <c r="AF236" s="422" t="str">
        <f>IF($A236&lt;&gt;9999,IF($C236=2,VLOOKUP($A236,中間シート!$D$514:$T$663,16,FALSE),VLOOKUP($A236,中間シート!$D$514:$T$663,11,FALSE)),"")</f>
        <v/>
      </c>
      <c r="AG236" s="423"/>
      <c r="AH236" s="423"/>
      <c r="AI236" s="423"/>
      <c r="AJ236" s="423"/>
      <c r="AK236" s="424"/>
      <c r="AL236" s="422" t="str">
        <f t="shared" si="8"/>
        <v/>
      </c>
      <c r="AM236" s="424"/>
      <c r="AN236" s="422" t="str">
        <f>IF($A236&lt;&gt;9999,IF($C236=2,VLOOKUP($A236,中間シート!$D$514:$T$663,17,FALSE),VLOOKUP($A236,中間シート!$D$514:$T$663,12,FALSE)),"")</f>
        <v/>
      </c>
      <c r="AO236" s="423"/>
      <c r="AP236" s="423"/>
      <c r="AQ236" s="423"/>
      <c r="AR236" s="423"/>
      <c r="AS236" s="424"/>
      <c r="AT236" s="422" t="str">
        <f t="shared" si="10"/>
        <v/>
      </c>
      <c r="AU236" s="424"/>
    </row>
    <row r="237" spans="1:47" ht="16.5" customHeight="1" x14ac:dyDescent="0.15">
      <c r="A237" s="58">
        <f>中間シート!AI639</f>
        <v>9999</v>
      </c>
      <c r="B237" s="58" t="str">
        <f>中間シート!AK639</f>
        <v>事業場99</v>
      </c>
      <c r="C237" s="58" t="e">
        <f>中間シート!AJ639</f>
        <v>#N/A</v>
      </c>
      <c r="D237" s="58" t="str">
        <f>VLOOKUP($A237,中間シート!$D$514:$K$663,4)</f>
        <v/>
      </c>
      <c r="E237" s="58" t="str">
        <f>VLOOKUP($A237,中間シート!$D$514:$K$663,5)</f>
        <v/>
      </c>
      <c r="F237" s="58" t="str">
        <f>VLOOKUP($A237,中間シート!$D$514:$K$663,6)</f>
        <v/>
      </c>
      <c r="G237" s="58" t="str">
        <f>VLOOKUP($A237,中間シート!$D$514:$K$663,7)</f>
        <v/>
      </c>
      <c r="H237" s="58" t="str">
        <f>VLOOKUP($A237,中間シート!$D$514:$K$663,8)</f>
        <v/>
      </c>
      <c r="J237" s="412" t="str">
        <f t="shared" si="9"/>
        <v/>
      </c>
      <c r="K237" s="412"/>
      <c r="L237" s="412"/>
      <c r="M237" s="412"/>
      <c r="N237" s="422" t="str">
        <f>IF($A237&lt;&gt;9999,IF($C237=2,VLOOKUP($A237,中間シート!$D$514:$T$663,14,FALSE),VLOOKUP($A237,中間シート!$D$514:$T$663,9,FALSE)),"")</f>
        <v/>
      </c>
      <c r="O237" s="423"/>
      <c r="P237" s="423"/>
      <c r="Q237" s="423"/>
      <c r="R237" s="423"/>
      <c r="S237" s="423"/>
      <c r="T237" s="424"/>
      <c r="U237" s="422" t="str">
        <f t="shared" si="6"/>
        <v/>
      </c>
      <c r="V237" s="424"/>
      <c r="W237" s="422" t="str">
        <f>IF($A237&lt;&gt;9999,IF($C237=2,VLOOKUP($A237,中間シート!$D$514:$T$663,15,FALSE),VLOOKUP($A237,中間シート!$D$514:$T$663,10,FALSE)),"")</f>
        <v/>
      </c>
      <c r="X237" s="423"/>
      <c r="Y237" s="423"/>
      <c r="Z237" s="423"/>
      <c r="AA237" s="423"/>
      <c r="AB237" s="423"/>
      <c r="AC237" s="424"/>
      <c r="AD237" s="422" t="str">
        <f t="shared" si="7"/>
        <v/>
      </c>
      <c r="AE237" s="424"/>
      <c r="AF237" s="422" t="str">
        <f>IF($A237&lt;&gt;9999,IF($C237=2,VLOOKUP($A237,中間シート!$D$514:$T$663,16,FALSE),VLOOKUP($A237,中間シート!$D$514:$T$663,11,FALSE)),"")</f>
        <v/>
      </c>
      <c r="AG237" s="423"/>
      <c r="AH237" s="423"/>
      <c r="AI237" s="423"/>
      <c r="AJ237" s="423"/>
      <c r="AK237" s="424"/>
      <c r="AL237" s="422" t="str">
        <f t="shared" si="8"/>
        <v/>
      </c>
      <c r="AM237" s="424"/>
      <c r="AN237" s="422" t="str">
        <f>IF($A237&lt;&gt;9999,IF($C237=2,VLOOKUP($A237,中間シート!$D$514:$T$663,17,FALSE),VLOOKUP($A237,中間シート!$D$514:$T$663,12,FALSE)),"")</f>
        <v/>
      </c>
      <c r="AO237" s="423"/>
      <c r="AP237" s="423"/>
      <c r="AQ237" s="423"/>
      <c r="AR237" s="423"/>
      <c r="AS237" s="424"/>
      <c r="AT237" s="422" t="str">
        <f t="shared" si="10"/>
        <v/>
      </c>
      <c r="AU237" s="424"/>
    </row>
    <row r="238" spans="1:47" ht="16.5" customHeight="1" x14ac:dyDescent="0.15">
      <c r="A238" s="58">
        <f>中間シート!AI640</f>
        <v>9999</v>
      </c>
      <c r="B238" s="58" t="str">
        <f>中間シート!AK640</f>
        <v>事業場99</v>
      </c>
      <c r="C238" s="58" t="e">
        <f>中間シート!AJ640</f>
        <v>#N/A</v>
      </c>
      <c r="D238" s="58" t="str">
        <f>VLOOKUP($A238,中間シート!$D$514:$K$663,4)</f>
        <v/>
      </c>
      <c r="E238" s="58" t="str">
        <f>VLOOKUP($A238,中間シート!$D$514:$K$663,5)</f>
        <v/>
      </c>
      <c r="F238" s="58" t="str">
        <f>VLOOKUP($A238,中間シート!$D$514:$K$663,6)</f>
        <v/>
      </c>
      <c r="G238" s="58" t="str">
        <f>VLOOKUP($A238,中間シート!$D$514:$K$663,7)</f>
        <v/>
      </c>
      <c r="H238" s="58" t="str">
        <f>VLOOKUP($A238,中間シート!$D$514:$K$663,8)</f>
        <v/>
      </c>
      <c r="J238" s="412" t="str">
        <f t="shared" si="9"/>
        <v/>
      </c>
      <c r="K238" s="412"/>
      <c r="L238" s="412"/>
      <c r="M238" s="412"/>
      <c r="N238" s="422" t="str">
        <f>IF($A238&lt;&gt;9999,IF($C238=2,VLOOKUP($A238,中間シート!$D$514:$T$663,14,FALSE),VLOOKUP($A238,中間シート!$D$514:$T$663,9,FALSE)),"")</f>
        <v/>
      </c>
      <c r="O238" s="423"/>
      <c r="P238" s="423"/>
      <c r="Q238" s="423"/>
      <c r="R238" s="423"/>
      <c r="S238" s="423"/>
      <c r="T238" s="424"/>
      <c r="U238" s="422" t="str">
        <f t="shared" si="6"/>
        <v/>
      </c>
      <c r="V238" s="424"/>
      <c r="W238" s="422" t="str">
        <f>IF($A238&lt;&gt;9999,IF($C238=2,VLOOKUP($A238,中間シート!$D$514:$T$663,15,FALSE),VLOOKUP($A238,中間シート!$D$514:$T$663,10,FALSE)),"")</f>
        <v/>
      </c>
      <c r="X238" s="423"/>
      <c r="Y238" s="423"/>
      <c r="Z238" s="423"/>
      <c r="AA238" s="423"/>
      <c r="AB238" s="423"/>
      <c r="AC238" s="424"/>
      <c r="AD238" s="422" t="str">
        <f t="shared" si="7"/>
        <v/>
      </c>
      <c r="AE238" s="424"/>
      <c r="AF238" s="422" t="str">
        <f>IF($A238&lt;&gt;9999,IF($C238=2,VLOOKUP($A238,中間シート!$D$514:$T$663,16,FALSE),VLOOKUP($A238,中間シート!$D$514:$T$663,11,FALSE)),"")</f>
        <v/>
      </c>
      <c r="AG238" s="423"/>
      <c r="AH238" s="423"/>
      <c r="AI238" s="423"/>
      <c r="AJ238" s="423"/>
      <c r="AK238" s="424"/>
      <c r="AL238" s="422" t="str">
        <f t="shared" si="8"/>
        <v/>
      </c>
      <c r="AM238" s="424"/>
      <c r="AN238" s="422" t="str">
        <f>IF($A238&lt;&gt;9999,IF($C238=2,VLOOKUP($A238,中間シート!$D$514:$T$663,17,FALSE),VLOOKUP($A238,中間シート!$D$514:$T$663,12,FALSE)),"")</f>
        <v/>
      </c>
      <c r="AO238" s="423"/>
      <c r="AP238" s="423"/>
      <c r="AQ238" s="423"/>
      <c r="AR238" s="423"/>
      <c r="AS238" s="424"/>
      <c r="AT238" s="422" t="str">
        <f t="shared" si="10"/>
        <v/>
      </c>
      <c r="AU238" s="424"/>
    </row>
    <row r="239" spans="1:47" ht="16.5" customHeight="1" x14ac:dyDescent="0.15">
      <c r="A239" s="58">
        <f>中間シート!AI641</f>
        <v>9999</v>
      </c>
      <c r="B239" s="58" t="str">
        <f>中間シート!AK641</f>
        <v>事業場99</v>
      </c>
      <c r="C239" s="58" t="e">
        <f>中間シート!AJ641</f>
        <v>#N/A</v>
      </c>
      <c r="D239" s="58" t="str">
        <f>VLOOKUP($A239,中間シート!$D$514:$K$663,4)</f>
        <v/>
      </c>
      <c r="E239" s="58" t="str">
        <f>VLOOKUP($A239,中間シート!$D$514:$K$663,5)</f>
        <v/>
      </c>
      <c r="F239" s="58" t="str">
        <f>VLOOKUP($A239,中間シート!$D$514:$K$663,6)</f>
        <v/>
      </c>
      <c r="G239" s="58" t="str">
        <f>VLOOKUP($A239,中間シート!$D$514:$K$663,7)</f>
        <v/>
      </c>
      <c r="H239" s="58" t="str">
        <f>VLOOKUP($A239,中間シート!$D$514:$K$663,8)</f>
        <v/>
      </c>
      <c r="J239" s="412" t="str">
        <f t="shared" si="9"/>
        <v/>
      </c>
      <c r="K239" s="412"/>
      <c r="L239" s="412"/>
      <c r="M239" s="412"/>
      <c r="N239" s="422" t="str">
        <f>IF($A239&lt;&gt;9999,IF($C239=2,VLOOKUP($A239,中間シート!$D$514:$T$663,14,FALSE),VLOOKUP($A239,中間シート!$D$514:$T$663,9,FALSE)),"")</f>
        <v/>
      </c>
      <c r="O239" s="423"/>
      <c r="P239" s="423"/>
      <c r="Q239" s="423"/>
      <c r="R239" s="423"/>
      <c r="S239" s="423"/>
      <c r="T239" s="424"/>
      <c r="U239" s="422" t="str">
        <f t="shared" si="6"/>
        <v/>
      </c>
      <c r="V239" s="424"/>
      <c r="W239" s="422" t="str">
        <f>IF($A239&lt;&gt;9999,IF($C239=2,VLOOKUP($A239,中間シート!$D$514:$T$663,15,FALSE),VLOOKUP($A239,中間シート!$D$514:$T$663,10,FALSE)),"")</f>
        <v/>
      </c>
      <c r="X239" s="423"/>
      <c r="Y239" s="423"/>
      <c r="Z239" s="423"/>
      <c r="AA239" s="423"/>
      <c r="AB239" s="423"/>
      <c r="AC239" s="424"/>
      <c r="AD239" s="422" t="str">
        <f t="shared" si="7"/>
        <v/>
      </c>
      <c r="AE239" s="424"/>
      <c r="AF239" s="422" t="str">
        <f>IF($A239&lt;&gt;9999,IF($C239=2,VLOOKUP($A239,中間シート!$D$514:$T$663,16,FALSE),VLOOKUP($A239,中間シート!$D$514:$T$663,11,FALSE)),"")</f>
        <v/>
      </c>
      <c r="AG239" s="423"/>
      <c r="AH239" s="423"/>
      <c r="AI239" s="423"/>
      <c r="AJ239" s="423"/>
      <c r="AK239" s="424"/>
      <c r="AL239" s="422" t="str">
        <f t="shared" si="8"/>
        <v/>
      </c>
      <c r="AM239" s="424"/>
      <c r="AN239" s="422" t="str">
        <f>IF($A239&lt;&gt;9999,IF($C239=2,VLOOKUP($A239,中間シート!$D$514:$T$663,17,FALSE),VLOOKUP($A239,中間シート!$D$514:$T$663,12,FALSE)),"")</f>
        <v/>
      </c>
      <c r="AO239" s="423"/>
      <c r="AP239" s="423"/>
      <c r="AQ239" s="423"/>
      <c r="AR239" s="423"/>
      <c r="AS239" s="424"/>
      <c r="AT239" s="422" t="str">
        <f t="shared" si="10"/>
        <v/>
      </c>
      <c r="AU239" s="424"/>
    </row>
    <row r="240" spans="1:47" ht="16.5" customHeight="1" x14ac:dyDescent="0.15">
      <c r="A240" s="58">
        <f>中間シート!AI642</f>
        <v>9999</v>
      </c>
      <c r="B240" s="58" t="str">
        <f>中間シート!AK642</f>
        <v>事業場99</v>
      </c>
      <c r="C240" s="58" t="e">
        <f>中間シート!AJ642</f>
        <v>#N/A</v>
      </c>
      <c r="D240" s="58" t="str">
        <f>VLOOKUP($A240,中間シート!$D$514:$K$663,4)</f>
        <v/>
      </c>
      <c r="E240" s="58" t="str">
        <f>VLOOKUP($A240,中間シート!$D$514:$K$663,5)</f>
        <v/>
      </c>
      <c r="F240" s="58" t="str">
        <f>VLOOKUP($A240,中間シート!$D$514:$K$663,6)</f>
        <v/>
      </c>
      <c r="G240" s="58" t="str">
        <f>VLOOKUP($A240,中間シート!$D$514:$K$663,7)</f>
        <v/>
      </c>
      <c r="H240" s="58" t="str">
        <f>VLOOKUP($A240,中間シート!$D$514:$K$663,8)</f>
        <v/>
      </c>
      <c r="J240" s="412" t="str">
        <f t="shared" si="9"/>
        <v/>
      </c>
      <c r="K240" s="412"/>
      <c r="L240" s="412"/>
      <c r="M240" s="412"/>
      <c r="N240" s="422" t="str">
        <f>IF($A240&lt;&gt;9999,IF($C240=2,VLOOKUP($A240,中間シート!$D$514:$T$663,14,FALSE),VLOOKUP($A240,中間シート!$D$514:$T$663,9,FALSE)),"")</f>
        <v/>
      </c>
      <c r="O240" s="423"/>
      <c r="P240" s="423"/>
      <c r="Q240" s="423"/>
      <c r="R240" s="423"/>
      <c r="S240" s="423"/>
      <c r="T240" s="424"/>
      <c r="U240" s="422" t="str">
        <f t="shared" si="6"/>
        <v/>
      </c>
      <c r="V240" s="424"/>
      <c r="W240" s="422" t="str">
        <f>IF($A240&lt;&gt;9999,IF($C240=2,VLOOKUP($A240,中間シート!$D$514:$T$663,15,FALSE),VLOOKUP($A240,中間シート!$D$514:$T$663,10,FALSE)),"")</f>
        <v/>
      </c>
      <c r="X240" s="423"/>
      <c r="Y240" s="423"/>
      <c r="Z240" s="423"/>
      <c r="AA240" s="423"/>
      <c r="AB240" s="423"/>
      <c r="AC240" s="424"/>
      <c r="AD240" s="422" t="str">
        <f t="shared" si="7"/>
        <v/>
      </c>
      <c r="AE240" s="424"/>
      <c r="AF240" s="422" t="str">
        <f>IF($A240&lt;&gt;9999,IF($C240=2,VLOOKUP($A240,中間シート!$D$514:$T$663,16,FALSE),VLOOKUP($A240,中間シート!$D$514:$T$663,11,FALSE)),"")</f>
        <v/>
      </c>
      <c r="AG240" s="423"/>
      <c r="AH240" s="423"/>
      <c r="AI240" s="423"/>
      <c r="AJ240" s="423"/>
      <c r="AK240" s="424"/>
      <c r="AL240" s="422" t="str">
        <f t="shared" si="8"/>
        <v/>
      </c>
      <c r="AM240" s="424"/>
      <c r="AN240" s="422" t="str">
        <f>IF($A240&lt;&gt;9999,IF($C240=2,VLOOKUP($A240,中間シート!$D$514:$T$663,17,FALSE),VLOOKUP($A240,中間シート!$D$514:$T$663,12,FALSE)),"")</f>
        <v/>
      </c>
      <c r="AO240" s="423"/>
      <c r="AP240" s="423"/>
      <c r="AQ240" s="423"/>
      <c r="AR240" s="423"/>
      <c r="AS240" s="424"/>
      <c r="AT240" s="422" t="str">
        <f t="shared" si="10"/>
        <v/>
      </c>
      <c r="AU240" s="424"/>
    </row>
    <row r="241" spans="1:47" ht="16.5" customHeight="1" x14ac:dyDescent="0.15">
      <c r="A241" s="58">
        <f>中間シート!AI643</f>
        <v>9999</v>
      </c>
      <c r="B241" s="58" t="str">
        <f>中間シート!AK643</f>
        <v>事業場99</v>
      </c>
      <c r="C241" s="58" t="e">
        <f>中間シート!AJ643</f>
        <v>#N/A</v>
      </c>
      <c r="D241" s="58" t="str">
        <f>VLOOKUP($A241,中間シート!$D$514:$K$663,4)</f>
        <v/>
      </c>
      <c r="E241" s="58" t="str">
        <f>VLOOKUP($A241,中間シート!$D$514:$K$663,5)</f>
        <v/>
      </c>
      <c r="F241" s="58" t="str">
        <f>VLOOKUP($A241,中間シート!$D$514:$K$663,6)</f>
        <v/>
      </c>
      <c r="G241" s="58" t="str">
        <f>VLOOKUP($A241,中間シート!$D$514:$K$663,7)</f>
        <v/>
      </c>
      <c r="H241" s="58" t="str">
        <f>VLOOKUP($A241,中間シート!$D$514:$K$663,8)</f>
        <v/>
      </c>
      <c r="J241" s="412" t="str">
        <f t="shared" si="9"/>
        <v/>
      </c>
      <c r="K241" s="412"/>
      <c r="L241" s="412"/>
      <c r="M241" s="412"/>
      <c r="N241" s="422" t="str">
        <f>IF($A241&lt;&gt;9999,IF($C241=2,VLOOKUP($A241,中間シート!$D$514:$T$663,14,FALSE),VLOOKUP($A241,中間シート!$D$514:$T$663,9,FALSE)),"")</f>
        <v/>
      </c>
      <c r="O241" s="423"/>
      <c r="P241" s="423"/>
      <c r="Q241" s="423"/>
      <c r="R241" s="423"/>
      <c r="S241" s="423"/>
      <c r="T241" s="424"/>
      <c r="U241" s="422" t="str">
        <f t="shared" ref="U241:U261" si="11">IF($A241&lt;&gt;9999,IF($C241=2,"",E241),"")</f>
        <v/>
      </c>
      <c r="V241" s="424"/>
      <c r="W241" s="422" t="str">
        <f>IF($A241&lt;&gt;9999,IF($C241=2,VLOOKUP($A241,中間シート!$D$514:$T$663,15,FALSE),VLOOKUP($A241,中間シート!$D$514:$T$663,10,FALSE)),"")</f>
        <v/>
      </c>
      <c r="X241" s="423"/>
      <c r="Y241" s="423"/>
      <c r="Z241" s="423"/>
      <c r="AA241" s="423"/>
      <c r="AB241" s="423"/>
      <c r="AC241" s="424"/>
      <c r="AD241" s="422" t="str">
        <f t="shared" si="7"/>
        <v/>
      </c>
      <c r="AE241" s="424"/>
      <c r="AF241" s="422" t="str">
        <f>IF($A241&lt;&gt;9999,IF($C241=2,VLOOKUP($A241,中間シート!$D$514:$T$663,16,FALSE),VLOOKUP($A241,中間シート!$D$514:$T$663,11,FALSE)),"")</f>
        <v/>
      </c>
      <c r="AG241" s="423"/>
      <c r="AH241" s="423"/>
      <c r="AI241" s="423"/>
      <c r="AJ241" s="423"/>
      <c r="AK241" s="424"/>
      <c r="AL241" s="422" t="str">
        <f t="shared" si="8"/>
        <v/>
      </c>
      <c r="AM241" s="424"/>
      <c r="AN241" s="422" t="str">
        <f>IF($A241&lt;&gt;9999,IF($C241=2,VLOOKUP($A241,中間シート!$D$514:$T$663,17,FALSE),VLOOKUP($A241,中間シート!$D$514:$T$663,12,FALSE)),"")</f>
        <v/>
      </c>
      <c r="AO241" s="423"/>
      <c r="AP241" s="423"/>
      <c r="AQ241" s="423"/>
      <c r="AR241" s="423"/>
      <c r="AS241" s="424"/>
      <c r="AT241" s="422" t="str">
        <f t="shared" si="10"/>
        <v/>
      </c>
      <c r="AU241" s="424"/>
    </row>
    <row r="242" spans="1:47" ht="16.5" customHeight="1" x14ac:dyDescent="0.15">
      <c r="A242" s="58">
        <f>中間シート!AI644</f>
        <v>9999</v>
      </c>
      <c r="B242" s="58" t="str">
        <f>中間シート!AK644</f>
        <v>事業場99</v>
      </c>
      <c r="C242" s="58" t="e">
        <f>中間シート!AJ644</f>
        <v>#N/A</v>
      </c>
      <c r="D242" s="58" t="str">
        <f>VLOOKUP($A242,中間シート!$D$514:$K$663,4)</f>
        <v/>
      </c>
      <c r="E242" s="58" t="str">
        <f>VLOOKUP($A242,中間シート!$D$514:$K$663,5)</f>
        <v/>
      </c>
      <c r="F242" s="58" t="str">
        <f>VLOOKUP($A242,中間シート!$D$514:$K$663,6)</f>
        <v/>
      </c>
      <c r="G242" s="58" t="str">
        <f>VLOOKUP($A242,中間シート!$D$514:$K$663,7)</f>
        <v/>
      </c>
      <c r="H242" s="58" t="str">
        <f>VLOOKUP($A242,中間シート!$D$514:$K$663,8)</f>
        <v/>
      </c>
      <c r="J242" s="412" t="str">
        <f t="shared" si="9"/>
        <v/>
      </c>
      <c r="K242" s="412"/>
      <c r="L242" s="412"/>
      <c r="M242" s="412"/>
      <c r="N242" s="422" t="str">
        <f>IF($A242&lt;&gt;9999,IF($C242=2,VLOOKUP($A242,中間シート!$D$514:$T$663,14,FALSE),VLOOKUP($A242,中間シート!$D$514:$T$663,9,FALSE)),"")</f>
        <v/>
      </c>
      <c r="O242" s="423"/>
      <c r="P242" s="423"/>
      <c r="Q242" s="423"/>
      <c r="R242" s="423"/>
      <c r="S242" s="423"/>
      <c r="T242" s="424"/>
      <c r="U242" s="422" t="str">
        <f t="shared" si="11"/>
        <v/>
      </c>
      <c r="V242" s="424"/>
      <c r="W242" s="422" t="str">
        <f>IF($A242&lt;&gt;9999,IF($C242=2,VLOOKUP($A242,中間シート!$D$514:$T$663,15,FALSE),VLOOKUP($A242,中間シート!$D$514:$T$663,10,FALSE)),"")</f>
        <v/>
      </c>
      <c r="X242" s="423"/>
      <c r="Y242" s="423"/>
      <c r="Z242" s="423"/>
      <c r="AA242" s="423"/>
      <c r="AB242" s="423"/>
      <c r="AC242" s="424"/>
      <c r="AD242" s="422" t="str">
        <f t="shared" ref="AD242:AD261" si="12">IF($A242&lt;&gt;9999,IF($C242=2,"",F242),"")</f>
        <v/>
      </c>
      <c r="AE242" s="424"/>
      <c r="AF242" s="422" t="str">
        <f>IF($A242&lt;&gt;9999,IF($C242=2,VLOOKUP($A242,中間シート!$D$514:$T$663,16,FALSE),VLOOKUP($A242,中間シート!$D$514:$T$663,11,FALSE)),"")</f>
        <v/>
      </c>
      <c r="AG242" s="423"/>
      <c r="AH242" s="423"/>
      <c r="AI242" s="423"/>
      <c r="AJ242" s="423"/>
      <c r="AK242" s="424"/>
      <c r="AL242" s="422" t="str">
        <f t="shared" ref="AL242:AL261" si="13">IF($A242&lt;&gt;9999,IF($C242=2,"",G242),"")</f>
        <v/>
      </c>
      <c r="AM242" s="424"/>
      <c r="AN242" s="422" t="str">
        <f>IF($A242&lt;&gt;9999,IF($C242=2,VLOOKUP($A242,中間シート!$D$514:$T$663,17,FALSE),VLOOKUP($A242,中間シート!$D$514:$T$663,12,FALSE)),"")</f>
        <v/>
      </c>
      <c r="AO242" s="423"/>
      <c r="AP242" s="423"/>
      <c r="AQ242" s="423"/>
      <c r="AR242" s="423"/>
      <c r="AS242" s="424"/>
      <c r="AT242" s="422" t="str">
        <f t="shared" si="10"/>
        <v/>
      </c>
      <c r="AU242" s="424"/>
    </row>
    <row r="243" spans="1:47" ht="16.5" customHeight="1" x14ac:dyDescent="0.15">
      <c r="A243" s="58">
        <f>中間シート!AI645</f>
        <v>9999</v>
      </c>
      <c r="B243" s="58" t="str">
        <f>中間シート!AK645</f>
        <v>事業場99</v>
      </c>
      <c r="C243" s="58" t="e">
        <f>中間シート!AJ645</f>
        <v>#N/A</v>
      </c>
      <c r="D243" s="58" t="str">
        <f>VLOOKUP($A243,中間シート!$D$514:$K$663,4)</f>
        <v/>
      </c>
      <c r="E243" s="58" t="str">
        <f>VLOOKUP($A243,中間シート!$D$514:$K$663,5)</f>
        <v/>
      </c>
      <c r="F243" s="58" t="str">
        <f>VLOOKUP($A243,中間シート!$D$514:$K$663,6)</f>
        <v/>
      </c>
      <c r="G243" s="58" t="str">
        <f>VLOOKUP($A243,中間シート!$D$514:$K$663,7)</f>
        <v/>
      </c>
      <c r="H243" s="58" t="str">
        <f>VLOOKUP($A243,中間シート!$D$514:$K$663,8)</f>
        <v/>
      </c>
      <c r="J243" s="412" t="str">
        <f t="shared" ref="J243:J261" si="14">IF(B243="事業場99","",B243)</f>
        <v/>
      </c>
      <c r="K243" s="412"/>
      <c r="L243" s="412"/>
      <c r="M243" s="412"/>
      <c r="N243" s="422" t="str">
        <f>IF($A243&lt;&gt;9999,IF($C243=2,VLOOKUP($A243,中間シート!$D$514:$T$663,14,FALSE),VLOOKUP($A243,中間シート!$D$514:$T$663,9,FALSE)),"")</f>
        <v/>
      </c>
      <c r="O243" s="423"/>
      <c r="P243" s="423"/>
      <c r="Q243" s="423"/>
      <c r="R243" s="423"/>
      <c r="S243" s="423"/>
      <c r="T243" s="424"/>
      <c r="U243" s="422" t="str">
        <f t="shared" si="11"/>
        <v/>
      </c>
      <c r="V243" s="424"/>
      <c r="W243" s="422" t="str">
        <f>IF($A243&lt;&gt;9999,IF($C243=2,VLOOKUP($A243,中間シート!$D$514:$T$663,15,FALSE),VLOOKUP($A243,中間シート!$D$514:$T$663,10,FALSE)),"")</f>
        <v/>
      </c>
      <c r="X243" s="423"/>
      <c r="Y243" s="423"/>
      <c r="Z243" s="423"/>
      <c r="AA243" s="423"/>
      <c r="AB243" s="423"/>
      <c r="AC243" s="424"/>
      <c r="AD243" s="422" t="str">
        <f t="shared" si="12"/>
        <v/>
      </c>
      <c r="AE243" s="424"/>
      <c r="AF243" s="422" t="str">
        <f>IF($A243&lt;&gt;9999,IF($C243=2,VLOOKUP($A243,中間シート!$D$514:$T$663,16,FALSE),VLOOKUP($A243,中間シート!$D$514:$T$663,11,FALSE)),"")</f>
        <v/>
      </c>
      <c r="AG243" s="423"/>
      <c r="AH243" s="423"/>
      <c r="AI243" s="423"/>
      <c r="AJ243" s="423"/>
      <c r="AK243" s="424"/>
      <c r="AL243" s="422" t="str">
        <f t="shared" si="13"/>
        <v/>
      </c>
      <c r="AM243" s="424"/>
      <c r="AN243" s="422" t="str">
        <f>IF($A243&lt;&gt;9999,IF($C243=2,VLOOKUP($A243,中間シート!$D$514:$T$663,17,FALSE),VLOOKUP($A243,中間シート!$D$514:$T$663,12,FALSE)),"")</f>
        <v/>
      </c>
      <c r="AO243" s="423"/>
      <c r="AP243" s="423"/>
      <c r="AQ243" s="423"/>
      <c r="AR243" s="423"/>
      <c r="AS243" s="424"/>
      <c r="AT243" s="422" t="str">
        <f t="shared" si="10"/>
        <v/>
      </c>
      <c r="AU243" s="424"/>
    </row>
    <row r="244" spans="1:47" ht="16.5" customHeight="1" x14ac:dyDescent="0.15">
      <c r="A244" s="58">
        <f>中間シート!AI646</f>
        <v>9999</v>
      </c>
      <c r="B244" s="58" t="str">
        <f>中間シート!AK646</f>
        <v>事業場99</v>
      </c>
      <c r="C244" s="58" t="e">
        <f>中間シート!AJ646</f>
        <v>#N/A</v>
      </c>
      <c r="D244" s="58" t="str">
        <f>VLOOKUP($A244,中間シート!$D$514:$K$663,4)</f>
        <v/>
      </c>
      <c r="E244" s="58" t="str">
        <f>VLOOKUP($A244,中間シート!$D$514:$K$663,5)</f>
        <v/>
      </c>
      <c r="F244" s="58" t="str">
        <f>VLOOKUP($A244,中間シート!$D$514:$K$663,6)</f>
        <v/>
      </c>
      <c r="G244" s="58" t="str">
        <f>VLOOKUP($A244,中間シート!$D$514:$K$663,7)</f>
        <v/>
      </c>
      <c r="H244" s="58" t="str">
        <f>VLOOKUP($A244,中間シート!$D$514:$K$663,8)</f>
        <v/>
      </c>
      <c r="J244" s="412" t="str">
        <f t="shared" si="14"/>
        <v/>
      </c>
      <c r="K244" s="412"/>
      <c r="L244" s="412"/>
      <c r="M244" s="412"/>
      <c r="N244" s="422" t="str">
        <f>IF($A244&lt;&gt;9999,IF($C244=2,VLOOKUP($A244,中間シート!$D$514:$T$663,14,FALSE),VLOOKUP($A244,中間シート!$D$514:$T$663,9,FALSE)),"")</f>
        <v/>
      </c>
      <c r="O244" s="423"/>
      <c r="P244" s="423"/>
      <c r="Q244" s="423"/>
      <c r="R244" s="423"/>
      <c r="S244" s="423"/>
      <c r="T244" s="424"/>
      <c r="U244" s="422" t="str">
        <f t="shared" si="11"/>
        <v/>
      </c>
      <c r="V244" s="424"/>
      <c r="W244" s="422" t="str">
        <f>IF($A244&lt;&gt;9999,IF($C244=2,VLOOKUP($A244,中間シート!$D$514:$T$663,15,FALSE),VLOOKUP($A244,中間シート!$D$514:$T$663,10,FALSE)),"")</f>
        <v/>
      </c>
      <c r="X244" s="423"/>
      <c r="Y244" s="423"/>
      <c r="Z244" s="423"/>
      <c r="AA244" s="423"/>
      <c r="AB244" s="423"/>
      <c r="AC244" s="424"/>
      <c r="AD244" s="422" t="str">
        <f t="shared" si="12"/>
        <v/>
      </c>
      <c r="AE244" s="424"/>
      <c r="AF244" s="422" t="str">
        <f>IF($A244&lt;&gt;9999,IF($C244=2,VLOOKUP($A244,中間シート!$D$514:$T$663,16,FALSE),VLOOKUP($A244,中間シート!$D$514:$T$663,11,FALSE)),"")</f>
        <v/>
      </c>
      <c r="AG244" s="423"/>
      <c r="AH244" s="423"/>
      <c r="AI244" s="423"/>
      <c r="AJ244" s="423"/>
      <c r="AK244" s="424"/>
      <c r="AL244" s="422" t="str">
        <f t="shared" si="13"/>
        <v/>
      </c>
      <c r="AM244" s="424"/>
      <c r="AN244" s="422" t="str">
        <f>IF($A244&lt;&gt;9999,IF($C244=2,VLOOKUP($A244,中間シート!$D$514:$T$663,17,FALSE),VLOOKUP($A244,中間シート!$D$514:$T$663,12,FALSE)),"")</f>
        <v/>
      </c>
      <c r="AO244" s="423"/>
      <c r="AP244" s="423"/>
      <c r="AQ244" s="423"/>
      <c r="AR244" s="423"/>
      <c r="AS244" s="424"/>
      <c r="AT244" s="422" t="str">
        <f t="shared" si="10"/>
        <v/>
      </c>
      <c r="AU244" s="424"/>
    </row>
    <row r="245" spans="1:47" ht="16.5" customHeight="1" x14ac:dyDescent="0.15">
      <c r="A245" s="58">
        <f>中間シート!AI647</f>
        <v>9999</v>
      </c>
      <c r="B245" s="58" t="str">
        <f>中間シート!AK647</f>
        <v>事業場99</v>
      </c>
      <c r="C245" s="58" t="e">
        <f>中間シート!AJ647</f>
        <v>#N/A</v>
      </c>
      <c r="D245" s="58" t="str">
        <f>VLOOKUP($A245,中間シート!$D$514:$K$663,4)</f>
        <v/>
      </c>
      <c r="E245" s="58" t="str">
        <f>VLOOKUP($A245,中間シート!$D$514:$K$663,5)</f>
        <v/>
      </c>
      <c r="F245" s="58" t="str">
        <f>VLOOKUP($A245,中間シート!$D$514:$K$663,6)</f>
        <v/>
      </c>
      <c r="G245" s="58" t="str">
        <f>VLOOKUP($A245,中間シート!$D$514:$K$663,7)</f>
        <v/>
      </c>
      <c r="H245" s="58" t="str">
        <f>VLOOKUP($A245,中間シート!$D$514:$K$663,8)</f>
        <v/>
      </c>
      <c r="J245" s="412" t="str">
        <f t="shared" si="14"/>
        <v/>
      </c>
      <c r="K245" s="412"/>
      <c r="L245" s="412"/>
      <c r="M245" s="412"/>
      <c r="N245" s="422" t="str">
        <f>IF($A245&lt;&gt;9999,IF($C245=2,VLOOKUP($A245,中間シート!$D$514:$T$663,14,FALSE),VLOOKUP($A245,中間シート!$D$514:$T$663,9,FALSE)),"")</f>
        <v/>
      </c>
      <c r="O245" s="423"/>
      <c r="P245" s="423"/>
      <c r="Q245" s="423"/>
      <c r="R245" s="423"/>
      <c r="S245" s="423"/>
      <c r="T245" s="424"/>
      <c r="U245" s="422" t="str">
        <f t="shared" si="11"/>
        <v/>
      </c>
      <c r="V245" s="424"/>
      <c r="W245" s="422" t="str">
        <f>IF($A245&lt;&gt;9999,IF($C245=2,VLOOKUP($A245,中間シート!$D$514:$T$663,15,FALSE),VLOOKUP($A245,中間シート!$D$514:$T$663,10,FALSE)),"")</f>
        <v/>
      </c>
      <c r="X245" s="423"/>
      <c r="Y245" s="423"/>
      <c r="Z245" s="423"/>
      <c r="AA245" s="423"/>
      <c r="AB245" s="423"/>
      <c r="AC245" s="424"/>
      <c r="AD245" s="422" t="str">
        <f t="shared" si="12"/>
        <v/>
      </c>
      <c r="AE245" s="424"/>
      <c r="AF245" s="422" t="str">
        <f>IF($A245&lt;&gt;9999,IF($C245=2,VLOOKUP($A245,中間シート!$D$514:$T$663,16,FALSE),VLOOKUP($A245,中間シート!$D$514:$T$663,11,FALSE)),"")</f>
        <v/>
      </c>
      <c r="AG245" s="423"/>
      <c r="AH245" s="423"/>
      <c r="AI245" s="423"/>
      <c r="AJ245" s="423"/>
      <c r="AK245" s="424"/>
      <c r="AL245" s="422" t="str">
        <f t="shared" si="13"/>
        <v/>
      </c>
      <c r="AM245" s="424"/>
      <c r="AN245" s="422" t="str">
        <f>IF($A245&lt;&gt;9999,IF($C245=2,VLOOKUP($A245,中間シート!$D$514:$T$663,17,FALSE),VLOOKUP($A245,中間シート!$D$514:$T$663,12,FALSE)),"")</f>
        <v/>
      </c>
      <c r="AO245" s="423"/>
      <c r="AP245" s="423"/>
      <c r="AQ245" s="423"/>
      <c r="AR245" s="423"/>
      <c r="AS245" s="424"/>
      <c r="AT245" s="422" t="str">
        <f t="shared" si="10"/>
        <v/>
      </c>
      <c r="AU245" s="424"/>
    </row>
    <row r="246" spans="1:47" ht="16.5" customHeight="1" x14ac:dyDescent="0.15">
      <c r="A246" s="58">
        <f>中間シート!AI648</f>
        <v>9999</v>
      </c>
      <c r="B246" s="58" t="str">
        <f>中間シート!AK648</f>
        <v>事業場99</v>
      </c>
      <c r="C246" s="58" t="e">
        <f>中間シート!AJ648</f>
        <v>#N/A</v>
      </c>
      <c r="D246" s="58" t="str">
        <f>VLOOKUP($A246,中間シート!$D$514:$K$663,4)</f>
        <v/>
      </c>
      <c r="E246" s="58" t="str">
        <f>VLOOKUP($A246,中間シート!$D$514:$K$663,5)</f>
        <v/>
      </c>
      <c r="F246" s="58" t="str">
        <f>VLOOKUP($A246,中間シート!$D$514:$K$663,6)</f>
        <v/>
      </c>
      <c r="G246" s="58" t="str">
        <f>VLOOKUP($A246,中間シート!$D$514:$K$663,7)</f>
        <v/>
      </c>
      <c r="H246" s="58" t="str">
        <f>VLOOKUP($A246,中間シート!$D$514:$K$663,8)</f>
        <v/>
      </c>
      <c r="J246" s="412" t="str">
        <f t="shared" si="14"/>
        <v/>
      </c>
      <c r="K246" s="412"/>
      <c r="L246" s="412"/>
      <c r="M246" s="412"/>
      <c r="N246" s="422" t="str">
        <f>IF($A246&lt;&gt;9999,IF($C246=2,VLOOKUP($A246,中間シート!$D$514:$T$663,14,FALSE),VLOOKUP($A246,中間シート!$D$514:$T$663,9,FALSE)),"")</f>
        <v/>
      </c>
      <c r="O246" s="423"/>
      <c r="P246" s="423"/>
      <c r="Q246" s="423"/>
      <c r="R246" s="423"/>
      <c r="S246" s="423"/>
      <c r="T246" s="424"/>
      <c r="U246" s="422" t="str">
        <f t="shared" si="11"/>
        <v/>
      </c>
      <c r="V246" s="424"/>
      <c r="W246" s="422" t="str">
        <f>IF($A246&lt;&gt;9999,IF($C246=2,VLOOKUP($A246,中間シート!$D$514:$T$663,15,FALSE),VLOOKUP($A246,中間シート!$D$514:$T$663,10,FALSE)),"")</f>
        <v/>
      </c>
      <c r="X246" s="423"/>
      <c r="Y246" s="423"/>
      <c r="Z246" s="423"/>
      <c r="AA246" s="423"/>
      <c r="AB246" s="423"/>
      <c r="AC246" s="424"/>
      <c r="AD246" s="422" t="str">
        <f t="shared" si="12"/>
        <v/>
      </c>
      <c r="AE246" s="424"/>
      <c r="AF246" s="422" t="str">
        <f>IF($A246&lt;&gt;9999,IF($C246=2,VLOOKUP($A246,中間シート!$D$514:$T$663,16,FALSE),VLOOKUP($A246,中間シート!$D$514:$T$663,11,FALSE)),"")</f>
        <v/>
      </c>
      <c r="AG246" s="423"/>
      <c r="AH246" s="423"/>
      <c r="AI246" s="423"/>
      <c r="AJ246" s="423"/>
      <c r="AK246" s="424"/>
      <c r="AL246" s="422" t="str">
        <f t="shared" si="13"/>
        <v/>
      </c>
      <c r="AM246" s="424"/>
      <c r="AN246" s="422" t="str">
        <f>IF($A246&lt;&gt;9999,IF($C246=2,VLOOKUP($A246,中間シート!$D$514:$T$663,17,FALSE),VLOOKUP($A246,中間シート!$D$514:$T$663,12,FALSE)),"")</f>
        <v/>
      </c>
      <c r="AO246" s="423"/>
      <c r="AP246" s="423"/>
      <c r="AQ246" s="423"/>
      <c r="AR246" s="423"/>
      <c r="AS246" s="424"/>
      <c r="AT246" s="422" t="str">
        <f t="shared" ref="AT246:AT260" si="15">IF($A246&lt;&gt;9999,IF($C246=2,"",H246),"")</f>
        <v/>
      </c>
      <c r="AU246" s="424"/>
    </row>
    <row r="247" spans="1:47" ht="16.5" customHeight="1" x14ac:dyDescent="0.15">
      <c r="A247" s="58">
        <f>中間シート!AI649</f>
        <v>9999</v>
      </c>
      <c r="B247" s="58" t="str">
        <f>中間シート!AK649</f>
        <v>事業場99</v>
      </c>
      <c r="C247" s="58" t="e">
        <f>中間シート!AJ649</f>
        <v>#N/A</v>
      </c>
      <c r="D247" s="58" t="str">
        <f>VLOOKUP($A247,中間シート!$D$514:$K$663,4)</f>
        <v/>
      </c>
      <c r="E247" s="58" t="str">
        <f>VLOOKUP($A247,中間シート!$D$514:$K$663,5)</f>
        <v/>
      </c>
      <c r="F247" s="58" t="str">
        <f>VLOOKUP($A247,中間シート!$D$514:$K$663,6)</f>
        <v/>
      </c>
      <c r="G247" s="58" t="str">
        <f>VLOOKUP($A247,中間シート!$D$514:$K$663,7)</f>
        <v/>
      </c>
      <c r="H247" s="58" t="str">
        <f>VLOOKUP($A247,中間シート!$D$514:$K$663,8)</f>
        <v/>
      </c>
      <c r="J247" s="412" t="str">
        <f t="shared" si="14"/>
        <v/>
      </c>
      <c r="K247" s="412"/>
      <c r="L247" s="412"/>
      <c r="M247" s="412"/>
      <c r="N247" s="422" t="str">
        <f>IF($A247&lt;&gt;9999,IF($C247=2,VLOOKUP($A247,中間シート!$D$514:$T$663,14,FALSE),VLOOKUP($A247,中間シート!$D$514:$T$663,9,FALSE)),"")</f>
        <v/>
      </c>
      <c r="O247" s="423"/>
      <c r="P247" s="423"/>
      <c r="Q247" s="423"/>
      <c r="R247" s="423"/>
      <c r="S247" s="423"/>
      <c r="T247" s="424"/>
      <c r="U247" s="422" t="str">
        <f t="shared" si="11"/>
        <v/>
      </c>
      <c r="V247" s="424"/>
      <c r="W247" s="422" t="str">
        <f>IF($A247&lt;&gt;9999,IF($C247=2,VLOOKUP($A247,中間シート!$D$514:$T$663,15,FALSE),VLOOKUP($A247,中間シート!$D$514:$T$663,10,FALSE)),"")</f>
        <v/>
      </c>
      <c r="X247" s="423"/>
      <c r="Y247" s="423"/>
      <c r="Z247" s="423"/>
      <c r="AA247" s="423"/>
      <c r="AB247" s="423"/>
      <c r="AC247" s="424"/>
      <c r="AD247" s="422" t="str">
        <f t="shared" si="12"/>
        <v/>
      </c>
      <c r="AE247" s="424"/>
      <c r="AF247" s="422" t="str">
        <f>IF($A247&lt;&gt;9999,IF($C247=2,VLOOKUP($A247,中間シート!$D$514:$T$663,16,FALSE),VLOOKUP($A247,中間シート!$D$514:$T$663,11,FALSE)),"")</f>
        <v/>
      </c>
      <c r="AG247" s="423"/>
      <c r="AH247" s="423"/>
      <c r="AI247" s="423"/>
      <c r="AJ247" s="423"/>
      <c r="AK247" s="424"/>
      <c r="AL247" s="422" t="str">
        <f t="shared" si="13"/>
        <v/>
      </c>
      <c r="AM247" s="424"/>
      <c r="AN247" s="422" t="str">
        <f>IF($A247&lt;&gt;9999,IF($C247=2,VLOOKUP($A247,中間シート!$D$514:$T$663,17,FALSE),VLOOKUP($A247,中間シート!$D$514:$T$663,12,FALSE)),"")</f>
        <v/>
      </c>
      <c r="AO247" s="423"/>
      <c r="AP247" s="423"/>
      <c r="AQ247" s="423"/>
      <c r="AR247" s="423"/>
      <c r="AS247" s="424"/>
      <c r="AT247" s="422" t="str">
        <f t="shared" si="15"/>
        <v/>
      </c>
      <c r="AU247" s="424"/>
    </row>
    <row r="248" spans="1:47" ht="16.5" customHeight="1" x14ac:dyDescent="0.15">
      <c r="A248" s="58">
        <f>中間シート!AI650</f>
        <v>9999</v>
      </c>
      <c r="B248" s="58" t="str">
        <f>中間シート!AK650</f>
        <v>事業場99</v>
      </c>
      <c r="C248" s="58" t="e">
        <f>中間シート!AJ650</f>
        <v>#N/A</v>
      </c>
      <c r="D248" s="58" t="str">
        <f>VLOOKUP($A248,中間シート!$D$514:$K$663,4)</f>
        <v/>
      </c>
      <c r="E248" s="58" t="str">
        <f>VLOOKUP($A248,中間シート!$D$514:$K$663,5)</f>
        <v/>
      </c>
      <c r="F248" s="58" t="str">
        <f>VLOOKUP($A248,中間シート!$D$514:$K$663,6)</f>
        <v/>
      </c>
      <c r="G248" s="58" t="str">
        <f>VLOOKUP($A248,中間シート!$D$514:$K$663,7)</f>
        <v/>
      </c>
      <c r="H248" s="58" t="str">
        <f>VLOOKUP($A248,中間シート!$D$514:$K$663,8)</f>
        <v/>
      </c>
      <c r="J248" s="412" t="str">
        <f t="shared" si="14"/>
        <v/>
      </c>
      <c r="K248" s="412"/>
      <c r="L248" s="412"/>
      <c r="M248" s="412"/>
      <c r="N248" s="422" t="str">
        <f>IF($A248&lt;&gt;9999,IF($C248=2,VLOOKUP($A248,中間シート!$D$514:$T$663,14,FALSE),VLOOKUP($A248,中間シート!$D$514:$T$663,9,FALSE)),"")</f>
        <v/>
      </c>
      <c r="O248" s="423"/>
      <c r="P248" s="423"/>
      <c r="Q248" s="423"/>
      <c r="R248" s="423"/>
      <c r="S248" s="423"/>
      <c r="T248" s="424"/>
      <c r="U248" s="422" t="str">
        <f t="shared" si="11"/>
        <v/>
      </c>
      <c r="V248" s="424"/>
      <c r="W248" s="422" t="str">
        <f>IF($A248&lt;&gt;9999,IF($C248=2,VLOOKUP($A248,中間シート!$D$514:$T$663,15,FALSE),VLOOKUP($A248,中間シート!$D$514:$T$663,10,FALSE)),"")</f>
        <v/>
      </c>
      <c r="X248" s="423"/>
      <c r="Y248" s="423"/>
      <c r="Z248" s="423"/>
      <c r="AA248" s="423"/>
      <c r="AB248" s="423"/>
      <c r="AC248" s="424"/>
      <c r="AD248" s="422" t="str">
        <f t="shared" si="12"/>
        <v/>
      </c>
      <c r="AE248" s="424"/>
      <c r="AF248" s="422" t="str">
        <f>IF($A248&lt;&gt;9999,IF($C248=2,VLOOKUP($A248,中間シート!$D$514:$T$663,16,FALSE),VLOOKUP($A248,中間シート!$D$514:$T$663,11,FALSE)),"")</f>
        <v/>
      </c>
      <c r="AG248" s="423"/>
      <c r="AH248" s="423"/>
      <c r="AI248" s="423"/>
      <c r="AJ248" s="423"/>
      <c r="AK248" s="424"/>
      <c r="AL248" s="422" t="str">
        <f t="shared" si="13"/>
        <v/>
      </c>
      <c r="AM248" s="424"/>
      <c r="AN248" s="422" t="str">
        <f>IF($A248&lt;&gt;9999,IF($C248=2,VLOOKUP($A248,中間シート!$D$514:$T$663,17,FALSE),VLOOKUP($A248,中間シート!$D$514:$T$663,12,FALSE)),"")</f>
        <v/>
      </c>
      <c r="AO248" s="423"/>
      <c r="AP248" s="423"/>
      <c r="AQ248" s="423"/>
      <c r="AR248" s="423"/>
      <c r="AS248" s="424"/>
      <c r="AT248" s="422" t="str">
        <f t="shared" si="15"/>
        <v/>
      </c>
      <c r="AU248" s="424"/>
    </row>
    <row r="249" spans="1:47" ht="16.5" customHeight="1" x14ac:dyDescent="0.15">
      <c r="A249" s="58">
        <f>中間シート!AI651</f>
        <v>9999</v>
      </c>
      <c r="B249" s="58" t="str">
        <f>中間シート!AK651</f>
        <v>事業場99</v>
      </c>
      <c r="C249" s="58" t="e">
        <f>中間シート!AJ651</f>
        <v>#N/A</v>
      </c>
      <c r="D249" s="58" t="str">
        <f>VLOOKUP($A249,中間シート!$D$514:$K$663,4)</f>
        <v/>
      </c>
      <c r="E249" s="58" t="str">
        <f>VLOOKUP($A249,中間シート!$D$514:$K$663,5)</f>
        <v/>
      </c>
      <c r="F249" s="58" t="str">
        <f>VLOOKUP($A249,中間シート!$D$514:$K$663,6)</f>
        <v/>
      </c>
      <c r="G249" s="58" t="str">
        <f>VLOOKUP($A249,中間シート!$D$514:$K$663,7)</f>
        <v/>
      </c>
      <c r="H249" s="58" t="str">
        <f>VLOOKUP($A249,中間シート!$D$514:$K$663,8)</f>
        <v/>
      </c>
      <c r="J249" s="412" t="str">
        <f t="shared" si="14"/>
        <v/>
      </c>
      <c r="K249" s="412"/>
      <c r="L249" s="412"/>
      <c r="M249" s="412"/>
      <c r="N249" s="422" t="str">
        <f>IF($A249&lt;&gt;9999,IF($C249=2,VLOOKUP($A249,中間シート!$D$514:$T$663,14,FALSE),VLOOKUP($A249,中間シート!$D$514:$T$663,9,FALSE)),"")</f>
        <v/>
      </c>
      <c r="O249" s="423"/>
      <c r="P249" s="423"/>
      <c r="Q249" s="423"/>
      <c r="R249" s="423"/>
      <c r="S249" s="423"/>
      <c r="T249" s="424"/>
      <c r="U249" s="422" t="str">
        <f t="shared" si="11"/>
        <v/>
      </c>
      <c r="V249" s="424"/>
      <c r="W249" s="422" t="str">
        <f>IF($A249&lt;&gt;9999,IF($C249=2,VLOOKUP($A249,中間シート!$D$514:$T$663,15,FALSE),VLOOKUP($A249,中間シート!$D$514:$T$663,10,FALSE)),"")</f>
        <v/>
      </c>
      <c r="X249" s="423"/>
      <c r="Y249" s="423"/>
      <c r="Z249" s="423"/>
      <c r="AA249" s="423"/>
      <c r="AB249" s="423"/>
      <c r="AC249" s="424"/>
      <c r="AD249" s="422" t="str">
        <f t="shared" si="12"/>
        <v/>
      </c>
      <c r="AE249" s="424"/>
      <c r="AF249" s="422" t="str">
        <f>IF($A249&lt;&gt;9999,IF($C249=2,VLOOKUP($A249,中間シート!$D$514:$T$663,16,FALSE),VLOOKUP($A249,中間シート!$D$514:$T$663,11,FALSE)),"")</f>
        <v/>
      </c>
      <c r="AG249" s="423"/>
      <c r="AH249" s="423"/>
      <c r="AI249" s="423"/>
      <c r="AJ249" s="423"/>
      <c r="AK249" s="424"/>
      <c r="AL249" s="422" t="str">
        <f t="shared" si="13"/>
        <v/>
      </c>
      <c r="AM249" s="424"/>
      <c r="AN249" s="422" t="str">
        <f>IF($A249&lt;&gt;9999,IF($C249=2,VLOOKUP($A249,中間シート!$D$514:$T$663,17,FALSE),VLOOKUP($A249,中間シート!$D$514:$T$663,12,FALSE)),"")</f>
        <v/>
      </c>
      <c r="AO249" s="423"/>
      <c r="AP249" s="423"/>
      <c r="AQ249" s="423"/>
      <c r="AR249" s="423"/>
      <c r="AS249" s="424"/>
      <c r="AT249" s="422" t="str">
        <f t="shared" si="15"/>
        <v/>
      </c>
      <c r="AU249" s="424"/>
    </row>
    <row r="250" spans="1:47" ht="16.5" customHeight="1" x14ac:dyDescent="0.15">
      <c r="A250" s="58">
        <f>中間シート!AI652</f>
        <v>9999</v>
      </c>
      <c r="B250" s="58" t="str">
        <f>中間シート!AK652</f>
        <v>事業場99</v>
      </c>
      <c r="C250" s="58" t="e">
        <f>中間シート!AJ652</f>
        <v>#N/A</v>
      </c>
      <c r="D250" s="58" t="str">
        <f>VLOOKUP($A250,中間シート!$D$514:$K$663,4)</f>
        <v/>
      </c>
      <c r="E250" s="58" t="str">
        <f>VLOOKUP($A250,中間シート!$D$514:$K$663,5)</f>
        <v/>
      </c>
      <c r="F250" s="58" t="str">
        <f>VLOOKUP($A250,中間シート!$D$514:$K$663,6)</f>
        <v/>
      </c>
      <c r="G250" s="58" t="str">
        <f>VLOOKUP($A250,中間シート!$D$514:$K$663,7)</f>
        <v/>
      </c>
      <c r="H250" s="58" t="str">
        <f>VLOOKUP($A250,中間シート!$D$514:$K$663,8)</f>
        <v/>
      </c>
      <c r="J250" s="412" t="str">
        <f t="shared" si="14"/>
        <v/>
      </c>
      <c r="K250" s="412"/>
      <c r="L250" s="412"/>
      <c r="M250" s="412"/>
      <c r="N250" s="422" t="str">
        <f>IF($A250&lt;&gt;9999,IF($C250=2,VLOOKUP($A250,中間シート!$D$514:$T$663,14,FALSE),VLOOKUP($A250,中間シート!$D$514:$T$663,9,FALSE)),"")</f>
        <v/>
      </c>
      <c r="O250" s="423"/>
      <c r="P250" s="423"/>
      <c r="Q250" s="423"/>
      <c r="R250" s="423"/>
      <c r="S250" s="423"/>
      <c r="T250" s="424"/>
      <c r="U250" s="422" t="str">
        <f t="shared" si="11"/>
        <v/>
      </c>
      <c r="V250" s="424"/>
      <c r="W250" s="422" t="str">
        <f>IF($A250&lt;&gt;9999,IF($C250=2,VLOOKUP($A250,中間シート!$D$514:$T$663,15,FALSE),VLOOKUP($A250,中間シート!$D$514:$T$663,10,FALSE)),"")</f>
        <v/>
      </c>
      <c r="X250" s="423"/>
      <c r="Y250" s="423"/>
      <c r="Z250" s="423"/>
      <c r="AA250" s="423"/>
      <c r="AB250" s="423"/>
      <c r="AC250" s="424"/>
      <c r="AD250" s="422" t="str">
        <f t="shared" si="12"/>
        <v/>
      </c>
      <c r="AE250" s="424"/>
      <c r="AF250" s="422" t="str">
        <f>IF($A250&lt;&gt;9999,IF($C250=2,VLOOKUP($A250,中間シート!$D$514:$T$663,16,FALSE),VLOOKUP($A250,中間シート!$D$514:$T$663,11,FALSE)),"")</f>
        <v/>
      </c>
      <c r="AG250" s="423"/>
      <c r="AH250" s="423"/>
      <c r="AI250" s="423"/>
      <c r="AJ250" s="423"/>
      <c r="AK250" s="424"/>
      <c r="AL250" s="422" t="str">
        <f t="shared" si="13"/>
        <v/>
      </c>
      <c r="AM250" s="424"/>
      <c r="AN250" s="422" t="str">
        <f>IF($A250&lt;&gt;9999,IF($C250=2,VLOOKUP($A250,中間シート!$D$514:$T$663,17,FALSE),VLOOKUP($A250,中間シート!$D$514:$T$663,12,FALSE)),"")</f>
        <v/>
      </c>
      <c r="AO250" s="423"/>
      <c r="AP250" s="423"/>
      <c r="AQ250" s="423"/>
      <c r="AR250" s="423"/>
      <c r="AS250" s="424"/>
      <c r="AT250" s="422" t="str">
        <f t="shared" si="15"/>
        <v/>
      </c>
      <c r="AU250" s="424"/>
    </row>
    <row r="251" spans="1:47" ht="16.5" customHeight="1" x14ac:dyDescent="0.15">
      <c r="A251" s="58">
        <f>中間シート!AI653</f>
        <v>9999</v>
      </c>
      <c r="B251" s="58" t="str">
        <f>中間シート!AK653</f>
        <v>事業場99</v>
      </c>
      <c r="C251" s="58" t="e">
        <f>中間シート!AJ653</f>
        <v>#N/A</v>
      </c>
      <c r="D251" s="58" t="str">
        <f>VLOOKUP($A251,中間シート!$D$514:$K$663,4)</f>
        <v/>
      </c>
      <c r="E251" s="58" t="str">
        <f>VLOOKUP($A251,中間シート!$D$514:$K$663,5)</f>
        <v/>
      </c>
      <c r="F251" s="58" t="str">
        <f>VLOOKUP($A251,中間シート!$D$514:$K$663,6)</f>
        <v/>
      </c>
      <c r="G251" s="58" t="str">
        <f>VLOOKUP($A251,中間シート!$D$514:$K$663,7)</f>
        <v/>
      </c>
      <c r="H251" s="58" t="str">
        <f>VLOOKUP($A251,中間シート!$D$514:$K$663,8)</f>
        <v/>
      </c>
      <c r="J251" s="412" t="str">
        <f t="shared" si="14"/>
        <v/>
      </c>
      <c r="K251" s="412"/>
      <c r="L251" s="412"/>
      <c r="M251" s="412"/>
      <c r="N251" s="422" t="str">
        <f>IF($A251&lt;&gt;9999,IF($C251=2,VLOOKUP($A251,中間シート!$D$514:$T$663,14,FALSE),VLOOKUP($A251,中間シート!$D$514:$T$663,9,FALSE)),"")</f>
        <v/>
      </c>
      <c r="O251" s="423"/>
      <c r="P251" s="423"/>
      <c r="Q251" s="423"/>
      <c r="R251" s="423"/>
      <c r="S251" s="423"/>
      <c r="T251" s="424"/>
      <c r="U251" s="422" t="str">
        <f t="shared" si="11"/>
        <v/>
      </c>
      <c r="V251" s="424"/>
      <c r="W251" s="422" t="str">
        <f>IF($A251&lt;&gt;9999,IF($C251=2,VLOOKUP($A251,中間シート!$D$514:$T$663,15,FALSE),VLOOKUP($A251,中間シート!$D$514:$T$663,10,FALSE)),"")</f>
        <v/>
      </c>
      <c r="X251" s="423"/>
      <c r="Y251" s="423"/>
      <c r="Z251" s="423"/>
      <c r="AA251" s="423"/>
      <c r="AB251" s="423"/>
      <c r="AC251" s="424"/>
      <c r="AD251" s="422" t="str">
        <f t="shared" si="12"/>
        <v/>
      </c>
      <c r="AE251" s="424"/>
      <c r="AF251" s="422" t="str">
        <f>IF($A251&lt;&gt;9999,IF($C251=2,VLOOKUP($A251,中間シート!$D$514:$T$663,16,FALSE),VLOOKUP($A251,中間シート!$D$514:$T$663,11,FALSE)),"")</f>
        <v/>
      </c>
      <c r="AG251" s="423"/>
      <c r="AH251" s="423"/>
      <c r="AI251" s="423"/>
      <c r="AJ251" s="423"/>
      <c r="AK251" s="424"/>
      <c r="AL251" s="422" t="str">
        <f t="shared" si="13"/>
        <v/>
      </c>
      <c r="AM251" s="424"/>
      <c r="AN251" s="422" t="str">
        <f>IF($A251&lt;&gt;9999,IF($C251=2,VLOOKUP($A251,中間シート!$D$514:$T$663,17,FALSE),VLOOKUP($A251,中間シート!$D$514:$T$663,12,FALSE)),"")</f>
        <v/>
      </c>
      <c r="AO251" s="423"/>
      <c r="AP251" s="423"/>
      <c r="AQ251" s="423"/>
      <c r="AR251" s="423"/>
      <c r="AS251" s="424"/>
      <c r="AT251" s="422" t="str">
        <f t="shared" si="15"/>
        <v/>
      </c>
      <c r="AU251" s="424"/>
    </row>
    <row r="252" spans="1:47" ht="16.5" customHeight="1" x14ac:dyDescent="0.15">
      <c r="A252" s="58">
        <f>中間シート!AI654</f>
        <v>9999</v>
      </c>
      <c r="B252" s="58" t="str">
        <f>中間シート!AK654</f>
        <v>事業場99</v>
      </c>
      <c r="C252" s="58" t="e">
        <f>中間シート!AJ654</f>
        <v>#N/A</v>
      </c>
      <c r="D252" s="58" t="str">
        <f>VLOOKUP($A252,中間シート!$D$514:$K$663,4)</f>
        <v/>
      </c>
      <c r="E252" s="58" t="str">
        <f>VLOOKUP($A252,中間シート!$D$514:$K$663,5)</f>
        <v/>
      </c>
      <c r="F252" s="58" t="str">
        <f>VLOOKUP($A252,中間シート!$D$514:$K$663,6)</f>
        <v/>
      </c>
      <c r="G252" s="58" t="str">
        <f>VLOOKUP($A252,中間シート!$D$514:$K$663,7)</f>
        <v/>
      </c>
      <c r="H252" s="58" t="str">
        <f>VLOOKUP($A252,中間シート!$D$514:$K$663,8)</f>
        <v/>
      </c>
      <c r="J252" s="412" t="str">
        <f t="shared" si="14"/>
        <v/>
      </c>
      <c r="K252" s="412"/>
      <c r="L252" s="412"/>
      <c r="M252" s="412"/>
      <c r="N252" s="422" t="str">
        <f>IF($A252&lt;&gt;9999,IF($C252=2,VLOOKUP($A252,中間シート!$D$514:$T$663,14,FALSE),VLOOKUP($A252,中間シート!$D$514:$T$663,9,FALSE)),"")</f>
        <v/>
      </c>
      <c r="O252" s="423"/>
      <c r="P252" s="423"/>
      <c r="Q252" s="423"/>
      <c r="R252" s="423"/>
      <c r="S252" s="423"/>
      <c r="T252" s="424"/>
      <c r="U252" s="422" t="str">
        <f t="shared" si="11"/>
        <v/>
      </c>
      <c r="V252" s="424"/>
      <c r="W252" s="422" t="str">
        <f>IF($A252&lt;&gt;9999,IF($C252=2,VLOOKUP($A252,中間シート!$D$514:$T$663,15,FALSE),VLOOKUP($A252,中間シート!$D$514:$T$663,10,FALSE)),"")</f>
        <v/>
      </c>
      <c r="X252" s="423"/>
      <c r="Y252" s="423"/>
      <c r="Z252" s="423"/>
      <c r="AA252" s="423"/>
      <c r="AB252" s="423"/>
      <c r="AC252" s="424"/>
      <c r="AD252" s="422" t="str">
        <f t="shared" si="12"/>
        <v/>
      </c>
      <c r="AE252" s="424"/>
      <c r="AF252" s="422" t="str">
        <f>IF($A252&lt;&gt;9999,IF($C252=2,VLOOKUP($A252,中間シート!$D$514:$T$663,16,FALSE),VLOOKUP($A252,中間シート!$D$514:$T$663,11,FALSE)),"")</f>
        <v/>
      </c>
      <c r="AG252" s="423"/>
      <c r="AH252" s="423"/>
      <c r="AI252" s="423"/>
      <c r="AJ252" s="423"/>
      <c r="AK252" s="424"/>
      <c r="AL252" s="422" t="str">
        <f t="shared" si="13"/>
        <v/>
      </c>
      <c r="AM252" s="424"/>
      <c r="AN252" s="422" t="str">
        <f>IF($A252&lt;&gt;9999,IF($C252=2,VLOOKUP($A252,中間シート!$D$514:$T$663,17,FALSE),VLOOKUP($A252,中間シート!$D$514:$T$663,12,FALSE)),"")</f>
        <v/>
      </c>
      <c r="AO252" s="423"/>
      <c r="AP252" s="423"/>
      <c r="AQ252" s="423"/>
      <c r="AR252" s="423"/>
      <c r="AS252" s="424"/>
      <c r="AT252" s="422" t="str">
        <f t="shared" si="15"/>
        <v/>
      </c>
      <c r="AU252" s="424"/>
    </row>
    <row r="253" spans="1:47" ht="16.5" customHeight="1" x14ac:dyDescent="0.15">
      <c r="A253" s="58">
        <f>中間シート!AI655</f>
        <v>9999</v>
      </c>
      <c r="B253" s="58" t="str">
        <f>中間シート!AK655</f>
        <v>事業場99</v>
      </c>
      <c r="C253" s="58" t="e">
        <f>中間シート!AJ655</f>
        <v>#N/A</v>
      </c>
      <c r="D253" s="58" t="str">
        <f>VLOOKUP($A253,中間シート!$D$514:$K$663,4)</f>
        <v/>
      </c>
      <c r="E253" s="58" t="str">
        <f>VLOOKUP($A253,中間シート!$D$514:$K$663,5)</f>
        <v/>
      </c>
      <c r="F253" s="58" t="str">
        <f>VLOOKUP($A253,中間シート!$D$514:$K$663,6)</f>
        <v/>
      </c>
      <c r="G253" s="58" t="str">
        <f>VLOOKUP($A253,中間シート!$D$514:$K$663,7)</f>
        <v/>
      </c>
      <c r="H253" s="58" t="str">
        <f>VLOOKUP($A253,中間シート!$D$514:$K$663,8)</f>
        <v/>
      </c>
      <c r="J253" s="412" t="str">
        <f t="shared" si="14"/>
        <v/>
      </c>
      <c r="K253" s="412"/>
      <c r="L253" s="412"/>
      <c r="M253" s="412"/>
      <c r="N253" s="422" t="str">
        <f>IF($A253&lt;&gt;9999,IF($C253=2,VLOOKUP($A253,中間シート!$D$514:$T$663,14,FALSE),VLOOKUP($A253,中間シート!$D$514:$T$663,9,FALSE)),"")</f>
        <v/>
      </c>
      <c r="O253" s="423"/>
      <c r="P253" s="423"/>
      <c r="Q253" s="423"/>
      <c r="R253" s="423"/>
      <c r="S253" s="423"/>
      <c r="T253" s="424"/>
      <c r="U253" s="422" t="str">
        <f t="shared" si="11"/>
        <v/>
      </c>
      <c r="V253" s="424"/>
      <c r="W253" s="422" t="str">
        <f>IF($A253&lt;&gt;9999,IF($C253=2,VLOOKUP($A253,中間シート!$D$514:$T$663,15,FALSE),VLOOKUP($A253,中間シート!$D$514:$T$663,10,FALSE)),"")</f>
        <v/>
      </c>
      <c r="X253" s="423"/>
      <c r="Y253" s="423"/>
      <c r="Z253" s="423"/>
      <c r="AA253" s="423"/>
      <c r="AB253" s="423"/>
      <c r="AC253" s="424"/>
      <c r="AD253" s="422" t="str">
        <f t="shared" si="12"/>
        <v/>
      </c>
      <c r="AE253" s="424"/>
      <c r="AF253" s="422" t="str">
        <f>IF($A253&lt;&gt;9999,IF($C253=2,VLOOKUP($A253,中間シート!$D$514:$T$663,16,FALSE),VLOOKUP($A253,中間シート!$D$514:$T$663,11,FALSE)),"")</f>
        <v/>
      </c>
      <c r="AG253" s="423"/>
      <c r="AH253" s="423"/>
      <c r="AI253" s="423"/>
      <c r="AJ253" s="423"/>
      <c r="AK253" s="424"/>
      <c r="AL253" s="422" t="str">
        <f t="shared" si="13"/>
        <v/>
      </c>
      <c r="AM253" s="424"/>
      <c r="AN253" s="422" t="str">
        <f>IF($A253&lt;&gt;9999,IF($C253=2,VLOOKUP($A253,中間シート!$D$514:$T$663,17,FALSE),VLOOKUP($A253,中間シート!$D$514:$T$663,12,FALSE)),"")</f>
        <v/>
      </c>
      <c r="AO253" s="423"/>
      <c r="AP253" s="423"/>
      <c r="AQ253" s="423"/>
      <c r="AR253" s="423"/>
      <c r="AS253" s="424"/>
      <c r="AT253" s="422" t="str">
        <f t="shared" si="15"/>
        <v/>
      </c>
      <c r="AU253" s="424"/>
    </row>
    <row r="254" spans="1:47" ht="16.5" customHeight="1" x14ac:dyDescent="0.15">
      <c r="A254" s="58">
        <f>中間シート!AI656</f>
        <v>9999</v>
      </c>
      <c r="B254" s="58" t="str">
        <f>中間シート!AK656</f>
        <v>事業場99</v>
      </c>
      <c r="C254" s="58" t="e">
        <f>中間シート!AJ656</f>
        <v>#N/A</v>
      </c>
      <c r="D254" s="58" t="str">
        <f>VLOOKUP($A254,中間シート!$D$514:$K$663,4)</f>
        <v/>
      </c>
      <c r="E254" s="58" t="str">
        <f>VLOOKUP($A254,中間シート!$D$514:$K$663,5)</f>
        <v/>
      </c>
      <c r="F254" s="58" t="str">
        <f>VLOOKUP($A254,中間シート!$D$514:$K$663,6)</f>
        <v/>
      </c>
      <c r="G254" s="58" t="str">
        <f>VLOOKUP($A254,中間シート!$D$514:$K$663,7)</f>
        <v/>
      </c>
      <c r="H254" s="58" t="str">
        <f>VLOOKUP($A254,中間シート!$D$514:$K$663,8)</f>
        <v/>
      </c>
      <c r="J254" s="412" t="str">
        <f t="shared" si="14"/>
        <v/>
      </c>
      <c r="K254" s="412"/>
      <c r="L254" s="412"/>
      <c r="M254" s="412"/>
      <c r="N254" s="422" t="str">
        <f>IF($A254&lt;&gt;9999,IF($C254=2,VLOOKUP($A254,中間シート!$D$514:$T$663,14,FALSE),VLOOKUP($A254,中間シート!$D$514:$T$663,9,FALSE)),"")</f>
        <v/>
      </c>
      <c r="O254" s="423"/>
      <c r="P254" s="423"/>
      <c r="Q254" s="423"/>
      <c r="R254" s="423"/>
      <c r="S254" s="423"/>
      <c r="T254" s="424"/>
      <c r="U254" s="422" t="str">
        <f t="shared" si="11"/>
        <v/>
      </c>
      <c r="V254" s="424"/>
      <c r="W254" s="422" t="str">
        <f>IF($A254&lt;&gt;9999,IF($C254=2,VLOOKUP($A254,中間シート!$D$514:$T$663,15,FALSE),VLOOKUP($A254,中間シート!$D$514:$T$663,10,FALSE)),"")</f>
        <v/>
      </c>
      <c r="X254" s="423"/>
      <c r="Y254" s="423"/>
      <c r="Z254" s="423"/>
      <c r="AA254" s="423"/>
      <c r="AB254" s="423"/>
      <c r="AC254" s="424"/>
      <c r="AD254" s="422" t="str">
        <f t="shared" si="12"/>
        <v/>
      </c>
      <c r="AE254" s="424"/>
      <c r="AF254" s="422" t="str">
        <f>IF($A254&lt;&gt;9999,IF($C254=2,VLOOKUP($A254,中間シート!$D$514:$T$663,16,FALSE),VLOOKUP($A254,中間シート!$D$514:$T$663,11,FALSE)),"")</f>
        <v/>
      </c>
      <c r="AG254" s="423"/>
      <c r="AH254" s="423"/>
      <c r="AI254" s="423"/>
      <c r="AJ254" s="423"/>
      <c r="AK254" s="424"/>
      <c r="AL254" s="422" t="str">
        <f t="shared" si="13"/>
        <v/>
      </c>
      <c r="AM254" s="424"/>
      <c r="AN254" s="422" t="str">
        <f>IF($A254&lt;&gt;9999,IF($C254=2,VLOOKUP($A254,中間シート!$D$514:$T$663,17,FALSE),VLOOKUP($A254,中間シート!$D$514:$T$663,12,FALSE)),"")</f>
        <v/>
      </c>
      <c r="AO254" s="423"/>
      <c r="AP254" s="423"/>
      <c r="AQ254" s="423"/>
      <c r="AR254" s="423"/>
      <c r="AS254" s="424"/>
      <c r="AT254" s="422" t="str">
        <f t="shared" si="15"/>
        <v/>
      </c>
      <c r="AU254" s="424"/>
    </row>
    <row r="255" spans="1:47" ht="16.5" customHeight="1" x14ac:dyDescent="0.15">
      <c r="A255" s="58">
        <f>中間シート!AI657</f>
        <v>9999</v>
      </c>
      <c r="B255" s="58" t="str">
        <f>中間シート!AK657</f>
        <v>事業場99</v>
      </c>
      <c r="C255" s="58" t="e">
        <f>中間シート!AJ657</f>
        <v>#N/A</v>
      </c>
      <c r="D255" s="58" t="str">
        <f>VLOOKUP($A255,中間シート!$D$514:$K$663,4)</f>
        <v/>
      </c>
      <c r="E255" s="58" t="str">
        <f>VLOOKUP($A255,中間シート!$D$514:$K$663,5)</f>
        <v/>
      </c>
      <c r="F255" s="58" t="str">
        <f>VLOOKUP($A255,中間シート!$D$514:$K$663,6)</f>
        <v/>
      </c>
      <c r="G255" s="58" t="str">
        <f>VLOOKUP($A255,中間シート!$D$514:$K$663,7)</f>
        <v/>
      </c>
      <c r="H255" s="58" t="str">
        <f>VLOOKUP($A255,中間シート!$D$514:$K$663,8)</f>
        <v/>
      </c>
      <c r="J255" s="412" t="str">
        <f t="shared" si="14"/>
        <v/>
      </c>
      <c r="K255" s="412"/>
      <c r="L255" s="412"/>
      <c r="M255" s="412"/>
      <c r="N255" s="422" t="str">
        <f>IF($A255&lt;&gt;9999,IF($C255=2,VLOOKUP($A255,中間シート!$D$514:$T$663,14,FALSE),VLOOKUP($A255,中間シート!$D$514:$T$663,9,FALSE)),"")</f>
        <v/>
      </c>
      <c r="O255" s="423"/>
      <c r="P255" s="423"/>
      <c r="Q255" s="423"/>
      <c r="R255" s="423"/>
      <c r="S255" s="423"/>
      <c r="T255" s="424"/>
      <c r="U255" s="422" t="str">
        <f t="shared" si="11"/>
        <v/>
      </c>
      <c r="V255" s="424"/>
      <c r="W255" s="422" t="str">
        <f>IF($A255&lt;&gt;9999,IF($C255=2,VLOOKUP($A255,中間シート!$D$514:$T$663,15,FALSE),VLOOKUP($A255,中間シート!$D$514:$T$663,10,FALSE)),"")</f>
        <v/>
      </c>
      <c r="X255" s="423"/>
      <c r="Y255" s="423"/>
      <c r="Z255" s="423"/>
      <c r="AA255" s="423"/>
      <c r="AB255" s="423"/>
      <c r="AC255" s="424"/>
      <c r="AD255" s="422" t="str">
        <f t="shared" si="12"/>
        <v/>
      </c>
      <c r="AE255" s="424"/>
      <c r="AF255" s="422" t="str">
        <f>IF($A255&lt;&gt;9999,IF($C255=2,VLOOKUP($A255,中間シート!$D$514:$T$663,16,FALSE),VLOOKUP($A255,中間シート!$D$514:$T$663,11,FALSE)),"")</f>
        <v/>
      </c>
      <c r="AG255" s="423"/>
      <c r="AH255" s="423"/>
      <c r="AI255" s="423"/>
      <c r="AJ255" s="423"/>
      <c r="AK255" s="424"/>
      <c r="AL255" s="422" t="str">
        <f t="shared" si="13"/>
        <v/>
      </c>
      <c r="AM255" s="424"/>
      <c r="AN255" s="422" t="str">
        <f>IF($A255&lt;&gt;9999,IF($C255=2,VLOOKUP($A255,中間シート!$D$514:$T$663,17,FALSE),VLOOKUP($A255,中間シート!$D$514:$T$663,12,FALSE)),"")</f>
        <v/>
      </c>
      <c r="AO255" s="423"/>
      <c r="AP255" s="423"/>
      <c r="AQ255" s="423"/>
      <c r="AR255" s="423"/>
      <c r="AS255" s="424"/>
      <c r="AT255" s="422" t="str">
        <f t="shared" si="15"/>
        <v/>
      </c>
      <c r="AU255" s="424"/>
    </row>
    <row r="256" spans="1:47" ht="16.5" customHeight="1" x14ac:dyDescent="0.15">
      <c r="A256" s="58">
        <f>中間シート!AI658</f>
        <v>9999</v>
      </c>
      <c r="B256" s="58" t="str">
        <f>中間シート!AK658</f>
        <v>事業場99</v>
      </c>
      <c r="C256" s="58" t="e">
        <f>中間シート!AJ658</f>
        <v>#N/A</v>
      </c>
      <c r="D256" s="58" t="str">
        <f>VLOOKUP($A256,中間シート!$D$514:$K$663,4)</f>
        <v/>
      </c>
      <c r="E256" s="58" t="str">
        <f>VLOOKUP($A256,中間シート!$D$514:$K$663,5)</f>
        <v/>
      </c>
      <c r="F256" s="58" t="str">
        <f>VLOOKUP($A256,中間シート!$D$514:$K$663,6)</f>
        <v/>
      </c>
      <c r="G256" s="58" t="str">
        <f>VLOOKUP($A256,中間シート!$D$514:$K$663,7)</f>
        <v/>
      </c>
      <c r="H256" s="58" t="str">
        <f>VLOOKUP($A256,中間シート!$D$514:$K$663,8)</f>
        <v/>
      </c>
      <c r="J256" s="412" t="str">
        <f t="shared" si="14"/>
        <v/>
      </c>
      <c r="K256" s="412"/>
      <c r="L256" s="412"/>
      <c r="M256" s="412"/>
      <c r="N256" s="422" t="str">
        <f>IF($A256&lt;&gt;9999,IF($C256=2,VLOOKUP($A256,中間シート!$D$514:$T$663,14,FALSE),VLOOKUP($A256,中間シート!$D$514:$T$663,9,FALSE)),"")</f>
        <v/>
      </c>
      <c r="O256" s="423"/>
      <c r="P256" s="423"/>
      <c r="Q256" s="423"/>
      <c r="R256" s="423"/>
      <c r="S256" s="423"/>
      <c r="T256" s="424"/>
      <c r="U256" s="422" t="str">
        <f t="shared" si="11"/>
        <v/>
      </c>
      <c r="V256" s="424"/>
      <c r="W256" s="422" t="str">
        <f>IF($A256&lt;&gt;9999,IF($C256=2,VLOOKUP($A256,中間シート!$D$514:$T$663,15,FALSE),VLOOKUP($A256,中間シート!$D$514:$T$663,10,FALSE)),"")</f>
        <v/>
      </c>
      <c r="X256" s="423"/>
      <c r="Y256" s="423"/>
      <c r="Z256" s="423"/>
      <c r="AA256" s="423"/>
      <c r="AB256" s="423"/>
      <c r="AC256" s="424"/>
      <c r="AD256" s="422" t="str">
        <f t="shared" si="12"/>
        <v/>
      </c>
      <c r="AE256" s="424"/>
      <c r="AF256" s="422" t="str">
        <f>IF($A256&lt;&gt;9999,IF($C256=2,VLOOKUP($A256,中間シート!$D$514:$T$663,16,FALSE),VLOOKUP($A256,中間シート!$D$514:$T$663,11,FALSE)),"")</f>
        <v/>
      </c>
      <c r="AG256" s="423"/>
      <c r="AH256" s="423"/>
      <c r="AI256" s="423"/>
      <c r="AJ256" s="423"/>
      <c r="AK256" s="424"/>
      <c r="AL256" s="422" t="str">
        <f t="shared" si="13"/>
        <v/>
      </c>
      <c r="AM256" s="424"/>
      <c r="AN256" s="422" t="str">
        <f>IF($A256&lt;&gt;9999,IF($C256=2,VLOOKUP($A256,中間シート!$D$514:$T$663,17,FALSE),VLOOKUP($A256,中間シート!$D$514:$T$663,12,FALSE)),"")</f>
        <v/>
      </c>
      <c r="AO256" s="423"/>
      <c r="AP256" s="423"/>
      <c r="AQ256" s="423"/>
      <c r="AR256" s="423"/>
      <c r="AS256" s="424"/>
      <c r="AT256" s="422" t="str">
        <f t="shared" si="15"/>
        <v/>
      </c>
      <c r="AU256" s="424"/>
    </row>
    <row r="257" spans="1:47" ht="16.5" customHeight="1" x14ac:dyDescent="0.15">
      <c r="A257" s="58">
        <f>中間シート!AI659</f>
        <v>9999</v>
      </c>
      <c r="B257" s="58" t="str">
        <f>中間シート!AK659</f>
        <v>事業場99</v>
      </c>
      <c r="C257" s="58" t="e">
        <f>中間シート!AJ659</f>
        <v>#N/A</v>
      </c>
      <c r="D257" s="58" t="str">
        <f>VLOOKUP($A257,中間シート!$D$514:$K$663,4)</f>
        <v/>
      </c>
      <c r="E257" s="58" t="str">
        <f>VLOOKUP($A257,中間シート!$D$514:$K$663,5)</f>
        <v/>
      </c>
      <c r="F257" s="58" t="str">
        <f>VLOOKUP($A257,中間シート!$D$514:$K$663,6)</f>
        <v/>
      </c>
      <c r="G257" s="58" t="str">
        <f>VLOOKUP($A257,中間シート!$D$514:$K$663,7)</f>
        <v/>
      </c>
      <c r="H257" s="58" t="str">
        <f>VLOOKUP($A257,中間シート!$D$514:$K$663,8)</f>
        <v/>
      </c>
      <c r="J257" s="412" t="str">
        <f t="shared" si="14"/>
        <v/>
      </c>
      <c r="K257" s="412"/>
      <c r="L257" s="412"/>
      <c r="M257" s="412"/>
      <c r="N257" s="422" t="str">
        <f>IF($A257&lt;&gt;9999,IF($C257=2,VLOOKUP($A257,中間シート!$D$514:$T$663,14,FALSE),VLOOKUP($A257,中間シート!$D$514:$T$663,9,FALSE)),"")</f>
        <v/>
      </c>
      <c r="O257" s="423"/>
      <c r="P257" s="423"/>
      <c r="Q257" s="423"/>
      <c r="R257" s="423"/>
      <c r="S257" s="423"/>
      <c r="T257" s="424"/>
      <c r="U257" s="422" t="str">
        <f t="shared" si="11"/>
        <v/>
      </c>
      <c r="V257" s="424"/>
      <c r="W257" s="422" t="str">
        <f>IF($A257&lt;&gt;9999,IF($C257=2,VLOOKUP($A257,中間シート!$D$514:$T$663,15,FALSE),VLOOKUP($A257,中間シート!$D$514:$T$663,10,FALSE)),"")</f>
        <v/>
      </c>
      <c r="X257" s="423"/>
      <c r="Y257" s="423"/>
      <c r="Z257" s="423"/>
      <c r="AA257" s="423"/>
      <c r="AB257" s="423"/>
      <c r="AC257" s="424"/>
      <c r="AD257" s="422" t="str">
        <f t="shared" si="12"/>
        <v/>
      </c>
      <c r="AE257" s="424"/>
      <c r="AF257" s="422" t="str">
        <f>IF($A257&lt;&gt;9999,IF($C257=2,VLOOKUP($A257,中間シート!$D$514:$T$663,16,FALSE),VLOOKUP($A257,中間シート!$D$514:$T$663,11,FALSE)),"")</f>
        <v/>
      </c>
      <c r="AG257" s="423"/>
      <c r="AH257" s="423"/>
      <c r="AI257" s="423"/>
      <c r="AJ257" s="423"/>
      <c r="AK257" s="424"/>
      <c r="AL257" s="422" t="str">
        <f t="shared" si="13"/>
        <v/>
      </c>
      <c r="AM257" s="424"/>
      <c r="AN257" s="422" t="str">
        <f>IF($A257&lt;&gt;9999,IF($C257=2,VLOOKUP($A257,中間シート!$D$514:$T$663,17,FALSE),VLOOKUP($A257,中間シート!$D$514:$T$663,12,FALSE)),"")</f>
        <v/>
      </c>
      <c r="AO257" s="423"/>
      <c r="AP257" s="423"/>
      <c r="AQ257" s="423"/>
      <c r="AR257" s="423"/>
      <c r="AS257" s="424"/>
      <c r="AT257" s="422" t="str">
        <f t="shared" si="15"/>
        <v/>
      </c>
      <c r="AU257" s="424"/>
    </row>
    <row r="258" spans="1:47" ht="16.5" customHeight="1" x14ac:dyDescent="0.15">
      <c r="A258" s="58">
        <f>中間シート!AI660</f>
        <v>9999</v>
      </c>
      <c r="B258" s="58" t="str">
        <f>中間シート!AK660</f>
        <v>事業場99</v>
      </c>
      <c r="C258" s="58" t="e">
        <f>中間シート!AJ660</f>
        <v>#N/A</v>
      </c>
      <c r="D258" s="58" t="str">
        <f>VLOOKUP($A258,中間シート!$D$514:$K$663,4)</f>
        <v/>
      </c>
      <c r="E258" s="58" t="str">
        <f>VLOOKUP($A258,中間シート!$D$514:$K$663,5)</f>
        <v/>
      </c>
      <c r="F258" s="58" t="str">
        <f>VLOOKUP($A258,中間シート!$D$514:$K$663,6)</f>
        <v/>
      </c>
      <c r="G258" s="58" t="str">
        <f>VLOOKUP($A258,中間シート!$D$514:$K$663,7)</f>
        <v/>
      </c>
      <c r="H258" s="58" t="str">
        <f>VLOOKUP($A258,中間シート!$D$514:$K$663,8)</f>
        <v/>
      </c>
      <c r="J258" s="412" t="str">
        <f t="shared" si="14"/>
        <v/>
      </c>
      <c r="K258" s="412"/>
      <c r="L258" s="412"/>
      <c r="M258" s="412"/>
      <c r="N258" s="422" t="str">
        <f>IF($A258&lt;&gt;9999,IF($C258=2,VLOOKUP($A258,中間シート!$D$514:$T$663,14,FALSE),VLOOKUP($A258,中間シート!$D$514:$T$663,9,FALSE)),"")</f>
        <v/>
      </c>
      <c r="O258" s="423"/>
      <c r="P258" s="423"/>
      <c r="Q258" s="423"/>
      <c r="R258" s="423"/>
      <c r="S258" s="423"/>
      <c r="T258" s="424"/>
      <c r="U258" s="422" t="str">
        <f t="shared" si="11"/>
        <v/>
      </c>
      <c r="V258" s="424"/>
      <c r="W258" s="422" t="str">
        <f>IF($A258&lt;&gt;9999,IF($C258=2,VLOOKUP($A258,中間シート!$D$514:$T$663,15,FALSE),VLOOKUP($A258,中間シート!$D$514:$T$663,10,FALSE)),"")</f>
        <v/>
      </c>
      <c r="X258" s="423"/>
      <c r="Y258" s="423"/>
      <c r="Z258" s="423"/>
      <c r="AA258" s="423"/>
      <c r="AB258" s="423"/>
      <c r="AC258" s="424"/>
      <c r="AD258" s="422" t="str">
        <f t="shared" si="12"/>
        <v/>
      </c>
      <c r="AE258" s="424"/>
      <c r="AF258" s="422" t="str">
        <f>IF($A258&lt;&gt;9999,IF($C258=2,VLOOKUP($A258,中間シート!$D$514:$T$663,16,FALSE),VLOOKUP($A258,中間シート!$D$514:$T$663,11,FALSE)),"")</f>
        <v/>
      </c>
      <c r="AG258" s="423"/>
      <c r="AH258" s="423"/>
      <c r="AI258" s="423"/>
      <c r="AJ258" s="423"/>
      <c r="AK258" s="424"/>
      <c r="AL258" s="422" t="str">
        <f t="shared" si="13"/>
        <v/>
      </c>
      <c r="AM258" s="424"/>
      <c r="AN258" s="422" t="str">
        <f>IF($A258&lt;&gt;9999,IF($C258=2,VLOOKUP($A258,中間シート!$D$514:$T$663,17,FALSE),VLOOKUP($A258,中間シート!$D$514:$T$663,12,FALSE)),"")</f>
        <v/>
      </c>
      <c r="AO258" s="423"/>
      <c r="AP258" s="423"/>
      <c r="AQ258" s="423"/>
      <c r="AR258" s="423"/>
      <c r="AS258" s="424"/>
      <c r="AT258" s="422" t="str">
        <f t="shared" si="15"/>
        <v/>
      </c>
      <c r="AU258" s="424"/>
    </row>
    <row r="259" spans="1:47" ht="16.5" customHeight="1" x14ac:dyDescent="0.15">
      <c r="A259" s="58">
        <f>中間シート!AI661</f>
        <v>9999</v>
      </c>
      <c r="B259" s="58" t="str">
        <f>中間シート!AK661</f>
        <v>事業場99</v>
      </c>
      <c r="C259" s="58" t="e">
        <f>中間シート!AJ661</f>
        <v>#N/A</v>
      </c>
      <c r="D259" s="58" t="str">
        <f>VLOOKUP($A259,中間シート!$D$514:$K$663,4)</f>
        <v/>
      </c>
      <c r="E259" s="58" t="str">
        <f>VLOOKUP($A259,中間シート!$D$514:$K$663,5)</f>
        <v/>
      </c>
      <c r="F259" s="58" t="str">
        <f>VLOOKUP($A259,中間シート!$D$514:$K$663,6)</f>
        <v/>
      </c>
      <c r="G259" s="58" t="str">
        <f>VLOOKUP($A259,中間シート!$D$514:$K$663,7)</f>
        <v/>
      </c>
      <c r="H259" s="58" t="str">
        <f>VLOOKUP($A259,中間シート!$D$514:$K$663,8)</f>
        <v/>
      </c>
      <c r="J259" s="412" t="str">
        <f t="shared" si="14"/>
        <v/>
      </c>
      <c r="K259" s="412"/>
      <c r="L259" s="412"/>
      <c r="M259" s="412"/>
      <c r="N259" s="422" t="str">
        <f>IF($A259&lt;&gt;9999,IF($C259=2,VLOOKUP($A259,中間シート!$D$514:$T$663,14,FALSE),VLOOKUP($A259,中間シート!$D$514:$T$663,9,FALSE)),"")</f>
        <v/>
      </c>
      <c r="O259" s="423"/>
      <c r="P259" s="423"/>
      <c r="Q259" s="423"/>
      <c r="R259" s="423"/>
      <c r="S259" s="423"/>
      <c r="T259" s="424"/>
      <c r="U259" s="422" t="str">
        <f t="shared" si="11"/>
        <v/>
      </c>
      <c r="V259" s="424"/>
      <c r="W259" s="422" t="str">
        <f>IF($A259&lt;&gt;9999,IF($C259=2,VLOOKUP($A259,中間シート!$D$514:$T$663,15,FALSE),VLOOKUP($A259,中間シート!$D$514:$T$663,10,FALSE)),"")</f>
        <v/>
      </c>
      <c r="X259" s="423"/>
      <c r="Y259" s="423"/>
      <c r="Z259" s="423"/>
      <c r="AA259" s="423"/>
      <c r="AB259" s="423"/>
      <c r="AC259" s="424"/>
      <c r="AD259" s="422" t="str">
        <f t="shared" si="12"/>
        <v/>
      </c>
      <c r="AE259" s="424"/>
      <c r="AF259" s="422" t="str">
        <f>IF($A259&lt;&gt;9999,IF($C259=2,VLOOKUP($A259,中間シート!$D$514:$T$663,16,FALSE),VLOOKUP($A259,中間シート!$D$514:$T$663,11,FALSE)),"")</f>
        <v/>
      </c>
      <c r="AG259" s="423"/>
      <c r="AH259" s="423"/>
      <c r="AI259" s="423"/>
      <c r="AJ259" s="423"/>
      <c r="AK259" s="424"/>
      <c r="AL259" s="422" t="str">
        <f t="shared" si="13"/>
        <v/>
      </c>
      <c r="AM259" s="424"/>
      <c r="AN259" s="422" t="str">
        <f>IF($A259&lt;&gt;9999,IF($C259=2,VLOOKUP($A259,中間シート!$D$514:$T$663,17,FALSE),VLOOKUP($A259,中間シート!$D$514:$T$663,12,FALSE)),"")</f>
        <v/>
      </c>
      <c r="AO259" s="423"/>
      <c r="AP259" s="423"/>
      <c r="AQ259" s="423"/>
      <c r="AR259" s="423"/>
      <c r="AS259" s="424"/>
      <c r="AT259" s="422" t="str">
        <f t="shared" si="15"/>
        <v/>
      </c>
      <c r="AU259" s="424"/>
    </row>
    <row r="260" spans="1:47" ht="16.5" customHeight="1" x14ac:dyDescent="0.15">
      <c r="A260" s="58">
        <f>中間シート!AI662</f>
        <v>9999</v>
      </c>
      <c r="B260" s="58" t="str">
        <f>中間シート!AK662</f>
        <v>事業場99</v>
      </c>
      <c r="C260" s="58" t="e">
        <f>中間シート!AJ662</f>
        <v>#N/A</v>
      </c>
      <c r="D260" s="58" t="str">
        <f>VLOOKUP($A260,中間シート!$D$514:$K$663,4)</f>
        <v/>
      </c>
      <c r="E260" s="58" t="str">
        <f>VLOOKUP($A260,中間シート!$D$514:$K$663,5)</f>
        <v/>
      </c>
      <c r="F260" s="58" t="str">
        <f>VLOOKUP($A260,中間シート!$D$514:$K$663,6)</f>
        <v/>
      </c>
      <c r="G260" s="58" t="str">
        <f>VLOOKUP($A260,中間シート!$D$514:$K$663,7)</f>
        <v/>
      </c>
      <c r="H260" s="58" t="str">
        <f>VLOOKUP($A260,中間シート!$D$514:$K$663,8)</f>
        <v/>
      </c>
      <c r="J260" s="412" t="str">
        <f t="shared" si="14"/>
        <v/>
      </c>
      <c r="K260" s="412"/>
      <c r="L260" s="412"/>
      <c r="M260" s="412"/>
      <c r="N260" s="422" t="str">
        <f>IF($A260&lt;&gt;9999,IF($C260=2,VLOOKUP($A260,中間シート!$D$514:$T$663,14,FALSE),VLOOKUP($A260,中間シート!$D$514:$T$663,9,FALSE)),"")</f>
        <v/>
      </c>
      <c r="O260" s="423"/>
      <c r="P260" s="423"/>
      <c r="Q260" s="423"/>
      <c r="R260" s="423"/>
      <c r="S260" s="423"/>
      <c r="T260" s="424"/>
      <c r="U260" s="422" t="str">
        <f t="shared" si="11"/>
        <v/>
      </c>
      <c r="V260" s="424"/>
      <c r="W260" s="422" t="str">
        <f>IF($A260&lt;&gt;9999,IF($C260=2,VLOOKUP($A260,中間シート!$D$514:$T$663,15,FALSE),VLOOKUP($A260,中間シート!$D$514:$T$663,10,FALSE)),"")</f>
        <v/>
      </c>
      <c r="X260" s="423"/>
      <c r="Y260" s="423"/>
      <c r="Z260" s="423"/>
      <c r="AA260" s="423"/>
      <c r="AB260" s="423"/>
      <c r="AC260" s="424"/>
      <c r="AD260" s="422" t="str">
        <f t="shared" si="12"/>
        <v/>
      </c>
      <c r="AE260" s="424"/>
      <c r="AF260" s="422" t="str">
        <f>IF($A260&lt;&gt;9999,IF($C260=2,VLOOKUP($A260,中間シート!$D$514:$T$663,16,FALSE),VLOOKUP($A260,中間シート!$D$514:$T$663,11,FALSE)),"")</f>
        <v/>
      </c>
      <c r="AG260" s="423"/>
      <c r="AH260" s="423"/>
      <c r="AI260" s="423"/>
      <c r="AJ260" s="423"/>
      <c r="AK260" s="424"/>
      <c r="AL260" s="422" t="str">
        <f t="shared" si="13"/>
        <v/>
      </c>
      <c r="AM260" s="424"/>
      <c r="AN260" s="422" t="str">
        <f>IF($A260&lt;&gt;9999,IF($C260=2,VLOOKUP($A260,中間シート!$D$514:$T$663,17,FALSE),VLOOKUP($A260,中間シート!$D$514:$T$663,12,FALSE)),"")</f>
        <v/>
      </c>
      <c r="AO260" s="423"/>
      <c r="AP260" s="423"/>
      <c r="AQ260" s="423"/>
      <c r="AR260" s="423"/>
      <c r="AS260" s="424"/>
      <c r="AT260" s="422" t="str">
        <f t="shared" si="15"/>
        <v/>
      </c>
      <c r="AU260" s="424"/>
    </row>
    <row r="261" spans="1:47" ht="16.5" customHeight="1" x14ac:dyDescent="0.15">
      <c r="A261" s="58">
        <f>中間シート!AI663</f>
        <v>9999</v>
      </c>
      <c r="B261" s="58" t="str">
        <f>中間シート!AK663</f>
        <v>事業場99</v>
      </c>
      <c r="C261" s="58" t="e">
        <f>中間シート!AJ663</f>
        <v>#N/A</v>
      </c>
      <c r="D261" s="58" t="str">
        <f>VLOOKUP($A261,中間シート!$D$514:$K$663,4)</f>
        <v/>
      </c>
      <c r="E261" s="58" t="str">
        <f>VLOOKUP($A261,中間シート!$D$514:$K$663,5)</f>
        <v/>
      </c>
      <c r="F261" s="58" t="str">
        <f>VLOOKUP($A261,中間シート!$D$514:$K$663,6)</f>
        <v/>
      </c>
      <c r="G261" s="58" t="str">
        <f>VLOOKUP($A261,中間シート!$D$514:$K$663,7)</f>
        <v/>
      </c>
      <c r="H261" s="58" t="str">
        <f>VLOOKUP($A261,中間シート!$D$514:$K$663,8)</f>
        <v/>
      </c>
      <c r="J261" s="412" t="str">
        <f t="shared" si="14"/>
        <v/>
      </c>
      <c r="K261" s="412"/>
      <c r="L261" s="412"/>
      <c r="M261" s="412"/>
      <c r="N261" s="422" t="str">
        <f>IF($A261&lt;&gt;9999,IF($C261=2,VLOOKUP($A261,中間シート!$D$514:$T$663,14,FALSE),VLOOKUP($A261,中間シート!$D$514:$T$663,9,FALSE)),"")</f>
        <v/>
      </c>
      <c r="O261" s="423"/>
      <c r="P261" s="423"/>
      <c r="Q261" s="423"/>
      <c r="R261" s="423"/>
      <c r="S261" s="423"/>
      <c r="T261" s="424"/>
      <c r="U261" s="422" t="str">
        <f t="shared" si="11"/>
        <v/>
      </c>
      <c r="V261" s="424"/>
      <c r="W261" s="422" t="str">
        <f>IF($A261&lt;&gt;9999,IF($C261=2,VLOOKUP($A261,中間シート!$D$514:$T$663,15,FALSE),VLOOKUP($A261,中間シート!$D$514:$T$663,10,FALSE)),"")</f>
        <v/>
      </c>
      <c r="X261" s="423"/>
      <c r="Y261" s="423"/>
      <c r="Z261" s="423"/>
      <c r="AA261" s="423"/>
      <c r="AB261" s="423"/>
      <c r="AC261" s="424"/>
      <c r="AD261" s="422" t="str">
        <f t="shared" si="12"/>
        <v/>
      </c>
      <c r="AE261" s="424"/>
      <c r="AF261" s="422" t="str">
        <f>IF($A261&lt;&gt;9999,IF($C261=2,VLOOKUP($A261,中間シート!$D$514:$T$663,16,FALSE),VLOOKUP($A261,中間シート!$D$514:$T$663,11,FALSE)),"")</f>
        <v/>
      </c>
      <c r="AG261" s="423"/>
      <c r="AH261" s="423"/>
      <c r="AI261" s="423"/>
      <c r="AJ261" s="423"/>
      <c r="AK261" s="424"/>
      <c r="AL261" s="422" t="str">
        <f t="shared" si="13"/>
        <v/>
      </c>
      <c r="AM261" s="424"/>
      <c r="AN261" s="422" t="str">
        <f>IF($A261&lt;&gt;9999,IF($C261=2,VLOOKUP($A261,中間シート!$D$514:$T$663,17,FALSE),VLOOKUP($A261,中間シート!$D$514:$T$663,12,FALSE)),"")</f>
        <v/>
      </c>
      <c r="AO261" s="423"/>
      <c r="AP261" s="423"/>
      <c r="AQ261" s="423"/>
      <c r="AR261" s="423"/>
      <c r="AS261" s="424"/>
      <c r="AT261" s="422" t="str">
        <f t="shared" ref="AT261" si="16">IF($A261&lt;&gt;9999,IF($C261=2,"",H261),"")</f>
        <v/>
      </c>
      <c r="AU261" s="424"/>
    </row>
    <row r="262" spans="1:47" ht="16.5" customHeight="1" x14ac:dyDescent="0.15">
      <c r="J262" s="59"/>
      <c r="K262" s="59"/>
      <c r="L262" s="59"/>
      <c r="M262" s="59"/>
      <c r="N262" s="142"/>
      <c r="O262" s="142"/>
      <c r="P262" s="142"/>
      <c r="Q262" s="142"/>
      <c r="R262" s="142"/>
      <c r="S262" s="142"/>
      <c r="T262" s="142"/>
      <c r="U262" s="142"/>
      <c r="V262" s="142"/>
      <c r="W262" s="142"/>
      <c r="X262" s="142"/>
      <c r="Y262" s="142"/>
      <c r="Z262" s="14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row>
    <row r="263" spans="1:47" x14ac:dyDescent="0.15">
      <c r="J263" s="140" t="s">
        <v>284</v>
      </c>
      <c r="K263" s="140"/>
      <c r="L263" s="410" t="s">
        <v>285</v>
      </c>
      <c r="M263" s="410"/>
      <c r="N263" s="410"/>
      <c r="O263" s="410"/>
      <c r="P263" s="410"/>
      <c r="Q263" s="410"/>
      <c r="R263" s="410"/>
      <c r="S263" s="410"/>
      <c r="T263" s="410"/>
      <c r="U263" s="410"/>
      <c r="V263" s="410"/>
      <c r="W263" s="410"/>
      <c r="X263" s="410"/>
      <c r="Y263" s="410"/>
      <c r="Z263" s="410"/>
      <c r="AA263" s="410"/>
      <c r="AB263" s="410"/>
      <c r="AC263" s="410"/>
      <c r="AD263" s="410"/>
      <c r="AE263" s="410"/>
      <c r="AF263" s="410"/>
      <c r="AG263" s="410"/>
      <c r="AH263" s="410"/>
      <c r="AI263" s="410"/>
      <c r="AJ263" s="410"/>
      <c r="AK263" s="410"/>
      <c r="AL263" s="410"/>
      <c r="AM263" s="410"/>
      <c r="AN263" s="410"/>
      <c r="AO263" s="410"/>
      <c r="AP263" s="410"/>
      <c r="AQ263" s="410"/>
      <c r="AR263" s="410"/>
      <c r="AS263" s="410"/>
      <c r="AT263" s="410"/>
      <c r="AU263" s="410"/>
    </row>
    <row r="264" spans="1:47" x14ac:dyDescent="0.15">
      <c r="J264" s="140"/>
      <c r="K264" s="140"/>
      <c r="L264" s="410"/>
      <c r="M264" s="410"/>
      <c r="N264" s="410"/>
      <c r="O264" s="410"/>
      <c r="P264" s="410"/>
      <c r="Q264" s="410"/>
      <c r="R264" s="410"/>
      <c r="S264" s="410"/>
      <c r="T264" s="410"/>
      <c r="U264" s="410"/>
      <c r="V264" s="410"/>
      <c r="W264" s="410"/>
      <c r="X264" s="410"/>
      <c r="Y264" s="410"/>
      <c r="Z264" s="410"/>
      <c r="AA264" s="410"/>
      <c r="AB264" s="410"/>
      <c r="AC264" s="410"/>
      <c r="AD264" s="410"/>
      <c r="AE264" s="410"/>
      <c r="AF264" s="410"/>
      <c r="AG264" s="410"/>
      <c r="AH264" s="410"/>
      <c r="AI264" s="410"/>
      <c r="AJ264" s="410"/>
      <c r="AK264" s="410"/>
      <c r="AL264" s="410"/>
      <c r="AM264" s="410"/>
      <c r="AN264" s="410"/>
      <c r="AO264" s="410"/>
      <c r="AP264" s="410"/>
      <c r="AQ264" s="410"/>
      <c r="AR264" s="410"/>
      <c r="AS264" s="410"/>
      <c r="AT264" s="410"/>
      <c r="AU264" s="410"/>
    </row>
    <row r="266" spans="1:47" x14ac:dyDescent="0.15">
      <c r="J266" s="65" t="s">
        <v>286</v>
      </c>
    </row>
    <row r="267" spans="1:47" ht="13.5" customHeight="1" x14ac:dyDescent="0.15">
      <c r="AU267" s="60" t="s">
        <v>287</v>
      </c>
    </row>
    <row r="268" spans="1:47" ht="30.75" customHeight="1" x14ac:dyDescent="0.15">
      <c r="J268" s="412" t="s">
        <v>288</v>
      </c>
      <c r="K268" s="412"/>
      <c r="L268" s="412"/>
      <c r="M268" s="412"/>
      <c r="N268" s="419" t="s">
        <v>86</v>
      </c>
      <c r="O268" s="412"/>
      <c r="P268" s="412"/>
      <c r="Q268" s="412"/>
      <c r="R268" s="412"/>
      <c r="S268" s="412"/>
      <c r="T268" s="412"/>
      <c r="U268" s="412"/>
      <c r="V268" s="412"/>
      <c r="W268" s="412" t="s">
        <v>289</v>
      </c>
      <c r="X268" s="412"/>
      <c r="Y268" s="412"/>
      <c r="Z268" s="412"/>
      <c r="AA268" s="412"/>
      <c r="AB268" s="412"/>
      <c r="AC268" s="412"/>
      <c r="AD268" s="412"/>
      <c r="AE268" s="412"/>
      <c r="AF268" s="427" t="s">
        <v>91</v>
      </c>
      <c r="AG268" s="428"/>
      <c r="AH268" s="428"/>
      <c r="AI268" s="428"/>
      <c r="AJ268" s="428"/>
      <c r="AK268" s="428"/>
      <c r="AL268" s="429"/>
      <c r="AM268" s="412" t="s">
        <v>92</v>
      </c>
      <c r="AN268" s="412"/>
      <c r="AO268" s="412"/>
      <c r="AP268" s="412"/>
      <c r="AQ268" s="412"/>
      <c r="AR268" s="412"/>
      <c r="AS268" s="412"/>
      <c r="AT268" s="412"/>
      <c r="AU268" s="412"/>
    </row>
    <row r="269" spans="1:47" ht="16.5" customHeight="1" x14ac:dyDescent="0.15">
      <c r="J269" s="412" t="s">
        <v>271</v>
      </c>
      <c r="K269" s="412"/>
      <c r="L269" s="412"/>
      <c r="M269" s="412"/>
      <c r="N269" s="426" t="str">
        <f>IF(中間シート!D820&lt;&gt;0,中間シート!D820,"")</f>
        <v/>
      </c>
      <c r="O269" s="426"/>
      <c r="P269" s="426"/>
      <c r="Q269" s="426"/>
      <c r="R269" s="426"/>
      <c r="S269" s="426"/>
      <c r="T269" s="426"/>
      <c r="U269" s="426"/>
      <c r="V269" s="426"/>
      <c r="W269" s="426" t="str">
        <f>IF(中間シート!G820&lt;&gt;0,中間シート!G820,"")</f>
        <v/>
      </c>
      <c r="X269" s="426"/>
      <c r="Y269" s="426"/>
      <c r="Z269" s="426"/>
      <c r="AA269" s="426"/>
      <c r="AB269" s="426"/>
      <c r="AC269" s="426"/>
      <c r="AD269" s="426"/>
      <c r="AE269" s="426"/>
      <c r="AF269" s="427" t="s">
        <v>290</v>
      </c>
      <c r="AG269" s="428"/>
      <c r="AH269" s="428"/>
      <c r="AI269" s="428"/>
      <c r="AJ269" s="428"/>
      <c r="AK269" s="428"/>
      <c r="AL269" s="429"/>
      <c r="AM269" s="426" t="str">
        <f>IF(中間シート!H820&lt;&gt;0,中間シート!H820,"")</f>
        <v/>
      </c>
      <c r="AN269" s="426"/>
      <c r="AO269" s="426"/>
      <c r="AP269" s="426"/>
      <c r="AQ269" s="426"/>
      <c r="AR269" s="426"/>
      <c r="AS269" s="426"/>
      <c r="AT269" s="426"/>
      <c r="AU269" s="426"/>
    </row>
    <row r="270" spans="1:47" ht="16.5" customHeight="1" x14ac:dyDescent="0.15">
      <c r="J270" s="412" t="s">
        <v>273</v>
      </c>
      <c r="K270" s="412"/>
      <c r="L270" s="412"/>
      <c r="M270" s="412"/>
      <c r="N270" s="426" t="str">
        <f>IF(中間シート!D821&lt;&gt;0,中間シート!D821,"")</f>
        <v/>
      </c>
      <c r="O270" s="426"/>
      <c r="P270" s="426"/>
      <c r="Q270" s="426"/>
      <c r="R270" s="426"/>
      <c r="S270" s="426"/>
      <c r="T270" s="426"/>
      <c r="U270" s="426"/>
      <c r="V270" s="426"/>
      <c r="W270" s="426" t="str">
        <f>IF(中間シート!G821&lt;&gt;0,中間シート!G821,"")</f>
        <v/>
      </c>
      <c r="X270" s="426"/>
      <c r="Y270" s="426"/>
      <c r="Z270" s="426"/>
      <c r="AA270" s="426"/>
      <c r="AB270" s="426"/>
      <c r="AC270" s="426"/>
      <c r="AD270" s="426"/>
      <c r="AE270" s="426"/>
      <c r="AF270" s="427" t="s">
        <v>290</v>
      </c>
      <c r="AG270" s="428"/>
      <c r="AH270" s="428"/>
      <c r="AI270" s="428"/>
      <c r="AJ270" s="428"/>
      <c r="AK270" s="428"/>
      <c r="AL270" s="429"/>
      <c r="AM270" s="426" t="str">
        <f>IF(中間シート!H821&lt;&gt;0,中間シート!H821,"")</f>
        <v/>
      </c>
      <c r="AN270" s="426"/>
      <c r="AO270" s="426"/>
      <c r="AP270" s="426"/>
      <c r="AQ270" s="426"/>
      <c r="AR270" s="426"/>
      <c r="AS270" s="426"/>
      <c r="AT270" s="426"/>
      <c r="AU270" s="426"/>
    </row>
    <row r="271" spans="1:47" ht="17.100000000000001" customHeight="1" x14ac:dyDescent="0.15">
      <c r="J271" s="412" t="s">
        <v>321</v>
      </c>
      <c r="K271" s="412"/>
      <c r="L271" s="412"/>
      <c r="M271" s="412"/>
      <c r="N271" s="426" t="str">
        <f>IF(中間シート!D822&lt;&gt;0,中間シート!D822,"")</f>
        <v/>
      </c>
      <c r="O271" s="426"/>
      <c r="P271" s="426"/>
      <c r="Q271" s="426"/>
      <c r="R271" s="426"/>
      <c r="S271" s="426"/>
      <c r="T271" s="426"/>
      <c r="U271" s="426"/>
      <c r="V271" s="426"/>
      <c r="W271" s="426" t="str">
        <f>IF(中間シート!G822&lt;&gt;0,中間シート!G822,"")</f>
        <v/>
      </c>
      <c r="X271" s="426"/>
      <c r="Y271" s="426"/>
      <c r="Z271" s="426"/>
      <c r="AA271" s="426"/>
      <c r="AB271" s="426"/>
      <c r="AC271" s="426"/>
      <c r="AD271" s="426"/>
      <c r="AE271" s="426"/>
      <c r="AF271" s="427" t="str">
        <f>IF(W271&lt;&gt;"","１／３以内","")</f>
        <v/>
      </c>
      <c r="AG271" s="428"/>
      <c r="AH271" s="428"/>
      <c r="AI271" s="428"/>
      <c r="AJ271" s="428"/>
      <c r="AK271" s="428"/>
      <c r="AL271" s="429"/>
      <c r="AM271" s="426" t="str">
        <f>IF(中間シート!H822&lt;&gt;0,中間シート!H822,"")</f>
        <v/>
      </c>
      <c r="AN271" s="426"/>
      <c r="AO271" s="426"/>
      <c r="AP271" s="426"/>
      <c r="AQ271" s="426"/>
      <c r="AR271" s="426"/>
      <c r="AS271" s="426"/>
      <c r="AT271" s="426"/>
      <c r="AU271" s="426"/>
    </row>
    <row r="272" spans="1:47" ht="17.100000000000001" customHeight="1" x14ac:dyDescent="0.15">
      <c r="J272" s="412" t="s">
        <v>322</v>
      </c>
      <c r="K272" s="412"/>
      <c r="L272" s="412"/>
      <c r="M272" s="412"/>
      <c r="N272" s="426" t="str">
        <f>IF(中間シート!D823&lt;&gt;0,中間シート!D823,"")</f>
        <v/>
      </c>
      <c r="O272" s="426"/>
      <c r="P272" s="426"/>
      <c r="Q272" s="426"/>
      <c r="R272" s="426"/>
      <c r="S272" s="426"/>
      <c r="T272" s="426"/>
      <c r="U272" s="426"/>
      <c r="V272" s="426"/>
      <c r="W272" s="426" t="str">
        <f>IF(中間シート!G823&lt;&gt;0,中間シート!G823,"")</f>
        <v/>
      </c>
      <c r="X272" s="426"/>
      <c r="Y272" s="426"/>
      <c r="Z272" s="426"/>
      <c r="AA272" s="426"/>
      <c r="AB272" s="426"/>
      <c r="AC272" s="426"/>
      <c r="AD272" s="426"/>
      <c r="AE272" s="426"/>
      <c r="AF272" s="427" t="str">
        <f t="shared" ref="AF272:AF274" si="17">IF(W272&lt;&gt;"","１／３以内","")</f>
        <v/>
      </c>
      <c r="AG272" s="428"/>
      <c r="AH272" s="428"/>
      <c r="AI272" s="428"/>
      <c r="AJ272" s="428"/>
      <c r="AK272" s="428"/>
      <c r="AL272" s="429"/>
      <c r="AM272" s="426" t="str">
        <f>IF(中間シート!H823&lt;&gt;0,中間シート!H823,"")</f>
        <v/>
      </c>
      <c r="AN272" s="426"/>
      <c r="AO272" s="426"/>
      <c r="AP272" s="426"/>
      <c r="AQ272" s="426"/>
      <c r="AR272" s="426"/>
      <c r="AS272" s="426"/>
      <c r="AT272" s="426"/>
      <c r="AU272" s="426"/>
    </row>
    <row r="273" spans="10:47" ht="17.100000000000001" customHeight="1" x14ac:dyDescent="0.15">
      <c r="J273" s="412" t="s">
        <v>323</v>
      </c>
      <c r="K273" s="412"/>
      <c r="L273" s="412"/>
      <c r="M273" s="412"/>
      <c r="N273" s="426" t="str">
        <f>IF(中間シート!D824&lt;&gt;0,中間シート!D824,"")</f>
        <v/>
      </c>
      <c r="O273" s="426"/>
      <c r="P273" s="426"/>
      <c r="Q273" s="426"/>
      <c r="R273" s="426"/>
      <c r="S273" s="426"/>
      <c r="T273" s="426"/>
      <c r="U273" s="426"/>
      <c r="V273" s="426"/>
      <c r="W273" s="426" t="str">
        <f>IF(中間シート!G824&lt;&gt;0,中間シート!G824,"")</f>
        <v/>
      </c>
      <c r="X273" s="426"/>
      <c r="Y273" s="426"/>
      <c r="Z273" s="426"/>
      <c r="AA273" s="426"/>
      <c r="AB273" s="426"/>
      <c r="AC273" s="426"/>
      <c r="AD273" s="426"/>
      <c r="AE273" s="426"/>
      <c r="AF273" s="427" t="str">
        <f t="shared" si="17"/>
        <v/>
      </c>
      <c r="AG273" s="428"/>
      <c r="AH273" s="428"/>
      <c r="AI273" s="428"/>
      <c r="AJ273" s="428"/>
      <c r="AK273" s="428"/>
      <c r="AL273" s="429"/>
      <c r="AM273" s="426" t="str">
        <f>IF(中間シート!H824&lt;&gt;0,中間シート!H824,"")</f>
        <v/>
      </c>
      <c r="AN273" s="426"/>
      <c r="AO273" s="426"/>
      <c r="AP273" s="426"/>
      <c r="AQ273" s="426"/>
      <c r="AR273" s="426"/>
      <c r="AS273" s="426"/>
      <c r="AT273" s="426"/>
      <c r="AU273" s="426"/>
    </row>
    <row r="274" spans="10:47" ht="17.100000000000001" customHeight="1" x14ac:dyDescent="0.15">
      <c r="J274" s="412" t="s">
        <v>324</v>
      </c>
      <c r="K274" s="412"/>
      <c r="L274" s="412"/>
      <c r="M274" s="412"/>
      <c r="N274" s="426" t="str">
        <f>IF(中間シート!D825&lt;&gt;0,中間シート!D825,"")</f>
        <v/>
      </c>
      <c r="O274" s="426"/>
      <c r="P274" s="426"/>
      <c r="Q274" s="426"/>
      <c r="R274" s="426"/>
      <c r="S274" s="426"/>
      <c r="T274" s="426"/>
      <c r="U274" s="426"/>
      <c r="V274" s="426"/>
      <c r="W274" s="426" t="str">
        <f>IF(中間シート!G825&lt;&gt;0,中間シート!G825,"")</f>
        <v/>
      </c>
      <c r="X274" s="426"/>
      <c r="Y274" s="426"/>
      <c r="Z274" s="426"/>
      <c r="AA274" s="426"/>
      <c r="AB274" s="426"/>
      <c r="AC274" s="426"/>
      <c r="AD274" s="426"/>
      <c r="AE274" s="426"/>
      <c r="AF274" s="427" t="str">
        <f t="shared" si="17"/>
        <v/>
      </c>
      <c r="AG274" s="428"/>
      <c r="AH274" s="428"/>
      <c r="AI274" s="428"/>
      <c r="AJ274" s="428"/>
      <c r="AK274" s="428"/>
      <c r="AL274" s="429"/>
      <c r="AM274" s="426" t="str">
        <f>IF(中間シート!H825&lt;&gt;0,中間シート!H825,"")</f>
        <v/>
      </c>
      <c r="AN274" s="426"/>
      <c r="AO274" s="426"/>
      <c r="AP274" s="426"/>
      <c r="AQ274" s="426"/>
      <c r="AR274" s="426"/>
      <c r="AS274" s="426"/>
      <c r="AT274" s="426"/>
      <c r="AU274" s="426"/>
    </row>
    <row r="275" spans="10:47" ht="17.100000000000001" customHeight="1" x14ac:dyDescent="0.15">
      <c r="J275" s="412" t="s">
        <v>325</v>
      </c>
      <c r="K275" s="412"/>
      <c r="L275" s="412"/>
      <c r="M275" s="412"/>
      <c r="N275" s="426" t="str">
        <f>IF(中間シート!D826&lt;&gt;0,中間シート!D826,"")</f>
        <v/>
      </c>
      <c r="O275" s="426"/>
      <c r="P275" s="426"/>
      <c r="Q275" s="426"/>
      <c r="R275" s="426"/>
      <c r="S275" s="426"/>
      <c r="T275" s="426"/>
      <c r="U275" s="426"/>
      <c r="V275" s="426"/>
      <c r="W275" s="426" t="str">
        <f>IF(中間シート!G826&lt;&gt;0,中間シート!G826,"")</f>
        <v/>
      </c>
      <c r="X275" s="426"/>
      <c r="Y275" s="426"/>
      <c r="Z275" s="426"/>
      <c r="AA275" s="426"/>
      <c r="AB275" s="426"/>
      <c r="AC275" s="426"/>
      <c r="AD275" s="426"/>
      <c r="AE275" s="426"/>
      <c r="AF275" s="427" t="str">
        <f t="shared" ref="AF275:AF318" si="18">IF(W275&lt;&gt;"","１／３以内","")</f>
        <v/>
      </c>
      <c r="AG275" s="428"/>
      <c r="AH275" s="428"/>
      <c r="AI275" s="428"/>
      <c r="AJ275" s="428"/>
      <c r="AK275" s="428"/>
      <c r="AL275" s="429"/>
      <c r="AM275" s="426" t="str">
        <f>IF(中間シート!H826&lt;&gt;0,中間シート!H826,"")</f>
        <v/>
      </c>
      <c r="AN275" s="426"/>
      <c r="AO275" s="426"/>
      <c r="AP275" s="426"/>
      <c r="AQ275" s="426"/>
      <c r="AR275" s="426"/>
      <c r="AS275" s="426"/>
      <c r="AT275" s="426"/>
      <c r="AU275" s="426"/>
    </row>
    <row r="276" spans="10:47" ht="17.100000000000001" customHeight="1" x14ac:dyDescent="0.15">
      <c r="J276" s="412" t="s">
        <v>326</v>
      </c>
      <c r="K276" s="412"/>
      <c r="L276" s="412"/>
      <c r="M276" s="412"/>
      <c r="N276" s="426" t="str">
        <f>IF(中間シート!D827&lt;&gt;0,中間シート!D827,"")</f>
        <v/>
      </c>
      <c r="O276" s="426"/>
      <c r="P276" s="426"/>
      <c r="Q276" s="426"/>
      <c r="R276" s="426"/>
      <c r="S276" s="426"/>
      <c r="T276" s="426"/>
      <c r="U276" s="426"/>
      <c r="V276" s="426"/>
      <c r="W276" s="426" t="str">
        <f>IF(中間シート!G827&lt;&gt;0,中間シート!G827,"")</f>
        <v/>
      </c>
      <c r="X276" s="426"/>
      <c r="Y276" s="426"/>
      <c r="Z276" s="426"/>
      <c r="AA276" s="426"/>
      <c r="AB276" s="426"/>
      <c r="AC276" s="426"/>
      <c r="AD276" s="426"/>
      <c r="AE276" s="426"/>
      <c r="AF276" s="427" t="str">
        <f t="shared" si="18"/>
        <v/>
      </c>
      <c r="AG276" s="428"/>
      <c r="AH276" s="428"/>
      <c r="AI276" s="428"/>
      <c r="AJ276" s="428"/>
      <c r="AK276" s="428"/>
      <c r="AL276" s="429"/>
      <c r="AM276" s="426" t="str">
        <f>IF(中間シート!H827&lt;&gt;0,中間シート!H827,"")</f>
        <v/>
      </c>
      <c r="AN276" s="426"/>
      <c r="AO276" s="426"/>
      <c r="AP276" s="426"/>
      <c r="AQ276" s="426"/>
      <c r="AR276" s="426"/>
      <c r="AS276" s="426"/>
      <c r="AT276" s="426"/>
      <c r="AU276" s="426"/>
    </row>
    <row r="277" spans="10:47" ht="17.100000000000001" customHeight="1" x14ac:dyDescent="0.15">
      <c r="J277" s="412" t="s">
        <v>327</v>
      </c>
      <c r="K277" s="412"/>
      <c r="L277" s="412"/>
      <c r="M277" s="412"/>
      <c r="N277" s="426" t="str">
        <f>IF(中間シート!D828&lt;&gt;0,中間シート!D828,"")</f>
        <v/>
      </c>
      <c r="O277" s="426"/>
      <c r="P277" s="426"/>
      <c r="Q277" s="426"/>
      <c r="R277" s="426"/>
      <c r="S277" s="426"/>
      <c r="T277" s="426"/>
      <c r="U277" s="426"/>
      <c r="V277" s="426"/>
      <c r="W277" s="426" t="str">
        <f>IF(中間シート!G828&lt;&gt;0,中間シート!G828,"")</f>
        <v/>
      </c>
      <c r="X277" s="426"/>
      <c r="Y277" s="426"/>
      <c r="Z277" s="426"/>
      <c r="AA277" s="426"/>
      <c r="AB277" s="426"/>
      <c r="AC277" s="426"/>
      <c r="AD277" s="426"/>
      <c r="AE277" s="426"/>
      <c r="AF277" s="427" t="str">
        <f t="shared" si="18"/>
        <v/>
      </c>
      <c r="AG277" s="428"/>
      <c r="AH277" s="428"/>
      <c r="AI277" s="428"/>
      <c r="AJ277" s="428"/>
      <c r="AK277" s="428"/>
      <c r="AL277" s="429"/>
      <c r="AM277" s="426" t="str">
        <f>IF(中間シート!H828&lt;&gt;0,中間シート!H828,"")</f>
        <v/>
      </c>
      <c r="AN277" s="426"/>
      <c r="AO277" s="426"/>
      <c r="AP277" s="426"/>
      <c r="AQ277" s="426"/>
      <c r="AR277" s="426"/>
      <c r="AS277" s="426"/>
      <c r="AT277" s="426"/>
      <c r="AU277" s="426"/>
    </row>
    <row r="278" spans="10:47" ht="17.100000000000001" customHeight="1" x14ac:dyDescent="0.15">
      <c r="J278" s="412" t="s">
        <v>328</v>
      </c>
      <c r="K278" s="412"/>
      <c r="L278" s="412"/>
      <c r="M278" s="412"/>
      <c r="N278" s="426" t="str">
        <f>IF(中間シート!D829&lt;&gt;0,中間シート!D829,"")</f>
        <v/>
      </c>
      <c r="O278" s="426"/>
      <c r="P278" s="426"/>
      <c r="Q278" s="426"/>
      <c r="R278" s="426"/>
      <c r="S278" s="426"/>
      <c r="T278" s="426"/>
      <c r="U278" s="426"/>
      <c r="V278" s="426"/>
      <c r="W278" s="426" t="str">
        <f>IF(中間シート!G829&lt;&gt;0,中間シート!G829,"")</f>
        <v/>
      </c>
      <c r="X278" s="426"/>
      <c r="Y278" s="426"/>
      <c r="Z278" s="426"/>
      <c r="AA278" s="426"/>
      <c r="AB278" s="426"/>
      <c r="AC278" s="426"/>
      <c r="AD278" s="426"/>
      <c r="AE278" s="426"/>
      <c r="AF278" s="427" t="str">
        <f t="shared" si="18"/>
        <v/>
      </c>
      <c r="AG278" s="428"/>
      <c r="AH278" s="428"/>
      <c r="AI278" s="428"/>
      <c r="AJ278" s="428"/>
      <c r="AK278" s="428"/>
      <c r="AL278" s="429"/>
      <c r="AM278" s="426" t="str">
        <f>IF(中間シート!H829&lt;&gt;0,中間シート!H829,"")</f>
        <v/>
      </c>
      <c r="AN278" s="426"/>
      <c r="AO278" s="426"/>
      <c r="AP278" s="426"/>
      <c r="AQ278" s="426"/>
      <c r="AR278" s="426"/>
      <c r="AS278" s="426"/>
      <c r="AT278" s="426"/>
      <c r="AU278" s="426"/>
    </row>
    <row r="279" spans="10:47" ht="17.100000000000001" customHeight="1" x14ac:dyDescent="0.15">
      <c r="J279" s="412" t="s">
        <v>330</v>
      </c>
      <c r="K279" s="412"/>
      <c r="L279" s="412"/>
      <c r="M279" s="412"/>
      <c r="N279" s="426" t="str">
        <f>IF(中間シート!D830&lt;&gt;0,中間シート!D830,"")</f>
        <v/>
      </c>
      <c r="O279" s="426"/>
      <c r="P279" s="426"/>
      <c r="Q279" s="426"/>
      <c r="R279" s="426"/>
      <c r="S279" s="426"/>
      <c r="T279" s="426"/>
      <c r="U279" s="426"/>
      <c r="V279" s="426"/>
      <c r="W279" s="426" t="str">
        <f>IF(中間シート!G830&lt;&gt;0,中間シート!G830,"")</f>
        <v/>
      </c>
      <c r="X279" s="426"/>
      <c r="Y279" s="426"/>
      <c r="Z279" s="426"/>
      <c r="AA279" s="426"/>
      <c r="AB279" s="426"/>
      <c r="AC279" s="426"/>
      <c r="AD279" s="426"/>
      <c r="AE279" s="426"/>
      <c r="AF279" s="427" t="str">
        <f t="shared" si="18"/>
        <v/>
      </c>
      <c r="AG279" s="428"/>
      <c r="AH279" s="428"/>
      <c r="AI279" s="428"/>
      <c r="AJ279" s="428"/>
      <c r="AK279" s="428"/>
      <c r="AL279" s="429"/>
      <c r="AM279" s="426" t="str">
        <f>IF(中間シート!H830&lt;&gt;0,中間シート!H830,"")</f>
        <v/>
      </c>
      <c r="AN279" s="426"/>
      <c r="AO279" s="426"/>
      <c r="AP279" s="426"/>
      <c r="AQ279" s="426"/>
      <c r="AR279" s="426"/>
      <c r="AS279" s="426"/>
      <c r="AT279" s="426"/>
      <c r="AU279" s="426"/>
    </row>
    <row r="280" spans="10:47" ht="17.100000000000001" customHeight="1" x14ac:dyDescent="0.15">
      <c r="J280" s="412" t="s">
        <v>331</v>
      </c>
      <c r="K280" s="412"/>
      <c r="L280" s="412"/>
      <c r="M280" s="412"/>
      <c r="N280" s="426" t="str">
        <f>IF(中間シート!D831&lt;&gt;0,中間シート!D831,"")</f>
        <v/>
      </c>
      <c r="O280" s="426"/>
      <c r="P280" s="426"/>
      <c r="Q280" s="426"/>
      <c r="R280" s="426"/>
      <c r="S280" s="426"/>
      <c r="T280" s="426"/>
      <c r="U280" s="426"/>
      <c r="V280" s="426"/>
      <c r="W280" s="426" t="str">
        <f>IF(中間シート!G831&lt;&gt;0,中間シート!G831,"")</f>
        <v/>
      </c>
      <c r="X280" s="426"/>
      <c r="Y280" s="426"/>
      <c r="Z280" s="426"/>
      <c r="AA280" s="426"/>
      <c r="AB280" s="426"/>
      <c r="AC280" s="426"/>
      <c r="AD280" s="426"/>
      <c r="AE280" s="426"/>
      <c r="AF280" s="427" t="str">
        <f t="shared" si="18"/>
        <v/>
      </c>
      <c r="AG280" s="428"/>
      <c r="AH280" s="428"/>
      <c r="AI280" s="428"/>
      <c r="AJ280" s="428"/>
      <c r="AK280" s="428"/>
      <c r="AL280" s="429"/>
      <c r="AM280" s="426" t="str">
        <f>IF(中間シート!H831&lt;&gt;0,中間シート!H831,"")</f>
        <v/>
      </c>
      <c r="AN280" s="426"/>
      <c r="AO280" s="426"/>
      <c r="AP280" s="426"/>
      <c r="AQ280" s="426"/>
      <c r="AR280" s="426"/>
      <c r="AS280" s="426"/>
      <c r="AT280" s="426"/>
      <c r="AU280" s="426"/>
    </row>
    <row r="281" spans="10:47" ht="17.100000000000001" customHeight="1" x14ac:dyDescent="0.15">
      <c r="J281" s="412" t="s">
        <v>332</v>
      </c>
      <c r="K281" s="412"/>
      <c r="L281" s="412"/>
      <c r="M281" s="412"/>
      <c r="N281" s="426" t="str">
        <f>IF(中間シート!D832&lt;&gt;0,中間シート!D832,"")</f>
        <v/>
      </c>
      <c r="O281" s="426"/>
      <c r="P281" s="426"/>
      <c r="Q281" s="426"/>
      <c r="R281" s="426"/>
      <c r="S281" s="426"/>
      <c r="T281" s="426"/>
      <c r="U281" s="426"/>
      <c r="V281" s="426"/>
      <c r="W281" s="426" t="str">
        <f>IF(中間シート!G832&lt;&gt;0,中間シート!G832,"")</f>
        <v/>
      </c>
      <c r="X281" s="426"/>
      <c r="Y281" s="426"/>
      <c r="Z281" s="426"/>
      <c r="AA281" s="426"/>
      <c r="AB281" s="426"/>
      <c r="AC281" s="426"/>
      <c r="AD281" s="426"/>
      <c r="AE281" s="426"/>
      <c r="AF281" s="427" t="str">
        <f t="shared" si="18"/>
        <v/>
      </c>
      <c r="AG281" s="428"/>
      <c r="AH281" s="428"/>
      <c r="AI281" s="428"/>
      <c r="AJ281" s="428"/>
      <c r="AK281" s="428"/>
      <c r="AL281" s="429"/>
      <c r="AM281" s="426" t="str">
        <f>IF(中間シート!H832&lt;&gt;0,中間シート!H832,"")</f>
        <v/>
      </c>
      <c r="AN281" s="426"/>
      <c r="AO281" s="426"/>
      <c r="AP281" s="426"/>
      <c r="AQ281" s="426"/>
      <c r="AR281" s="426"/>
      <c r="AS281" s="426"/>
      <c r="AT281" s="426"/>
      <c r="AU281" s="426"/>
    </row>
    <row r="282" spans="10:47" ht="17.100000000000001" customHeight="1" x14ac:dyDescent="0.15">
      <c r="J282" s="412" t="s">
        <v>333</v>
      </c>
      <c r="K282" s="412"/>
      <c r="L282" s="412"/>
      <c r="M282" s="412"/>
      <c r="N282" s="426" t="str">
        <f>IF(中間シート!D833&lt;&gt;0,中間シート!D833,"")</f>
        <v/>
      </c>
      <c r="O282" s="426"/>
      <c r="P282" s="426"/>
      <c r="Q282" s="426"/>
      <c r="R282" s="426"/>
      <c r="S282" s="426"/>
      <c r="T282" s="426"/>
      <c r="U282" s="426"/>
      <c r="V282" s="426"/>
      <c r="W282" s="426" t="str">
        <f>IF(中間シート!G833&lt;&gt;0,中間シート!G833,"")</f>
        <v/>
      </c>
      <c r="X282" s="426"/>
      <c r="Y282" s="426"/>
      <c r="Z282" s="426"/>
      <c r="AA282" s="426"/>
      <c r="AB282" s="426"/>
      <c r="AC282" s="426"/>
      <c r="AD282" s="426"/>
      <c r="AE282" s="426"/>
      <c r="AF282" s="427" t="str">
        <f t="shared" si="18"/>
        <v/>
      </c>
      <c r="AG282" s="428"/>
      <c r="AH282" s="428"/>
      <c r="AI282" s="428"/>
      <c r="AJ282" s="428"/>
      <c r="AK282" s="428"/>
      <c r="AL282" s="429"/>
      <c r="AM282" s="426" t="str">
        <f>IF(中間シート!H833&lt;&gt;0,中間シート!H833,"")</f>
        <v/>
      </c>
      <c r="AN282" s="426"/>
      <c r="AO282" s="426"/>
      <c r="AP282" s="426"/>
      <c r="AQ282" s="426"/>
      <c r="AR282" s="426"/>
      <c r="AS282" s="426"/>
      <c r="AT282" s="426"/>
      <c r="AU282" s="426"/>
    </row>
    <row r="283" spans="10:47" ht="17.100000000000001" customHeight="1" x14ac:dyDescent="0.15">
      <c r="J283" s="412" t="s">
        <v>334</v>
      </c>
      <c r="K283" s="412"/>
      <c r="L283" s="412"/>
      <c r="M283" s="412"/>
      <c r="N283" s="426" t="str">
        <f>IF(中間シート!D834&lt;&gt;0,中間シート!D834,"")</f>
        <v/>
      </c>
      <c r="O283" s="426"/>
      <c r="P283" s="426"/>
      <c r="Q283" s="426"/>
      <c r="R283" s="426"/>
      <c r="S283" s="426"/>
      <c r="T283" s="426"/>
      <c r="U283" s="426"/>
      <c r="V283" s="426"/>
      <c r="W283" s="426" t="str">
        <f>IF(中間シート!G834&lt;&gt;0,中間シート!G834,"")</f>
        <v/>
      </c>
      <c r="X283" s="426"/>
      <c r="Y283" s="426"/>
      <c r="Z283" s="426"/>
      <c r="AA283" s="426"/>
      <c r="AB283" s="426"/>
      <c r="AC283" s="426"/>
      <c r="AD283" s="426"/>
      <c r="AE283" s="426"/>
      <c r="AF283" s="427" t="str">
        <f t="shared" si="18"/>
        <v/>
      </c>
      <c r="AG283" s="428"/>
      <c r="AH283" s="428"/>
      <c r="AI283" s="428"/>
      <c r="AJ283" s="428"/>
      <c r="AK283" s="428"/>
      <c r="AL283" s="429"/>
      <c r="AM283" s="426" t="str">
        <f>IF(中間シート!H834&lt;&gt;0,中間シート!H834,"")</f>
        <v/>
      </c>
      <c r="AN283" s="426"/>
      <c r="AO283" s="426"/>
      <c r="AP283" s="426"/>
      <c r="AQ283" s="426"/>
      <c r="AR283" s="426"/>
      <c r="AS283" s="426"/>
      <c r="AT283" s="426"/>
      <c r="AU283" s="426"/>
    </row>
    <row r="284" spans="10:47" ht="17.100000000000001" customHeight="1" x14ac:dyDescent="0.15">
      <c r="J284" s="412" t="s">
        <v>335</v>
      </c>
      <c r="K284" s="412"/>
      <c r="L284" s="412"/>
      <c r="M284" s="412"/>
      <c r="N284" s="426" t="str">
        <f>IF(中間シート!D835&lt;&gt;0,中間シート!D835,"")</f>
        <v/>
      </c>
      <c r="O284" s="426"/>
      <c r="P284" s="426"/>
      <c r="Q284" s="426"/>
      <c r="R284" s="426"/>
      <c r="S284" s="426"/>
      <c r="T284" s="426"/>
      <c r="U284" s="426"/>
      <c r="V284" s="426"/>
      <c r="W284" s="426" t="str">
        <f>IF(中間シート!G835&lt;&gt;0,中間シート!G835,"")</f>
        <v/>
      </c>
      <c r="X284" s="426"/>
      <c r="Y284" s="426"/>
      <c r="Z284" s="426"/>
      <c r="AA284" s="426"/>
      <c r="AB284" s="426"/>
      <c r="AC284" s="426"/>
      <c r="AD284" s="426"/>
      <c r="AE284" s="426"/>
      <c r="AF284" s="427" t="str">
        <f t="shared" si="18"/>
        <v/>
      </c>
      <c r="AG284" s="428"/>
      <c r="AH284" s="428"/>
      <c r="AI284" s="428"/>
      <c r="AJ284" s="428"/>
      <c r="AK284" s="428"/>
      <c r="AL284" s="429"/>
      <c r="AM284" s="426" t="str">
        <f>IF(中間シート!H835&lt;&gt;0,中間シート!H835,"")</f>
        <v/>
      </c>
      <c r="AN284" s="426"/>
      <c r="AO284" s="426"/>
      <c r="AP284" s="426"/>
      <c r="AQ284" s="426"/>
      <c r="AR284" s="426"/>
      <c r="AS284" s="426"/>
      <c r="AT284" s="426"/>
      <c r="AU284" s="426"/>
    </row>
    <row r="285" spans="10:47" ht="17.100000000000001" customHeight="1" x14ac:dyDescent="0.15">
      <c r="J285" s="412" t="s">
        <v>336</v>
      </c>
      <c r="K285" s="412"/>
      <c r="L285" s="412"/>
      <c r="M285" s="412"/>
      <c r="N285" s="426" t="str">
        <f>IF(中間シート!D836&lt;&gt;0,中間シート!D836,"")</f>
        <v/>
      </c>
      <c r="O285" s="426"/>
      <c r="P285" s="426"/>
      <c r="Q285" s="426"/>
      <c r="R285" s="426"/>
      <c r="S285" s="426"/>
      <c r="T285" s="426"/>
      <c r="U285" s="426"/>
      <c r="V285" s="426"/>
      <c r="W285" s="426" t="str">
        <f>IF(中間シート!G836&lt;&gt;0,中間シート!G836,"")</f>
        <v/>
      </c>
      <c r="X285" s="426"/>
      <c r="Y285" s="426"/>
      <c r="Z285" s="426"/>
      <c r="AA285" s="426"/>
      <c r="AB285" s="426"/>
      <c r="AC285" s="426"/>
      <c r="AD285" s="426"/>
      <c r="AE285" s="426"/>
      <c r="AF285" s="427" t="str">
        <f t="shared" si="18"/>
        <v/>
      </c>
      <c r="AG285" s="428"/>
      <c r="AH285" s="428"/>
      <c r="AI285" s="428"/>
      <c r="AJ285" s="428"/>
      <c r="AK285" s="428"/>
      <c r="AL285" s="429"/>
      <c r="AM285" s="426" t="str">
        <f>IF(中間シート!H836&lt;&gt;0,中間シート!H836,"")</f>
        <v/>
      </c>
      <c r="AN285" s="426"/>
      <c r="AO285" s="426"/>
      <c r="AP285" s="426"/>
      <c r="AQ285" s="426"/>
      <c r="AR285" s="426"/>
      <c r="AS285" s="426"/>
      <c r="AT285" s="426"/>
      <c r="AU285" s="426"/>
    </row>
    <row r="286" spans="10:47" ht="17.100000000000001" customHeight="1" x14ac:dyDescent="0.15">
      <c r="J286" s="412" t="s">
        <v>337</v>
      </c>
      <c r="K286" s="412"/>
      <c r="L286" s="412"/>
      <c r="M286" s="412"/>
      <c r="N286" s="426" t="str">
        <f>IF(中間シート!D837&lt;&gt;0,中間シート!D837,"")</f>
        <v/>
      </c>
      <c r="O286" s="426"/>
      <c r="P286" s="426"/>
      <c r="Q286" s="426"/>
      <c r="R286" s="426"/>
      <c r="S286" s="426"/>
      <c r="T286" s="426"/>
      <c r="U286" s="426"/>
      <c r="V286" s="426"/>
      <c r="W286" s="426" t="str">
        <f>IF(中間シート!G837&lt;&gt;0,中間シート!G837,"")</f>
        <v/>
      </c>
      <c r="X286" s="426"/>
      <c r="Y286" s="426"/>
      <c r="Z286" s="426"/>
      <c r="AA286" s="426"/>
      <c r="AB286" s="426"/>
      <c r="AC286" s="426"/>
      <c r="AD286" s="426"/>
      <c r="AE286" s="426"/>
      <c r="AF286" s="427" t="str">
        <f t="shared" si="18"/>
        <v/>
      </c>
      <c r="AG286" s="428"/>
      <c r="AH286" s="428"/>
      <c r="AI286" s="428"/>
      <c r="AJ286" s="428"/>
      <c r="AK286" s="428"/>
      <c r="AL286" s="429"/>
      <c r="AM286" s="426" t="str">
        <f>IF(中間シート!H837&lt;&gt;0,中間シート!H837,"")</f>
        <v/>
      </c>
      <c r="AN286" s="426"/>
      <c r="AO286" s="426"/>
      <c r="AP286" s="426"/>
      <c r="AQ286" s="426"/>
      <c r="AR286" s="426"/>
      <c r="AS286" s="426"/>
      <c r="AT286" s="426"/>
      <c r="AU286" s="426"/>
    </row>
    <row r="287" spans="10:47" ht="17.100000000000001" customHeight="1" x14ac:dyDescent="0.15">
      <c r="J287" s="412" t="s">
        <v>338</v>
      </c>
      <c r="K287" s="412"/>
      <c r="L287" s="412"/>
      <c r="M287" s="412"/>
      <c r="N287" s="426" t="str">
        <f>IF(中間シート!D838&lt;&gt;0,中間シート!D838,"")</f>
        <v/>
      </c>
      <c r="O287" s="426"/>
      <c r="P287" s="426"/>
      <c r="Q287" s="426"/>
      <c r="R287" s="426"/>
      <c r="S287" s="426"/>
      <c r="T287" s="426"/>
      <c r="U287" s="426"/>
      <c r="V287" s="426"/>
      <c r="W287" s="426" t="str">
        <f>IF(中間シート!G838&lt;&gt;0,中間シート!G838,"")</f>
        <v/>
      </c>
      <c r="X287" s="426"/>
      <c r="Y287" s="426"/>
      <c r="Z287" s="426"/>
      <c r="AA287" s="426"/>
      <c r="AB287" s="426"/>
      <c r="AC287" s="426"/>
      <c r="AD287" s="426"/>
      <c r="AE287" s="426"/>
      <c r="AF287" s="427" t="str">
        <f t="shared" si="18"/>
        <v/>
      </c>
      <c r="AG287" s="428"/>
      <c r="AH287" s="428"/>
      <c r="AI287" s="428"/>
      <c r="AJ287" s="428"/>
      <c r="AK287" s="428"/>
      <c r="AL287" s="429"/>
      <c r="AM287" s="426" t="str">
        <f>IF(中間シート!H838&lt;&gt;0,中間シート!H838,"")</f>
        <v/>
      </c>
      <c r="AN287" s="426"/>
      <c r="AO287" s="426"/>
      <c r="AP287" s="426"/>
      <c r="AQ287" s="426"/>
      <c r="AR287" s="426"/>
      <c r="AS287" s="426"/>
      <c r="AT287" s="426"/>
      <c r="AU287" s="426"/>
    </row>
    <row r="288" spans="10:47" ht="17.100000000000001" customHeight="1" x14ac:dyDescent="0.15">
      <c r="J288" s="412" t="s">
        <v>339</v>
      </c>
      <c r="K288" s="412"/>
      <c r="L288" s="412"/>
      <c r="M288" s="412"/>
      <c r="N288" s="426" t="str">
        <f>IF(中間シート!D839&lt;&gt;0,中間シート!D839,"")</f>
        <v/>
      </c>
      <c r="O288" s="426"/>
      <c r="P288" s="426"/>
      <c r="Q288" s="426"/>
      <c r="R288" s="426"/>
      <c r="S288" s="426"/>
      <c r="T288" s="426"/>
      <c r="U288" s="426"/>
      <c r="V288" s="426"/>
      <c r="W288" s="426" t="str">
        <f>IF(中間シート!G839&lt;&gt;0,中間シート!G839,"")</f>
        <v/>
      </c>
      <c r="X288" s="426"/>
      <c r="Y288" s="426"/>
      <c r="Z288" s="426"/>
      <c r="AA288" s="426"/>
      <c r="AB288" s="426"/>
      <c r="AC288" s="426"/>
      <c r="AD288" s="426"/>
      <c r="AE288" s="426"/>
      <c r="AF288" s="427" t="str">
        <f t="shared" si="18"/>
        <v/>
      </c>
      <c r="AG288" s="428"/>
      <c r="AH288" s="428"/>
      <c r="AI288" s="428"/>
      <c r="AJ288" s="428"/>
      <c r="AK288" s="428"/>
      <c r="AL288" s="429"/>
      <c r="AM288" s="426" t="str">
        <f>IF(中間シート!H839&lt;&gt;0,中間シート!H839,"")</f>
        <v/>
      </c>
      <c r="AN288" s="426"/>
      <c r="AO288" s="426"/>
      <c r="AP288" s="426"/>
      <c r="AQ288" s="426"/>
      <c r="AR288" s="426"/>
      <c r="AS288" s="426"/>
      <c r="AT288" s="426"/>
      <c r="AU288" s="426"/>
    </row>
    <row r="289" spans="10:47" ht="17.100000000000001" customHeight="1" x14ac:dyDescent="0.15">
      <c r="J289" s="412" t="s">
        <v>340</v>
      </c>
      <c r="K289" s="412"/>
      <c r="L289" s="412"/>
      <c r="M289" s="412"/>
      <c r="N289" s="426" t="str">
        <f>IF(中間シート!D840&lt;&gt;0,中間シート!D840,"")</f>
        <v/>
      </c>
      <c r="O289" s="426"/>
      <c r="P289" s="426"/>
      <c r="Q289" s="426"/>
      <c r="R289" s="426"/>
      <c r="S289" s="426"/>
      <c r="T289" s="426"/>
      <c r="U289" s="426"/>
      <c r="V289" s="426"/>
      <c r="W289" s="426" t="str">
        <f>IF(中間シート!G840&lt;&gt;0,中間シート!G840,"")</f>
        <v/>
      </c>
      <c r="X289" s="426"/>
      <c r="Y289" s="426"/>
      <c r="Z289" s="426"/>
      <c r="AA289" s="426"/>
      <c r="AB289" s="426"/>
      <c r="AC289" s="426"/>
      <c r="AD289" s="426"/>
      <c r="AE289" s="426"/>
      <c r="AF289" s="427" t="str">
        <f t="shared" si="18"/>
        <v/>
      </c>
      <c r="AG289" s="428"/>
      <c r="AH289" s="428"/>
      <c r="AI289" s="428"/>
      <c r="AJ289" s="428"/>
      <c r="AK289" s="428"/>
      <c r="AL289" s="429"/>
      <c r="AM289" s="426" t="str">
        <f>IF(中間シート!H840&lt;&gt;0,中間シート!H840,"")</f>
        <v/>
      </c>
      <c r="AN289" s="426"/>
      <c r="AO289" s="426"/>
      <c r="AP289" s="426"/>
      <c r="AQ289" s="426"/>
      <c r="AR289" s="426"/>
      <c r="AS289" s="426"/>
      <c r="AT289" s="426"/>
      <c r="AU289" s="426"/>
    </row>
    <row r="290" spans="10:47" ht="17.100000000000001" customHeight="1" x14ac:dyDescent="0.15">
      <c r="J290" s="412" t="s">
        <v>341</v>
      </c>
      <c r="K290" s="412"/>
      <c r="L290" s="412"/>
      <c r="M290" s="412"/>
      <c r="N290" s="426" t="str">
        <f>IF(中間シート!D841&lt;&gt;0,中間シート!D841,"")</f>
        <v/>
      </c>
      <c r="O290" s="426"/>
      <c r="P290" s="426"/>
      <c r="Q290" s="426"/>
      <c r="R290" s="426"/>
      <c r="S290" s="426"/>
      <c r="T290" s="426"/>
      <c r="U290" s="426"/>
      <c r="V290" s="426"/>
      <c r="W290" s="426" t="str">
        <f>IF(中間シート!G841&lt;&gt;0,中間シート!G841,"")</f>
        <v/>
      </c>
      <c r="X290" s="426"/>
      <c r="Y290" s="426"/>
      <c r="Z290" s="426"/>
      <c r="AA290" s="426"/>
      <c r="AB290" s="426"/>
      <c r="AC290" s="426"/>
      <c r="AD290" s="426"/>
      <c r="AE290" s="426"/>
      <c r="AF290" s="427" t="str">
        <f t="shared" si="18"/>
        <v/>
      </c>
      <c r="AG290" s="428"/>
      <c r="AH290" s="428"/>
      <c r="AI290" s="428"/>
      <c r="AJ290" s="428"/>
      <c r="AK290" s="428"/>
      <c r="AL290" s="429"/>
      <c r="AM290" s="426" t="str">
        <f>IF(中間シート!H841&lt;&gt;0,中間シート!H841,"")</f>
        <v/>
      </c>
      <c r="AN290" s="426"/>
      <c r="AO290" s="426"/>
      <c r="AP290" s="426"/>
      <c r="AQ290" s="426"/>
      <c r="AR290" s="426"/>
      <c r="AS290" s="426"/>
      <c r="AT290" s="426"/>
      <c r="AU290" s="426"/>
    </row>
    <row r="291" spans="10:47" ht="17.100000000000001" customHeight="1" x14ac:dyDescent="0.15">
      <c r="J291" s="412" t="s">
        <v>342</v>
      </c>
      <c r="K291" s="412"/>
      <c r="L291" s="412"/>
      <c r="M291" s="412"/>
      <c r="N291" s="426" t="str">
        <f>IF(中間シート!D842&lt;&gt;0,中間シート!D842,"")</f>
        <v/>
      </c>
      <c r="O291" s="426"/>
      <c r="P291" s="426"/>
      <c r="Q291" s="426"/>
      <c r="R291" s="426"/>
      <c r="S291" s="426"/>
      <c r="T291" s="426"/>
      <c r="U291" s="426"/>
      <c r="V291" s="426"/>
      <c r="W291" s="426" t="str">
        <f>IF(中間シート!G842&lt;&gt;0,中間シート!G842,"")</f>
        <v/>
      </c>
      <c r="X291" s="426"/>
      <c r="Y291" s="426"/>
      <c r="Z291" s="426"/>
      <c r="AA291" s="426"/>
      <c r="AB291" s="426"/>
      <c r="AC291" s="426"/>
      <c r="AD291" s="426"/>
      <c r="AE291" s="426"/>
      <c r="AF291" s="427" t="str">
        <f t="shared" si="18"/>
        <v/>
      </c>
      <c r="AG291" s="428"/>
      <c r="AH291" s="428"/>
      <c r="AI291" s="428"/>
      <c r="AJ291" s="428"/>
      <c r="AK291" s="428"/>
      <c r="AL291" s="429"/>
      <c r="AM291" s="426" t="str">
        <f>IF(中間シート!H842&lt;&gt;0,中間シート!H842,"")</f>
        <v/>
      </c>
      <c r="AN291" s="426"/>
      <c r="AO291" s="426"/>
      <c r="AP291" s="426"/>
      <c r="AQ291" s="426"/>
      <c r="AR291" s="426"/>
      <c r="AS291" s="426"/>
      <c r="AT291" s="426"/>
      <c r="AU291" s="426"/>
    </row>
    <row r="292" spans="10:47" ht="17.100000000000001" customHeight="1" x14ac:dyDescent="0.15">
      <c r="J292" s="412" t="s">
        <v>343</v>
      </c>
      <c r="K292" s="412"/>
      <c r="L292" s="412"/>
      <c r="M292" s="412"/>
      <c r="N292" s="426" t="str">
        <f>IF(中間シート!D843&lt;&gt;0,中間シート!D843,"")</f>
        <v/>
      </c>
      <c r="O292" s="426"/>
      <c r="P292" s="426"/>
      <c r="Q292" s="426"/>
      <c r="R292" s="426"/>
      <c r="S292" s="426"/>
      <c r="T292" s="426"/>
      <c r="U292" s="426"/>
      <c r="V292" s="426"/>
      <c r="W292" s="426" t="str">
        <f>IF(中間シート!G843&lt;&gt;0,中間シート!G843,"")</f>
        <v/>
      </c>
      <c r="X292" s="426"/>
      <c r="Y292" s="426"/>
      <c r="Z292" s="426"/>
      <c r="AA292" s="426"/>
      <c r="AB292" s="426"/>
      <c r="AC292" s="426"/>
      <c r="AD292" s="426"/>
      <c r="AE292" s="426"/>
      <c r="AF292" s="427" t="str">
        <f t="shared" si="18"/>
        <v/>
      </c>
      <c r="AG292" s="428"/>
      <c r="AH292" s="428"/>
      <c r="AI292" s="428"/>
      <c r="AJ292" s="428"/>
      <c r="AK292" s="428"/>
      <c r="AL292" s="429"/>
      <c r="AM292" s="426" t="str">
        <f>IF(中間シート!H843&lt;&gt;0,中間シート!H843,"")</f>
        <v/>
      </c>
      <c r="AN292" s="426"/>
      <c r="AO292" s="426"/>
      <c r="AP292" s="426"/>
      <c r="AQ292" s="426"/>
      <c r="AR292" s="426"/>
      <c r="AS292" s="426"/>
      <c r="AT292" s="426"/>
      <c r="AU292" s="426"/>
    </row>
    <row r="293" spans="10:47" ht="17.100000000000001" customHeight="1" x14ac:dyDescent="0.15">
      <c r="J293" s="412" t="s">
        <v>344</v>
      </c>
      <c r="K293" s="412"/>
      <c r="L293" s="412"/>
      <c r="M293" s="412"/>
      <c r="N293" s="426" t="str">
        <f>IF(中間シート!D844&lt;&gt;0,中間シート!D844,"")</f>
        <v/>
      </c>
      <c r="O293" s="426"/>
      <c r="P293" s="426"/>
      <c r="Q293" s="426"/>
      <c r="R293" s="426"/>
      <c r="S293" s="426"/>
      <c r="T293" s="426"/>
      <c r="U293" s="426"/>
      <c r="V293" s="426"/>
      <c r="W293" s="426" t="str">
        <f>IF(中間シート!G844&lt;&gt;0,中間シート!G844,"")</f>
        <v/>
      </c>
      <c r="X293" s="426"/>
      <c r="Y293" s="426"/>
      <c r="Z293" s="426"/>
      <c r="AA293" s="426"/>
      <c r="AB293" s="426"/>
      <c r="AC293" s="426"/>
      <c r="AD293" s="426"/>
      <c r="AE293" s="426"/>
      <c r="AF293" s="427" t="str">
        <f t="shared" si="18"/>
        <v/>
      </c>
      <c r="AG293" s="428"/>
      <c r="AH293" s="428"/>
      <c r="AI293" s="428"/>
      <c r="AJ293" s="428"/>
      <c r="AK293" s="428"/>
      <c r="AL293" s="429"/>
      <c r="AM293" s="426" t="str">
        <f>IF(中間シート!H844&lt;&gt;0,中間シート!H844,"")</f>
        <v/>
      </c>
      <c r="AN293" s="426"/>
      <c r="AO293" s="426"/>
      <c r="AP293" s="426"/>
      <c r="AQ293" s="426"/>
      <c r="AR293" s="426"/>
      <c r="AS293" s="426"/>
      <c r="AT293" s="426"/>
      <c r="AU293" s="426"/>
    </row>
    <row r="294" spans="10:47" ht="17.100000000000001" customHeight="1" x14ac:dyDescent="0.15">
      <c r="J294" s="412" t="s">
        <v>345</v>
      </c>
      <c r="K294" s="412"/>
      <c r="L294" s="412"/>
      <c r="M294" s="412"/>
      <c r="N294" s="426" t="str">
        <f>IF(中間シート!D845&lt;&gt;0,中間シート!D845,"")</f>
        <v/>
      </c>
      <c r="O294" s="426"/>
      <c r="P294" s="426"/>
      <c r="Q294" s="426"/>
      <c r="R294" s="426"/>
      <c r="S294" s="426"/>
      <c r="T294" s="426"/>
      <c r="U294" s="426"/>
      <c r="V294" s="426"/>
      <c r="W294" s="426" t="str">
        <f>IF(中間シート!G845&lt;&gt;0,中間シート!G845,"")</f>
        <v/>
      </c>
      <c r="X294" s="426"/>
      <c r="Y294" s="426"/>
      <c r="Z294" s="426"/>
      <c r="AA294" s="426"/>
      <c r="AB294" s="426"/>
      <c r="AC294" s="426"/>
      <c r="AD294" s="426"/>
      <c r="AE294" s="426"/>
      <c r="AF294" s="427" t="str">
        <f t="shared" si="18"/>
        <v/>
      </c>
      <c r="AG294" s="428"/>
      <c r="AH294" s="428"/>
      <c r="AI294" s="428"/>
      <c r="AJ294" s="428"/>
      <c r="AK294" s="428"/>
      <c r="AL294" s="429"/>
      <c r="AM294" s="426" t="str">
        <f>IF(中間シート!H845&lt;&gt;0,中間シート!H845,"")</f>
        <v/>
      </c>
      <c r="AN294" s="426"/>
      <c r="AO294" s="426"/>
      <c r="AP294" s="426"/>
      <c r="AQ294" s="426"/>
      <c r="AR294" s="426"/>
      <c r="AS294" s="426"/>
      <c r="AT294" s="426"/>
      <c r="AU294" s="426"/>
    </row>
    <row r="295" spans="10:47" ht="17.100000000000001" customHeight="1" x14ac:dyDescent="0.15">
      <c r="J295" s="412" t="s">
        <v>346</v>
      </c>
      <c r="K295" s="412"/>
      <c r="L295" s="412"/>
      <c r="M295" s="412"/>
      <c r="N295" s="426" t="str">
        <f>IF(中間シート!D846&lt;&gt;0,中間シート!D846,"")</f>
        <v/>
      </c>
      <c r="O295" s="426"/>
      <c r="P295" s="426"/>
      <c r="Q295" s="426"/>
      <c r="R295" s="426"/>
      <c r="S295" s="426"/>
      <c r="T295" s="426"/>
      <c r="U295" s="426"/>
      <c r="V295" s="426"/>
      <c r="W295" s="426" t="str">
        <f>IF(中間シート!G846&lt;&gt;0,中間シート!G846,"")</f>
        <v/>
      </c>
      <c r="X295" s="426"/>
      <c r="Y295" s="426"/>
      <c r="Z295" s="426"/>
      <c r="AA295" s="426"/>
      <c r="AB295" s="426"/>
      <c r="AC295" s="426"/>
      <c r="AD295" s="426"/>
      <c r="AE295" s="426"/>
      <c r="AF295" s="427" t="str">
        <f t="shared" si="18"/>
        <v/>
      </c>
      <c r="AG295" s="428"/>
      <c r="AH295" s="428"/>
      <c r="AI295" s="428"/>
      <c r="AJ295" s="428"/>
      <c r="AK295" s="428"/>
      <c r="AL295" s="429"/>
      <c r="AM295" s="426" t="str">
        <f>IF(中間シート!H846&lt;&gt;0,中間シート!H846,"")</f>
        <v/>
      </c>
      <c r="AN295" s="426"/>
      <c r="AO295" s="426"/>
      <c r="AP295" s="426"/>
      <c r="AQ295" s="426"/>
      <c r="AR295" s="426"/>
      <c r="AS295" s="426"/>
      <c r="AT295" s="426"/>
      <c r="AU295" s="426"/>
    </row>
    <row r="296" spans="10:47" ht="17.100000000000001" customHeight="1" x14ac:dyDescent="0.15">
      <c r="J296" s="412" t="s">
        <v>347</v>
      </c>
      <c r="K296" s="412"/>
      <c r="L296" s="412"/>
      <c r="M296" s="412"/>
      <c r="N296" s="426" t="str">
        <f>IF(中間シート!D847&lt;&gt;0,中間シート!D847,"")</f>
        <v/>
      </c>
      <c r="O296" s="426"/>
      <c r="P296" s="426"/>
      <c r="Q296" s="426"/>
      <c r="R296" s="426"/>
      <c r="S296" s="426"/>
      <c r="T296" s="426"/>
      <c r="U296" s="426"/>
      <c r="V296" s="426"/>
      <c r="W296" s="426" t="str">
        <f>IF(中間シート!G847&lt;&gt;0,中間シート!G847,"")</f>
        <v/>
      </c>
      <c r="X296" s="426"/>
      <c r="Y296" s="426"/>
      <c r="Z296" s="426"/>
      <c r="AA296" s="426"/>
      <c r="AB296" s="426"/>
      <c r="AC296" s="426"/>
      <c r="AD296" s="426"/>
      <c r="AE296" s="426"/>
      <c r="AF296" s="427" t="str">
        <f t="shared" si="18"/>
        <v/>
      </c>
      <c r="AG296" s="428"/>
      <c r="AH296" s="428"/>
      <c r="AI296" s="428"/>
      <c r="AJ296" s="428"/>
      <c r="AK296" s="428"/>
      <c r="AL296" s="429"/>
      <c r="AM296" s="426" t="str">
        <f>IF(中間シート!H847&lt;&gt;0,中間シート!H847,"")</f>
        <v/>
      </c>
      <c r="AN296" s="426"/>
      <c r="AO296" s="426"/>
      <c r="AP296" s="426"/>
      <c r="AQ296" s="426"/>
      <c r="AR296" s="426"/>
      <c r="AS296" s="426"/>
      <c r="AT296" s="426"/>
      <c r="AU296" s="426"/>
    </row>
    <row r="297" spans="10:47" ht="17.100000000000001" customHeight="1" x14ac:dyDescent="0.15">
      <c r="J297" s="412" t="s">
        <v>348</v>
      </c>
      <c r="K297" s="412"/>
      <c r="L297" s="412"/>
      <c r="M297" s="412"/>
      <c r="N297" s="426" t="str">
        <f>IF(中間シート!D848&lt;&gt;0,中間シート!D848,"")</f>
        <v/>
      </c>
      <c r="O297" s="426"/>
      <c r="P297" s="426"/>
      <c r="Q297" s="426"/>
      <c r="R297" s="426"/>
      <c r="S297" s="426"/>
      <c r="T297" s="426"/>
      <c r="U297" s="426"/>
      <c r="V297" s="426"/>
      <c r="W297" s="426" t="str">
        <f>IF(中間シート!G848&lt;&gt;0,中間シート!G848,"")</f>
        <v/>
      </c>
      <c r="X297" s="426"/>
      <c r="Y297" s="426"/>
      <c r="Z297" s="426"/>
      <c r="AA297" s="426"/>
      <c r="AB297" s="426"/>
      <c r="AC297" s="426"/>
      <c r="AD297" s="426"/>
      <c r="AE297" s="426"/>
      <c r="AF297" s="427" t="str">
        <f t="shared" si="18"/>
        <v/>
      </c>
      <c r="AG297" s="428"/>
      <c r="AH297" s="428"/>
      <c r="AI297" s="428"/>
      <c r="AJ297" s="428"/>
      <c r="AK297" s="428"/>
      <c r="AL297" s="429"/>
      <c r="AM297" s="426" t="str">
        <f>IF(中間シート!H848&lt;&gt;0,中間シート!H848,"")</f>
        <v/>
      </c>
      <c r="AN297" s="426"/>
      <c r="AO297" s="426"/>
      <c r="AP297" s="426"/>
      <c r="AQ297" s="426"/>
      <c r="AR297" s="426"/>
      <c r="AS297" s="426"/>
      <c r="AT297" s="426"/>
      <c r="AU297" s="426"/>
    </row>
    <row r="298" spans="10:47" ht="17.100000000000001" customHeight="1" x14ac:dyDescent="0.15">
      <c r="J298" s="412" t="s">
        <v>349</v>
      </c>
      <c r="K298" s="412"/>
      <c r="L298" s="412"/>
      <c r="M298" s="412"/>
      <c r="N298" s="426" t="str">
        <f>IF(中間シート!D849&lt;&gt;0,中間シート!D849,"")</f>
        <v/>
      </c>
      <c r="O298" s="426"/>
      <c r="P298" s="426"/>
      <c r="Q298" s="426"/>
      <c r="R298" s="426"/>
      <c r="S298" s="426"/>
      <c r="T298" s="426"/>
      <c r="U298" s="426"/>
      <c r="V298" s="426"/>
      <c r="W298" s="426" t="str">
        <f>IF(中間シート!G849&lt;&gt;0,中間シート!G849,"")</f>
        <v/>
      </c>
      <c r="X298" s="426"/>
      <c r="Y298" s="426"/>
      <c r="Z298" s="426"/>
      <c r="AA298" s="426"/>
      <c r="AB298" s="426"/>
      <c r="AC298" s="426"/>
      <c r="AD298" s="426"/>
      <c r="AE298" s="426"/>
      <c r="AF298" s="427" t="str">
        <f t="shared" si="18"/>
        <v/>
      </c>
      <c r="AG298" s="428"/>
      <c r="AH298" s="428"/>
      <c r="AI298" s="428"/>
      <c r="AJ298" s="428"/>
      <c r="AK298" s="428"/>
      <c r="AL298" s="429"/>
      <c r="AM298" s="426" t="str">
        <f>IF(中間シート!H849&lt;&gt;0,中間シート!H849,"")</f>
        <v/>
      </c>
      <c r="AN298" s="426"/>
      <c r="AO298" s="426"/>
      <c r="AP298" s="426"/>
      <c r="AQ298" s="426"/>
      <c r="AR298" s="426"/>
      <c r="AS298" s="426"/>
      <c r="AT298" s="426"/>
      <c r="AU298" s="426"/>
    </row>
    <row r="299" spans="10:47" ht="17.100000000000001" customHeight="1" x14ac:dyDescent="0.15">
      <c r="J299" s="412" t="s">
        <v>350</v>
      </c>
      <c r="K299" s="412"/>
      <c r="L299" s="412"/>
      <c r="M299" s="412"/>
      <c r="N299" s="426" t="str">
        <f>IF(中間シート!D850&lt;&gt;0,中間シート!D850,"")</f>
        <v/>
      </c>
      <c r="O299" s="426"/>
      <c r="P299" s="426"/>
      <c r="Q299" s="426"/>
      <c r="R299" s="426"/>
      <c r="S299" s="426"/>
      <c r="T299" s="426"/>
      <c r="U299" s="426"/>
      <c r="V299" s="426"/>
      <c r="W299" s="426" t="str">
        <f>IF(中間シート!G850&lt;&gt;0,中間シート!G850,"")</f>
        <v/>
      </c>
      <c r="X299" s="426"/>
      <c r="Y299" s="426"/>
      <c r="Z299" s="426"/>
      <c r="AA299" s="426"/>
      <c r="AB299" s="426"/>
      <c r="AC299" s="426"/>
      <c r="AD299" s="426"/>
      <c r="AE299" s="426"/>
      <c r="AF299" s="427" t="str">
        <f t="shared" si="18"/>
        <v/>
      </c>
      <c r="AG299" s="428"/>
      <c r="AH299" s="428"/>
      <c r="AI299" s="428"/>
      <c r="AJ299" s="428"/>
      <c r="AK299" s="428"/>
      <c r="AL299" s="429"/>
      <c r="AM299" s="426" t="str">
        <f>IF(中間シート!H850&lt;&gt;0,中間シート!H850,"")</f>
        <v/>
      </c>
      <c r="AN299" s="426"/>
      <c r="AO299" s="426"/>
      <c r="AP299" s="426"/>
      <c r="AQ299" s="426"/>
      <c r="AR299" s="426"/>
      <c r="AS299" s="426"/>
      <c r="AT299" s="426"/>
      <c r="AU299" s="426"/>
    </row>
    <row r="300" spans="10:47" ht="17.100000000000001" customHeight="1" x14ac:dyDescent="0.15">
      <c r="J300" s="412" t="s">
        <v>351</v>
      </c>
      <c r="K300" s="412"/>
      <c r="L300" s="412"/>
      <c r="M300" s="412"/>
      <c r="N300" s="426" t="str">
        <f>IF(中間シート!D851&lt;&gt;0,中間シート!D851,"")</f>
        <v/>
      </c>
      <c r="O300" s="426"/>
      <c r="P300" s="426"/>
      <c r="Q300" s="426"/>
      <c r="R300" s="426"/>
      <c r="S300" s="426"/>
      <c r="T300" s="426"/>
      <c r="U300" s="426"/>
      <c r="V300" s="426"/>
      <c r="W300" s="426" t="str">
        <f>IF(中間シート!G851&lt;&gt;0,中間シート!G851,"")</f>
        <v/>
      </c>
      <c r="X300" s="426"/>
      <c r="Y300" s="426"/>
      <c r="Z300" s="426"/>
      <c r="AA300" s="426"/>
      <c r="AB300" s="426"/>
      <c r="AC300" s="426"/>
      <c r="AD300" s="426"/>
      <c r="AE300" s="426"/>
      <c r="AF300" s="427" t="str">
        <f t="shared" si="18"/>
        <v/>
      </c>
      <c r="AG300" s="428"/>
      <c r="AH300" s="428"/>
      <c r="AI300" s="428"/>
      <c r="AJ300" s="428"/>
      <c r="AK300" s="428"/>
      <c r="AL300" s="429"/>
      <c r="AM300" s="426" t="str">
        <f>IF(中間シート!H851&lt;&gt;0,中間シート!H851,"")</f>
        <v/>
      </c>
      <c r="AN300" s="426"/>
      <c r="AO300" s="426"/>
      <c r="AP300" s="426"/>
      <c r="AQ300" s="426"/>
      <c r="AR300" s="426"/>
      <c r="AS300" s="426"/>
      <c r="AT300" s="426"/>
      <c r="AU300" s="426"/>
    </row>
    <row r="301" spans="10:47" ht="17.100000000000001" customHeight="1" x14ac:dyDescent="0.15">
      <c r="J301" s="412" t="s">
        <v>352</v>
      </c>
      <c r="K301" s="412"/>
      <c r="L301" s="412"/>
      <c r="M301" s="412"/>
      <c r="N301" s="426" t="str">
        <f>IF(中間シート!D852&lt;&gt;0,中間シート!D852,"")</f>
        <v/>
      </c>
      <c r="O301" s="426"/>
      <c r="P301" s="426"/>
      <c r="Q301" s="426"/>
      <c r="R301" s="426"/>
      <c r="S301" s="426"/>
      <c r="T301" s="426"/>
      <c r="U301" s="426"/>
      <c r="V301" s="426"/>
      <c r="W301" s="426" t="str">
        <f>IF(中間シート!G852&lt;&gt;0,中間シート!G852,"")</f>
        <v/>
      </c>
      <c r="X301" s="426"/>
      <c r="Y301" s="426"/>
      <c r="Z301" s="426"/>
      <c r="AA301" s="426"/>
      <c r="AB301" s="426"/>
      <c r="AC301" s="426"/>
      <c r="AD301" s="426"/>
      <c r="AE301" s="426"/>
      <c r="AF301" s="427" t="str">
        <f t="shared" si="18"/>
        <v/>
      </c>
      <c r="AG301" s="428"/>
      <c r="AH301" s="428"/>
      <c r="AI301" s="428"/>
      <c r="AJ301" s="428"/>
      <c r="AK301" s="428"/>
      <c r="AL301" s="429"/>
      <c r="AM301" s="426" t="str">
        <f>IF(中間シート!H852&lt;&gt;0,中間シート!H852,"")</f>
        <v/>
      </c>
      <c r="AN301" s="426"/>
      <c r="AO301" s="426"/>
      <c r="AP301" s="426"/>
      <c r="AQ301" s="426"/>
      <c r="AR301" s="426"/>
      <c r="AS301" s="426"/>
      <c r="AT301" s="426"/>
      <c r="AU301" s="426"/>
    </row>
    <row r="302" spans="10:47" ht="17.100000000000001" customHeight="1" x14ac:dyDescent="0.15">
      <c r="J302" s="412" t="s">
        <v>353</v>
      </c>
      <c r="K302" s="412"/>
      <c r="L302" s="412"/>
      <c r="M302" s="412"/>
      <c r="N302" s="426" t="str">
        <f>IF(中間シート!D853&lt;&gt;0,中間シート!D853,"")</f>
        <v/>
      </c>
      <c r="O302" s="426"/>
      <c r="P302" s="426"/>
      <c r="Q302" s="426"/>
      <c r="R302" s="426"/>
      <c r="S302" s="426"/>
      <c r="T302" s="426"/>
      <c r="U302" s="426"/>
      <c r="V302" s="426"/>
      <c r="W302" s="426" t="str">
        <f>IF(中間シート!G853&lt;&gt;0,中間シート!G853,"")</f>
        <v/>
      </c>
      <c r="X302" s="426"/>
      <c r="Y302" s="426"/>
      <c r="Z302" s="426"/>
      <c r="AA302" s="426"/>
      <c r="AB302" s="426"/>
      <c r="AC302" s="426"/>
      <c r="AD302" s="426"/>
      <c r="AE302" s="426"/>
      <c r="AF302" s="427" t="str">
        <f t="shared" si="18"/>
        <v/>
      </c>
      <c r="AG302" s="428"/>
      <c r="AH302" s="428"/>
      <c r="AI302" s="428"/>
      <c r="AJ302" s="428"/>
      <c r="AK302" s="428"/>
      <c r="AL302" s="429"/>
      <c r="AM302" s="426" t="str">
        <f>IF(中間シート!H853&lt;&gt;0,中間シート!H853,"")</f>
        <v/>
      </c>
      <c r="AN302" s="426"/>
      <c r="AO302" s="426"/>
      <c r="AP302" s="426"/>
      <c r="AQ302" s="426"/>
      <c r="AR302" s="426"/>
      <c r="AS302" s="426"/>
      <c r="AT302" s="426"/>
      <c r="AU302" s="426"/>
    </row>
    <row r="303" spans="10:47" ht="17.100000000000001" customHeight="1" x14ac:dyDescent="0.15">
      <c r="J303" s="412" t="s">
        <v>354</v>
      </c>
      <c r="K303" s="412"/>
      <c r="L303" s="412"/>
      <c r="M303" s="412"/>
      <c r="N303" s="426" t="str">
        <f>IF(中間シート!D854&lt;&gt;0,中間シート!D854,"")</f>
        <v/>
      </c>
      <c r="O303" s="426"/>
      <c r="P303" s="426"/>
      <c r="Q303" s="426"/>
      <c r="R303" s="426"/>
      <c r="S303" s="426"/>
      <c r="T303" s="426"/>
      <c r="U303" s="426"/>
      <c r="V303" s="426"/>
      <c r="W303" s="426" t="str">
        <f>IF(中間シート!G854&lt;&gt;0,中間シート!G854,"")</f>
        <v/>
      </c>
      <c r="X303" s="426"/>
      <c r="Y303" s="426"/>
      <c r="Z303" s="426"/>
      <c r="AA303" s="426"/>
      <c r="AB303" s="426"/>
      <c r="AC303" s="426"/>
      <c r="AD303" s="426"/>
      <c r="AE303" s="426"/>
      <c r="AF303" s="427" t="str">
        <f t="shared" si="18"/>
        <v/>
      </c>
      <c r="AG303" s="428"/>
      <c r="AH303" s="428"/>
      <c r="AI303" s="428"/>
      <c r="AJ303" s="428"/>
      <c r="AK303" s="428"/>
      <c r="AL303" s="429"/>
      <c r="AM303" s="426" t="str">
        <f>IF(中間シート!H854&lt;&gt;0,中間シート!H854,"")</f>
        <v/>
      </c>
      <c r="AN303" s="426"/>
      <c r="AO303" s="426"/>
      <c r="AP303" s="426"/>
      <c r="AQ303" s="426"/>
      <c r="AR303" s="426"/>
      <c r="AS303" s="426"/>
      <c r="AT303" s="426"/>
      <c r="AU303" s="426"/>
    </row>
    <row r="304" spans="10:47" ht="17.100000000000001" customHeight="1" x14ac:dyDescent="0.15">
      <c r="J304" s="412" t="s">
        <v>355</v>
      </c>
      <c r="K304" s="412"/>
      <c r="L304" s="412"/>
      <c r="M304" s="412"/>
      <c r="N304" s="426" t="str">
        <f>IF(中間シート!D855&lt;&gt;0,中間シート!D855,"")</f>
        <v/>
      </c>
      <c r="O304" s="426"/>
      <c r="P304" s="426"/>
      <c r="Q304" s="426"/>
      <c r="R304" s="426"/>
      <c r="S304" s="426"/>
      <c r="T304" s="426"/>
      <c r="U304" s="426"/>
      <c r="V304" s="426"/>
      <c r="W304" s="426" t="str">
        <f>IF(中間シート!G855&lt;&gt;0,中間シート!G855,"")</f>
        <v/>
      </c>
      <c r="X304" s="426"/>
      <c r="Y304" s="426"/>
      <c r="Z304" s="426"/>
      <c r="AA304" s="426"/>
      <c r="AB304" s="426"/>
      <c r="AC304" s="426"/>
      <c r="AD304" s="426"/>
      <c r="AE304" s="426"/>
      <c r="AF304" s="427" t="str">
        <f t="shared" si="18"/>
        <v/>
      </c>
      <c r="AG304" s="428"/>
      <c r="AH304" s="428"/>
      <c r="AI304" s="428"/>
      <c r="AJ304" s="428"/>
      <c r="AK304" s="428"/>
      <c r="AL304" s="429"/>
      <c r="AM304" s="426" t="str">
        <f>IF(中間シート!H855&lt;&gt;0,中間シート!H855,"")</f>
        <v/>
      </c>
      <c r="AN304" s="426"/>
      <c r="AO304" s="426"/>
      <c r="AP304" s="426"/>
      <c r="AQ304" s="426"/>
      <c r="AR304" s="426"/>
      <c r="AS304" s="426"/>
      <c r="AT304" s="426"/>
      <c r="AU304" s="426"/>
    </row>
    <row r="305" spans="10:47" ht="17.100000000000001" customHeight="1" x14ac:dyDescent="0.15">
      <c r="J305" s="412" t="s">
        <v>356</v>
      </c>
      <c r="K305" s="412"/>
      <c r="L305" s="412"/>
      <c r="M305" s="412"/>
      <c r="N305" s="426" t="str">
        <f>IF(中間シート!D856&lt;&gt;0,中間シート!D856,"")</f>
        <v/>
      </c>
      <c r="O305" s="426"/>
      <c r="P305" s="426"/>
      <c r="Q305" s="426"/>
      <c r="R305" s="426"/>
      <c r="S305" s="426"/>
      <c r="T305" s="426"/>
      <c r="U305" s="426"/>
      <c r="V305" s="426"/>
      <c r="W305" s="426" t="str">
        <f>IF(中間シート!G856&lt;&gt;0,中間シート!G856,"")</f>
        <v/>
      </c>
      <c r="X305" s="426"/>
      <c r="Y305" s="426"/>
      <c r="Z305" s="426"/>
      <c r="AA305" s="426"/>
      <c r="AB305" s="426"/>
      <c r="AC305" s="426"/>
      <c r="AD305" s="426"/>
      <c r="AE305" s="426"/>
      <c r="AF305" s="427" t="str">
        <f t="shared" si="18"/>
        <v/>
      </c>
      <c r="AG305" s="428"/>
      <c r="AH305" s="428"/>
      <c r="AI305" s="428"/>
      <c r="AJ305" s="428"/>
      <c r="AK305" s="428"/>
      <c r="AL305" s="429"/>
      <c r="AM305" s="426" t="str">
        <f>IF(中間シート!H856&lt;&gt;0,中間シート!H856,"")</f>
        <v/>
      </c>
      <c r="AN305" s="426"/>
      <c r="AO305" s="426"/>
      <c r="AP305" s="426"/>
      <c r="AQ305" s="426"/>
      <c r="AR305" s="426"/>
      <c r="AS305" s="426"/>
      <c r="AT305" s="426"/>
      <c r="AU305" s="426"/>
    </row>
    <row r="306" spans="10:47" ht="17.100000000000001" customHeight="1" x14ac:dyDescent="0.15">
      <c r="J306" s="412" t="s">
        <v>357</v>
      </c>
      <c r="K306" s="412"/>
      <c r="L306" s="412"/>
      <c r="M306" s="412"/>
      <c r="N306" s="426" t="str">
        <f>IF(中間シート!D857&lt;&gt;0,中間シート!D857,"")</f>
        <v/>
      </c>
      <c r="O306" s="426"/>
      <c r="P306" s="426"/>
      <c r="Q306" s="426"/>
      <c r="R306" s="426"/>
      <c r="S306" s="426"/>
      <c r="T306" s="426"/>
      <c r="U306" s="426"/>
      <c r="V306" s="426"/>
      <c r="W306" s="426" t="str">
        <f>IF(中間シート!G857&lt;&gt;0,中間シート!G857,"")</f>
        <v/>
      </c>
      <c r="X306" s="426"/>
      <c r="Y306" s="426"/>
      <c r="Z306" s="426"/>
      <c r="AA306" s="426"/>
      <c r="AB306" s="426"/>
      <c r="AC306" s="426"/>
      <c r="AD306" s="426"/>
      <c r="AE306" s="426"/>
      <c r="AF306" s="427" t="str">
        <f t="shared" si="18"/>
        <v/>
      </c>
      <c r="AG306" s="428"/>
      <c r="AH306" s="428"/>
      <c r="AI306" s="428"/>
      <c r="AJ306" s="428"/>
      <c r="AK306" s="428"/>
      <c r="AL306" s="429"/>
      <c r="AM306" s="426" t="str">
        <f>IF(中間シート!H857&lt;&gt;0,中間シート!H857,"")</f>
        <v/>
      </c>
      <c r="AN306" s="426"/>
      <c r="AO306" s="426"/>
      <c r="AP306" s="426"/>
      <c r="AQ306" s="426"/>
      <c r="AR306" s="426"/>
      <c r="AS306" s="426"/>
      <c r="AT306" s="426"/>
      <c r="AU306" s="426"/>
    </row>
    <row r="307" spans="10:47" ht="17.100000000000001" customHeight="1" x14ac:dyDescent="0.15">
      <c r="J307" s="412" t="s">
        <v>358</v>
      </c>
      <c r="K307" s="412"/>
      <c r="L307" s="412"/>
      <c r="M307" s="412"/>
      <c r="N307" s="426" t="str">
        <f>IF(中間シート!D858&lt;&gt;0,中間シート!D858,"")</f>
        <v/>
      </c>
      <c r="O307" s="426"/>
      <c r="P307" s="426"/>
      <c r="Q307" s="426"/>
      <c r="R307" s="426"/>
      <c r="S307" s="426"/>
      <c r="T307" s="426"/>
      <c r="U307" s="426"/>
      <c r="V307" s="426"/>
      <c r="W307" s="426" t="str">
        <f>IF(中間シート!G858&lt;&gt;0,中間シート!G858,"")</f>
        <v/>
      </c>
      <c r="X307" s="426"/>
      <c r="Y307" s="426"/>
      <c r="Z307" s="426"/>
      <c r="AA307" s="426"/>
      <c r="AB307" s="426"/>
      <c r="AC307" s="426"/>
      <c r="AD307" s="426"/>
      <c r="AE307" s="426"/>
      <c r="AF307" s="427" t="str">
        <f t="shared" si="18"/>
        <v/>
      </c>
      <c r="AG307" s="428"/>
      <c r="AH307" s="428"/>
      <c r="AI307" s="428"/>
      <c r="AJ307" s="428"/>
      <c r="AK307" s="428"/>
      <c r="AL307" s="429"/>
      <c r="AM307" s="426" t="str">
        <f>IF(中間シート!H858&lt;&gt;0,中間シート!H858,"")</f>
        <v/>
      </c>
      <c r="AN307" s="426"/>
      <c r="AO307" s="426"/>
      <c r="AP307" s="426"/>
      <c r="AQ307" s="426"/>
      <c r="AR307" s="426"/>
      <c r="AS307" s="426"/>
      <c r="AT307" s="426"/>
      <c r="AU307" s="426"/>
    </row>
    <row r="308" spans="10:47" ht="17.100000000000001" customHeight="1" x14ac:dyDescent="0.15">
      <c r="J308" s="412" t="s">
        <v>359</v>
      </c>
      <c r="K308" s="412"/>
      <c r="L308" s="412"/>
      <c r="M308" s="412"/>
      <c r="N308" s="426" t="str">
        <f>IF(中間シート!D859&lt;&gt;0,中間シート!D859,"")</f>
        <v/>
      </c>
      <c r="O308" s="426"/>
      <c r="P308" s="426"/>
      <c r="Q308" s="426"/>
      <c r="R308" s="426"/>
      <c r="S308" s="426"/>
      <c r="T308" s="426"/>
      <c r="U308" s="426"/>
      <c r="V308" s="426"/>
      <c r="W308" s="426" t="str">
        <f>IF(中間シート!G859&lt;&gt;0,中間シート!G859,"")</f>
        <v/>
      </c>
      <c r="X308" s="426"/>
      <c r="Y308" s="426"/>
      <c r="Z308" s="426"/>
      <c r="AA308" s="426"/>
      <c r="AB308" s="426"/>
      <c r="AC308" s="426"/>
      <c r="AD308" s="426"/>
      <c r="AE308" s="426"/>
      <c r="AF308" s="427" t="str">
        <f t="shared" si="18"/>
        <v/>
      </c>
      <c r="AG308" s="428"/>
      <c r="AH308" s="428"/>
      <c r="AI308" s="428"/>
      <c r="AJ308" s="428"/>
      <c r="AK308" s="428"/>
      <c r="AL308" s="429"/>
      <c r="AM308" s="426" t="str">
        <f>IF(中間シート!H859&lt;&gt;0,中間シート!H859,"")</f>
        <v/>
      </c>
      <c r="AN308" s="426"/>
      <c r="AO308" s="426"/>
      <c r="AP308" s="426"/>
      <c r="AQ308" s="426"/>
      <c r="AR308" s="426"/>
      <c r="AS308" s="426"/>
      <c r="AT308" s="426"/>
      <c r="AU308" s="426"/>
    </row>
    <row r="309" spans="10:47" ht="17.100000000000001" customHeight="1" x14ac:dyDescent="0.15">
      <c r="J309" s="412" t="s">
        <v>360</v>
      </c>
      <c r="K309" s="412"/>
      <c r="L309" s="412"/>
      <c r="M309" s="412"/>
      <c r="N309" s="426" t="str">
        <f>IF(中間シート!D860&lt;&gt;0,中間シート!D860,"")</f>
        <v/>
      </c>
      <c r="O309" s="426"/>
      <c r="P309" s="426"/>
      <c r="Q309" s="426"/>
      <c r="R309" s="426"/>
      <c r="S309" s="426"/>
      <c r="T309" s="426"/>
      <c r="U309" s="426"/>
      <c r="V309" s="426"/>
      <c r="W309" s="426" t="str">
        <f>IF(中間シート!G860&lt;&gt;0,中間シート!G860,"")</f>
        <v/>
      </c>
      <c r="X309" s="426"/>
      <c r="Y309" s="426"/>
      <c r="Z309" s="426"/>
      <c r="AA309" s="426"/>
      <c r="AB309" s="426"/>
      <c r="AC309" s="426"/>
      <c r="AD309" s="426"/>
      <c r="AE309" s="426"/>
      <c r="AF309" s="427" t="str">
        <f t="shared" si="18"/>
        <v/>
      </c>
      <c r="AG309" s="428"/>
      <c r="AH309" s="428"/>
      <c r="AI309" s="428"/>
      <c r="AJ309" s="428"/>
      <c r="AK309" s="428"/>
      <c r="AL309" s="429"/>
      <c r="AM309" s="426" t="str">
        <f>IF(中間シート!H860&lt;&gt;0,中間シート!H860,"")</f>
        <v/>
      </c>
      <c r="AN309" s="426"/>
      <c r="AO309" s="426"/>
      <c r="AP309" s="426"/>
      <c r="AQ309" s="426"/>
      <c r="AR309" s="426"/>
      <c r="AS309" s="426"/>
      <c r="AT309" s="426"/>
      <c r="AU309" s="426"/>
    </row>
    <row r="310" spans="10:47" ht="17.100000000000001" customHeight="1" x14ac:dyDescent="0.15">
      <c r="J310" s="412" t="s">
        <v>361</v>
      </c>
      <c r="K310" s="412"/>
      <c r="L310" s="412"/>
      <c r="M310" s="412"/>
      <c r="N310" s="426" t="str">
        <f>IF(中間シート!D861&lt;&gt;0,中間シート!D861,"")</f>
        <v/>
      </c>
      <c r="O310" s="426"/>
      <c r="P310" s="426"/>
      <c r="Q310" s="426"/>
      <c r="R310" s="426"/>
      <c r="S310" s="426"/>
      <c r="T310" s="426"/>
      <c r="U310" s="426"/>
      <c r="V310" s="426"/>
      <c r="W310" s="426" t="str">
        <f>IF(中間シート!G861&lt;&gt;0,中間シート!G861,"")</f>
        <v/>
      </c>
      <c r="X310" s="426"/>
      <c r="Y310" s="426"/>
      <c r="Z310" s="426"/>
      <c r="AA310" s="426"/>
      <c r="AB310" s="426"/>
      <c r="AC310" s="426"/>
      <c r="AD310" s="426"/>
      <c r="AE310" s="426"/>
      <c r="AF310" s="427" t="str">
        <f t="shared" si="18"/>
        <v/>
      </c>
      <c r="AG310" s="428"/>
      <c r="AH310" s="428"/>
      <c r="AI310" s="428"/>
      <c r="AJ310" s="428"/>
      <c r="AK310" s="428"/>
      <c r="AL310" s="429"/>
      <c r="AM310" s="426" t="str">
        <f>IF(中間シート!H861&lt;&gt;0,中間シート!H861,"")</f>
        <v/>
      </c>
      <c r="AN310" s="426"/>
      <c r="AO310" s="426"/>
      <c r="AP310" s="426"/>
      <c r="AQ310" s="426"/>
      <c r="AR310" s="426"/>
      <c r="AS310" s="426"/>
      <c r="AT310" s="426"/>
      <c r="AU310" s="426"/>
    </row>
    <row r="311" spans="10:47" ht="17.100000000000001" customHeight="1" x14ac:dyDescent="0.15">
      <c r="J311" s="412" t="s">
        <v>362</v>
      </c>
      <c r="K311" s="412"/>
      <c r="L311" s="412"/>
      <c r="M311" s="412"/>
      <c r="N311" s="426" t="str">
        <f>IF(中間シート!D862&lt;&gt;0,中間シート!D862,"")</f>
        <v/>
      </c>
      <c r="O311" s="426"/>
      <c r="P311" s="426"/>
      <c r="Q311" s="426"/>
      <c r="R311" s="426"/>
      <c r="S311" s="426"/>
      <c r="T311" s="426"/>
      <c r="U311" s="426"/>
      <c r="V311" s="426"/>
      <c r="W311" s="426" t="str">
        <f>IF(中間シート!G862&lt;&gt;0,中間シート!G862,"")</f>
        <v/>
      </c>
      <c r="X311" s="426"/>
      <c r="Y311" s="426"/>
      <c r="Z311" s="426"/>
      <c r="AA311" s="426"/>
      <c r="AB311" s="426"/>
      <c r="AC311" s="426"/>
      <c r="AD311" s="426"/>
      <c r="AE311" s="426"/>
      <c r="AF311" s="427" t="str">
        <f t="shared" si="18"/>
        <v/>
      </c>
      <c r="AG311" s="428"/>
      <c r="AH311" s="428"/>
      <c r="AI311" s="428"/>
      <c r="AJ311" s="428"/>
      <c r="AK311" s="428"/>
      <c r="AL311" s="429"/>
      <c r="AM311" s="426" t="str">
        <f>IF(中間シート!H862&lt;&gt;0,中間シート!H862,"")</f>
        <v/>
      </c>
      <c r="AN311" s="426"/>
      <c r="AO311" s="426"/>
      <c r="AP311" s="426"/>
      <c r="AQ311" s="426"/>
      <c r="AR311" s="426"/>
      <c r="AS311" s="426"/>
      <c r="AT311" s="426"/>
      <c r="AU311" s="426"/>
    </row>
    <row r="312" spans="10:47" ht="17.100000000000001" customHeight="1" x14ac:dyDescent="0.15">
      <c r="J312" s="412" t="s">
        <v>363</v>
      </c>
      <c r="K312" s="412"/>
      <c r="L312" s="412"/>
      <c r="M312" s="412"/>
      <c r="N312" s="426" t="str">
        <f>IF(中間シート!D863&lt;&gt;0,中間シート!D863,"")</f>
        <v/>
      </c>
      <c r="O312" s="426"/>
      <c r="P312" s="426"/>
      <c r="Q312" s="426"/>
      <c r="R312" s="426"/>
      <c r="S312" s="426"/>
      <c r="T312" s="426"/>
      <c r="U312" s="426"/>
      <c r="V312" s="426"/>
      <c r="W312" s="426" t="str">
        <f>IF(中間シート!G863&lt;&gt;0,中間シート!G863,"")</f>
        <v/>
      </c>
      <c r="X312" s="426"/>
      <c r="Y312" s="426"/>
      <c r="Z312" s="426"/>
      <c r="AA312" s="426"/>
      <c r="AB312" s="426"/>
      <c r="AC312" s="426"/>
      <c r="AD312" s="426"/>
      <c r="AE312" s="426"/>
      <c r="AF312" s="427" t="str">
        <f t="shared" si="18"/>
        <v/>
      </c>
      <c r="AG312" s="428"/>
      <c r="AH312" s="428"/>
      <c r="AI312" s="428"/>
      <c r="AJ312" s="428"/>
      <c r="AK312" s="428"/>
      <c r="AL312" s="429"/>
      <c r="AM312" s="426" t="str">
        <f>IF(中間シート!H863&lt;&gt;0,中間シート!H863,"")</f>
        <v/>
      </c>
      <c r="AN312" s="426"/>
      <c r="AO312" s="426"/>
      <c r="AP312" s="426"/>
      <c r="AQ312" s="426"/>
      <c r="AR312" s="426"/>
      <c r="AS312" s="426"/>
      <c r="AT312" s="426"/>
      <c r="AU312" s="426"/>
    </row>
    <row r="313" spans="10:47" ht="17.100000000000001" customHeight="1" x14ac:dyDescent="0.15">
      <c r="J313" s="412" t="s">
        <v>364</v>
      </c>
      <c r="K313" s="412"/>
      <c r="L313" s="412"/>
      <c r="M313" s="412"/>
      <c r="N313" s="426" t="str">
        <f>IF(中間シート!D864&lt;&gt;0,中間シート!D864,"")</f>
        <v/>
      </c>
      <c r="O313" s="426"/>
      <c r="P313" s="426"/>
      <c r="Q313" s="426"/>
      <c r="R313" s="426"/>
      <c r="S313" s="426"/>
      <c r="T313" s="426"/>
      <c r="U313" s="426"/>
      <c r="V313" s="426"/>
      <c r="W313" s="426" t="str">
        <f>IF(中間シート!G864&lt;&gt;0,中間シート!G864,"")</f>
        <v/>
      </c>
      <c r="X313" s="426"/>
      <c r="Y313" s="426"/>
      <c r="Z313" s="426"/>
      <c r="AA313" s="426"/>
      <c r="AB313" s="426"/>
      <c r="AC313" s="426"/>
      <c r="AD313" s="426"/>
      <c r="AE313" s="426"/>
      <c r="AF313" s="427" t="str">
        <f t="shared" si="18"/>
        <v/>
      </c>
      <c r="AG313" s="428"/>
      <c r="AH313" s="428"/>
      <c r="AI313" s="428"/>
      <c r="AJ313" s="428"/>
      <c r="AK313" s="428"/>
      <c r="AL313" s="429"/>
      <c r="AM313" s="426" t="str">
        <f>IF(中間シート!H864&lt;&gt;0,中間シート!H864,"")</f>
        <v/>
      </c>
      <c r="AN313" s="426"/>
      <c r="AO313" s="426"/>
      <c r="AP313" s="426"/>
      <c r="AQ313" s="426"/>
      <c r="AR313" s="426"/>
      <c r="AS313" s="426"/>
      <c r="AT313" s="426"/>
      <c r="AU313" s="426"/>
    </row>
    <row r="314" spans="10:47" ht="17.100000000000001" customHeight="1" x14ac:dyDescent="0.15">
      <c r="J314" s="412" t="s">
        <v>365</v>
      </c>
      <c r="K314" s="412"/>
      <c r="L314" s="412"/>
      <c r="M314" s="412"/>
      <c r="N314" s="426" t="str">
        <f>IF(中間シート!D865&lt;&gt;0,中間シート!D865,"")</f>
        <v/>
      </c>
      <c r="O314" s="426"/>
      <c r="P314" s="426"/>
      <c r="Q314" s="426"/>
      <c r="R314" s="426"/>
      <c r="S314" s="426"/>
      <c r="T314" s="426"/>
      <c r="U314" s="426"/>
      <c r="V314" s="426"/>
      <c r="W314" s="426" t="str">
        <f>IF(中間シート!G865&lt;&gt;0,中間シート!G865,"")</f>
        <v/>
      </c>
      <c r="X314" s="426"/>
      <c r="Y314" s="426"/>
      <c r="Z314" s="426"/>
      <c r="AA314" s="426"/>
      <c r="AB314" s="426"/>
      <c r="AC314" s="426"/>
      <c r="AD314" s="426"/>
      <c r="AE314" s="426"/>
      <c r="AF314" s="427" t="str">
        <f t="shared" si="18"/>
        <v/>
      </c>
      <c r="AG314" s="428"/>
      <c r="AH314" s="428"/>
      <c r="AI314" s="428"/>
      <c r="AJ314" s="428"/>
      <c r="AK314" s="428"/>
      <c r="AL314" s="429"/>
      <c r="AM314" s="426" t="str">
        <f>IF(中間シート!H865&lt;&gt;0,中間シート!H865,"")</f>
        <v/>
      </c>
      <c r="AN314" s="426"/>
      <c r="AO314" s="426"/>
      <c r="AP314" s="426"/>
      <c r="AQ314" s="426"/>
      <c r="AR314" s="426"/>
      <c r="AS314" s="426"/>
      <c r="AT314" s="426"/>
      <c r="AU314" s="426"/>
    </row>
    <row r="315" spans="10:47" ht="17.100000000000001" customHeight="1" x14ac:dyDescent="0.15">
      <c r="J315" s="412" t="s">
        <v>366</v>
      </c>
      <c r="K315" s="412"/>
      <c r="L315" s="412"/>
      <c r="M315" s="412"/>
      <c r="N315" s="426" t="str">
        <f>IF(中間シート!D866&lt;&gt;0,中間シート!D866,"")</f>
        <v/>
      </c>
      <c r="O315" s="426"/>
      <c r="P315" s="426"/>
      <c r="Q315" s="426"/>
      <c r="R315" s="426"/>
      <c r="S315" s="426"/>
      <c r="T315" s="426"/>
      <c r="U315" s="426"/>
      <c r="V315" s="426"/>
      <c r="W315" s="426" t="str">
        <f>IF(中間シート!G866&lt;&gt;0,中間シート!G866,"")</f>
        <v/>
      </c>
      <c r="X315" s="426"/>
      <c r="Y315" s="426"/>
      <c r="Z315" s="426"/>
      <c r="AA315" s="426"/>
      <c r="AB315" s="426"/>
      <c r="AC315" s="426"/>
      <c r="AD315" s="426"/>
      <c r="AE315" s="426"/>
      <c r="AF315" s="427" t="str">
        <f t="shared" si="18"/>
        <v/>
      </c>
      <c r="AG315" s="428"/>
      <c r="AH315" s="428"/>
      <c r="AI315" s="428"/>
      <c r="AJ315" s="428"/>
      <c r="AK315" s="428"/>
      <c r="AL315" s="429"/>
      <c r="AM315" s="426" t="str">
        <f>IF(中間シート!H866&lt;&gt;0,中間シート!H866,"")</f>
        <v/>
      </c>
      <c r="AN315" s="426"/>
      <c r="AO315" s="426"/>
      <c r="AP315" s="426"/>
      <c r="AQ315" s="426"/>
      <c r="AR315" s="426"/>
      <c r="AS315" s="426"/>
      <c r="AT315" s="426"/>
      <c r="AU315" s="426"/>
    </row>
    <row r="316" spans="10:47" ht="17.100000000000001" customHeight="1" x14ac:dyDescent="0.15">
      <c r="J316" s="412" t="s">
        <v>367</v>
      </c>
      <c r="K316" s="412"/>
      <c r="L316" s="412"/>
      <c r="M316" s="412"/>
      <c r="N316" s="426" t="str">
        <f>IF(中間シート!D867&lt;&gt;0,中間シート!D867,"")</f>
        <v/>
      </c>
      <c r="O316" s="426"/>
      <c r="P316" s="426"/>
      <c r="Q316" s="426"/>
      <c r="R316" s="426"/>
      <c r="S316" s="426"/>
      <c r="T316" s="426"/>
      <c r="U316" s="426"/>
      <c r="V316" s="426"/>
      <c r="W316" s="426" t="str">
        <f>IF(中間シート!G867&lt;&gt;0,中間シート!G867,"")</f>
        <v/>
      </c>
      <c r="X316" s="426"/>
      <c r="Y316" s="426"/>
      <c r="Z316" s="426"/>
      <c r="AA316" s="426"/>
      <c r="AB316" s="426"/>
      <c r="AC316" s="426"/>
      <c r="AD316" s="426"/>
      <c r="AE316" s="426"/>
      <c r="AF316" s="427" t="str">
        <f t="shared" si="18"/>
        <v/>
      </c>
      <c r="AG316" s="428"/>
      <c r="AH316" s="428"/>
      <c r="AI316" s="428"/>
      <c r="AJ316" s="428"/>
      <c r="AK316" s="428"/>
      <c r="AL316" s="429"/>
      <c r="AM316" s="426" t="str">
        <f>IF(中間シート!H867&lt;&gt;0,中間シート!H867,"")</f>
        <v/>
      </c>
      <c r="AN316" s="426"/>
      <c r="AO316" s="426"/>
      <c r="AP316" s="426"/>
      <c r="AQ316" s="426"/>
      <c r="AR316" s="426"/>
      <c r="AS316" s="426"/>
      <c r="AT316" s="426"/>
      <c r="AU316" s="426"/>
    </row>
    <row r="317" spans="10:47" ht="17.100000000000001" customHeight="1" x14ac:dyDescent="0.15">
      <c r="J317" s="412" t="s">
        <v>368</v>
      </c>
      <c r="K317" s="412"/>
      <c r="L317" s="412"/>
      <c r="M317" s="412"/>
      <c r="N317" s="426" t="str">
        <f>IF(中間シート!D868&lt;&gt;0,中間シート!D868,"")</f>
        <v/>
      </c>
      <c r="O317" s="426"/>
      <c r="P317" s="426"/>
      <c r="Q317" s="426"/>
      <c r="R317" s="426"/>
      <c r="S317" s="426"/>
      <c r="T317" s="426"/>
      <c r="U317" s="426"/>
      <c r="V317" s="426"/>
      <c r="W317" s="426" t="str">
        <f>IF(中間シート!G868&lt;&gt;0,中間シート!G868,"")</f>
        <v/>
      </c>
      <c r="X317" s="426"/>
      <c r="Y317" s="426"/>
      <c r="Z317" s="426"/>
      <c r="AA317" s="426"/>
      <c r="AB317" s="426"/>
      <c r="AC317" s="426"/>
      <c r="AD317" s="426"/>
      <c r="AE317" s="426"/>
      <c r="AF317" s="427" t="str">
        <f t="shared" si="18"/>
        <v/>
      </c>
      <c r="AG317" s="428"/>
      <c r="AH317" s="428"/>
      <c r="AI317" s="428"/>
      <c r="AJ317" s="428"/>
      <c r="AK317" s="428"/>
      <c r="AL317" s="429"/>
      <c r="AM317" s="426" t="str">
        <f>IF(中間シート!H868&lt;&gt;0,中間シート!H868,"")</f>
        <v/>
      </c>
      <c r="AN317" s="426"/>
      <c r="AO317" s="426"/>
      <c r="AP317" s="426"/>
      <c r="AQ317" s="426"/>
      <c r="AR317" s="426"/>
      <c r="AS317" s="426"/>
      <c r="AT317" s="426"/>
      <c r="AU317" s="426"/>
    </row>
    <row r="318" spans="10:47" ht="17.100000000000001" customHeight="1" x14ac:dyDescent="0.15">
      <c r="J318" s="412" t="s">
        <v>369</v>
      </c>
      <c r="K318" s="412"/>
      <c r="L318" s="412"/>
      <c r="M318" s="412"/>
      <c r="N318" s="426" t="str">
        <f>IF(中間シート!D869&lt;&gt;0,中間シート!D869,"")</f>
        <v/>
      </c>
      <c r="O318" s="426"/>
      <c r="P318" s="426"/>
      <c r="Q318" s="426"/>
      <c r="R318" s="426"/>
      <c r="S318" s="426"/>
      <c r="T318" s="426"/>
      <c r="U318" s="426"/>
      <c r="V318" s="426"/>
      <c r="W318" s="426" t="str">
        <f>IF(中間シート!G869&lt;&gt;0,中間シート!G869,"")</f>
        <v/>
      </c>
      <c r="X318" s="426"/>
      <c r="Y318" s="426"/>
      <c r="Z318" s="426"/>
      <c r="AA318" s="426"/>
      <c r="AB318" s="426"/>
      <c r="AC318" s="426"/>
      <c r="AD318" s="426"/>
      <c r="AE318" s="426"/>
      <c r="AF318" s="427" t="str">
        <f t="shared" si="18"/>
        <v/>
      </c>
      <c r="AG318" s="428"/>
      <c r="AH318" s="428"/>
      <c r="AI318" s="428"/>
      <c r="AJ318" s="428"/>
      <c r="AK318" s="428"/>
      <c r="AL318" s="429"/>
      <c r="AM318" s="426" t="str">
        <f>IF(中間シート!H869&lt;&gt;0,中間シート!H869,"")</f>
        <v/>
      </c>
      <c r="AN318" s="426"/>
      <c r="AO318" s="426"/>
      <c r="AP318" s="426"/>
      <c r="AQ318" s="426"/>
      <c r="AR318" s="426"/>
      <c r="AS318" s="426"/>
      <c r="AT318" s="426"/>
      <c r="AU318" s="426"/>
    </row>
    <row r="319" spans="10:47" ht="16.5" customHeight="1" x14ac:dyDescent="0.15">
      <c r="J319" s="412" t="s">
        <v>291</v>
      </c>
      <c r="K319" s="412"/>
      <c r="L319" s="412"/>
      <c r="M319" s="412"/>
      <c r="N319" s="426" t="str">
        <f>IF(N269&lt;&gt;"",SUM(N269:V318),"")</f>
        <v/>
      </c>
      <c r="O319" s="426"/>
      <c r="P319" s="426"/>
      <c r="Q319" s="426"/>
      <c r="R319" s="426"/>
      <c r="S319" s="426"/>
      <c r="T319" s="426"/>
      <c r="U319" s="426"/>
      <c r="V319" s="426"/>
      <c r="W319" s="426" t="str">
        <f>IF(W269&lt;&gt;"",SUM(W269:AE318),"")</f>
        <v/>
      </c>
      <c r="X319" s="426"/>
      <c r="Y319" s="426"/>
      <c r="Z319" s="426"/>
      <c r="AA319" s="426"/>
      <c r="AB319" s="426"/>
      <c r="AC319" s="426"/>
      <c r="AD319" s="426"/>
      <c r="AE319" s="426"/>
      <c r="AF319" s="427"/>
      <c r="AG319" s="428"/>
      <c r="AH319" s="428"/>
      <c r="AI319" s="428"/>
      <c r="AJ319" s="428"/>
      <c r="AK319" s="428"/>
      <c r="AL319" s="429"/>
      <c r="AM319" s="426" t="str">
        <f>IF(AM269&lt;&gt;"",SUM(AM269:AU318),"")</f>
        <v/>
      </c>
      <c r="AN319" s="426"/>
      <c r="AO319" s="426"/>
      <c r="AP319" s="426"/>
      <c r="AQ319" s="426"/>
      <c r="AR319" s="426"/>
      <c r="AS319" s="426"/>
      <c r="AT319" s="426"/>
      <c r="AU319" s="426"/>
    </row>
    <row r="320" spans="10:47" x14ac:dyDescent="0.15">
      <c r="J320" s="140" t="s">
        <v>292</v>
      </c>
      <c r="K320" s="140"/>
      <c r="L320" s="140"/>
    </row>
    <row r="321" spans="10:47" x14ac:dyDescent="0.15">
      <c r="J321" s="143" t="s">
        <v>293</v>
      </c>
      <c r="K321" s="140"/>
      <c r="L321" s="140" t="s">
        <v>294</v>
      </c>
    </row>
    <row r="322" spans="10:47" x14ac:dyDescent="0.15">
      <c r="J322" s="143" t="s">
        <v>258</v>
      </c>
      <c r="K322" s="140"/>
      <c r="L322" s="140" t="s">
        <v>295</v>
      </c>
    </row>
    <row r="323" spans="10:47" x14ac:dyDescent="0.15">
      <c r="L323" s="140" t="s">
        <v>296</v>
      </c>
    </row>
    <row r="324" spans="10:47" x14ac:dyDescent="0.15">
      <c r="J324" s="143" t="s">
        <v>260</v>
      </c>
      <c r="K324" s="140"/>
      <c r="L324" s="140" t="s">
        <v>297</v>
      </c>
    </row>
    <row r="325" spans="10:47" x14ac:dyDescent="0.15">
      <c r="K325" s="140"/>
      <c r="L325" s="140" t="s">
        <v>298</v>
      </c>
    </row>
    <row r="327" spans="10:47" x14ac:dyDescent="0.15">
      <c r="J327" s="58" t="s">
        <v>299</v>
      </c>
    </row>
    <row r="328" spans="10:47" ht="16.5" customHeight="1" x14ac:dyDescent="0.15">
      <c r="J328" s="427" t="s">
        <v>300</v>
      </c>
      <c r="K328" s="428"/>
      <c r="L328" s="428"/>
      <c r="M328" s="428"/>
      <c r="N328" s="428"/>
      <c r="O328" s="428"/>
      <c r="P328" s="428"/>
      <c r="Q328" s="428"/>
      <c r="R328" s="428"/>
      <c r="S328" s="428"/>
      <c r="T328" s="428"/>
      <c r="U328" s="429"/>
      <c r="V328" s="412" t="s">
        <v>301</v>
      </c>
      <c r="W328" s="412"/>
      <c r="X328" s="412"/>
      <c r="Y328" s="412"/>
      <c r="Z328" s="412"/>
      <c r="AA328" s="412"/>
      <c r="AB328" s="412"/>
      <c r="AC328" s="412"/>
      <c r="AD328" s="412"/>
      <c r="AE328" s="412"/>
      <c r="AF328" s="412" t="s">
        <v>302</v>
      </c>
      <c r="AG328" s="412"/>
      <c r="AH328" s="412"/>
      <c r="AI328" s="412"/>
      <c r="AJ328" s="412"/>
      <c r="AK328" s="412"/>
      <c r="AL328" s="412"/>
      <c r="AM328" s="412"/>
      <c r="AN328" s="412"/>
      <c r="AO328" s="412"/>
      <c r="AP328" s="412"/>
      <c r="AQ328" s="412"/>
      <c r="AR328" s="412"/>
      <c r="AS328" s="412"/>
      <c r="AT328" s="412"/>
      <c r="AU328" s="412"/>
    </row>
    <row r="329" spans="10:47" ht="16.5" customHeight="1" x14ac:dyDescent="0.15">
      <c r="J329" s="430" t="str">
        <f>中間シート!F21&amp;" "&amp;中間シート!F22</f>
        <v xml:space="preserve"> </v>
      </c>
      <c r="K329" s="431"/>
      <c r="L329" s="431"/>
      <c r="M329" s="431"/>
      <c r="N329" s="431"/>
      <c r="O329" s="431"/>
      <c r="P329" s="431"/>
      <c r="Q329" s="431"/>
      <c r="R329" s="431"/>
      <c r="S329" s="431"/>
      <c r="T329" s="431"/>
      <c r="U329" s="432"/>
      <c r="V329" s="425" t="str">
        <f>中間シート!F23&amp;" "&amp;中間シート!F24</f>
        <v xml:space="preserve"> </v>
      </c>
      <c r="W329" s="425"/>
      <c r="X329" s="425"/>
      <c r="Y329" s="425"/>
      <c r="Z329" s="425"/>
      <c r="AA329" s="425"/>
      <c r="AB329" s="425"/>
      <c r="AC329" s="425"/>
      <c r="AD329" s="425"/>
      <c r="AE329" s="425"/>
      <c r="AF329" s="407" t="s">
        <v>303</v>
      </c>
      <c r="AG329" s="408"/>
      <c r="AH329" s="408"/>
      <c r="AI329" s="408"/>
      <c r="AJ329" s="441" t="str">
        <f>IF(中間シート!F25&amp;中間シート!G25&amp;中間シート!H25&lt;&gt;"",中間シート!F25&amp;"-"&amp;中間シート!G25&amp;"-"&amp;中間シート!H25,"")</f>
        <v/>
      </c>
      <c r="AK329" s="441"/>
      <c r="AL329" s="441"/>
      <c r="AM329" s="441"/>
      <c r="AN329" s="441"/>
      <c r="AO329" s="441"/>
      <c r="AP329" s="441"/>
      <c r="AQ329" s="441"/>
      <c r="AR329" s="441"/>
      <c r="AS329" s="441"/>
      <c r="AT329" s="441"/>
      <c r="AU329" s="442"/>
    </row>
    <row r="330" spans="10:47" ht="16.5" hidden="1" customHeight="1" x14ac:dyDescent="0.15">
      <c r="J330" s="433"/>
      <c r="K330" s="434"/>
      <c r="L330" s="434"/>
      <c r="M330" s="434"/>
      <c r="N330" s="434"/>
      <c r="O330" s="434"/>
      <c r="P330" s="434"/>
      <c r="Q330" s="434"/>
      <c r="R330" s="434"/>
      <c r="S330" s="434"/>
      <c r="T330" s="434"/>
      <c r="U330" s="435"/>
      <c r="V330" s="425"/>
      <c r="W330" s="425"/>
      <c r="X330" s="425"/>
      <c r="Y330" s="425"/>
      <c r="Z330" s="425"/>
      <c r="AA330" s="425"/>
      <c r="AB330" s="425"/>
      <c r="AC330" s="425"/>
      <c r="AD330" s="425"/>
      <c r="AE330" s="425"/>
      <c r="AF330" s="405" t="s">
        <v>304</v>
      </c>
      <c r="AG330" s="406"/>
      <c r="AH330" s="406"/>
      <c r="AI330" s="406"/>
      <c r="AJ330" s="443" t="str">
        <f>IF(中間シート!F26&amp;中間シート!G26&amp;中間シート!H26&lt;&gt;"",中間シート!F26&amp;"-"&amp;中間シート!G26&amp;"-"&amp;中間シート!H26,"")</f>
        <v>01-2345-6789</v>
      </c>
      <c r="AK330" s="443"/>
      <c r="AL330" s="443"/>
      <c r="AM330" s="443"/>
      <c r="AN330" s="443"/>
      <c r="AO330" s="443"/>
      <c r="AP330" s="443"/>
      <c r="AQ330" s="443"/>
      <c r="AR330" s="443"/>
      <c r="AS330" s="443"/>
      <c r="AT330" s="443"/>
      <c r="AU330" s="444"/>
    </row>
    <row r="331" spans="10:47" ht="33" customHeight="1" x14ac:dyDescent="0.15">
      <c r="J331" s="436"/>
      <c r="K331" s="437"/>
      <c r="L331" s="437"/>
      <c r="M331" s="437"/>
      <c r="N331" s="437"/>
      <c r="O331" s="437"/>
      <c r="P331" s="437"/>
      <c r="Q331" s="437"/>
      <c r="R331" s="437"/>
      <c r="S331" s="437"/>
      <c r="T331" s="437"/>
      <c r="U331" s="438"/>
      <c r="V331" s="425"/>
      <c r="W331" s="425"/>
      <c r="X331" s="425"/>
      <c r="Y331" s="425"/>
      <c r="Z331" s="425"/>
      <c r="AA331" s="425"/>
      <c r="AB331" s="425"/>
      <c r="AC331" s="425"/>
      <c r="AD331" s="425"/>
      <c r="AE331" s="425"/>
      <c r="AF331" s="403" t="s">
        <v>305</v>
      </c>
      <c r="AG331" s="404"/>
      <c r="AH331" s="404"/>
      <c r="AI331" s="404"/>
      <c r="AJ331" s="439" t="str">
        <f>IF(中間シート!F27&amp;中間シート!G27&lt;&gt;"",中間シート!F27&amp;"@"&amp;中間シート!G27,"")</f>
        <v/>
      </c>
      <c r="AK331" s="439"/>
      <c r="AL331" s="439"/>
      <c r="AM331" s="439"/>
      <c r="AN331" s="439"/>
      <c r="AO331" s="439"/>
      <c r="AP331" s="439"/>
      <c r="AQ331" s="439"/>
      <c r="AR331" s="439"/>
      <c r="AS331" s="439"/>
      <c r="AT331" s="439"/>
      <c r="AU331" s="440"/>
    </row>
    <row r="332" spans="10:47" hidden="1" x14ac:dyDescent="0.15"/>
    <row r="333" spans="10:47" hidden="1" x14ac:dyDescent="0.15">
      <c r="J333" s="58" t="s">
        <v>306</v>
      </c>
    </row>
    <row r="334" spans="10:47" ht="16.5" hidden="1" customHeight="1" x14ac:dyDescent="0.15">
      <c r="J334" s="427" t="s">
        <v>307</v>
      </c>
      <c r="K334" s="428"/>
      <c r="L334" s="428"/>
      <c r="M334" s="428"/>
      <c r="N334" s="428"/>
      <c r="O334" s="428"/>
      <c r="P334" s="428"/>
      <c r="Q334" s="428"/>
      <c r="R334" s="428"/>
      <c r="S334" s="428"/>
      <c r="T334" s="428"/>
      <c r="U334" s="428"/>
      <c r="V334" s="428"/>
      <c r="W334" s="428"/>
      <c r="X334" s="428"/>
      <c r="Y334" s="428"/>
      <c r="Z334" s="428"/>
      <c r="AA334" s="428"/>
      <c r="AB334" s="428"/>
      <c r="AC334" s="428"/>
      <c r="AD334" s="428"/>
      <c r="AE334" s="428"/>
      <c r="AF334" s="428"/>
      <c r="AG334" s="428"/>
      <c r="AH334" s="428"/>
      <c r="AI334" s="428"/>
      <c r="AJ334" s="428"/>
      <c r="AK334" s="428"/>
      <c r="AL334" s="428"/>
      <c r="AM334" s="428"/>
      <c r="AN334" s="428"/>
      <c r="AO334" s="428"/>
      <c r="AP334" s="428"/>
      <c r="AQ334" s="428"/>
      <c r="AR334" s="428"/>
      <c r="AS334" s="428"/>
      <c r="AT334" s="428"/>
      <c r="AU334" s="429"/>
    </row>
    <row r="335" spans="10:47" ht="16.5" hidden="1" customHeight="1" x14ac:dyDescent="0.15">
      <c r="J335" s="144" t="s">
        <v>308</v>
      </c>
      <c r="K335" s="434" t="str">
        <f>IF(AND(中間シート!F29&lt;&gt;"",中間シート!G29&lt;&gt;""),中間シート!F29&amp;"-"&amp;中間シート!G29,"")</f>
        <v>999-8889</v>
      </c>
      <c r="L335" s="434"/>
      <c r="M335" s="434"/>
      <c r="N335" s="434"/>
      <c r="O335" s="434"/>
      <c r="P335" s="434" t="str">
        <f>中間シート!F30&amp;中間シート!F31&amp;中間シート!F32&amp;中間シート!F33</f>
        <v>神奈川県ｄ００７ＵＵＵｓｏｕｈｕｄ００８ＵＵＵｓｏｕｈｕｄ００９ＵＵＵｓｏｕｈｕ</v>
      </c>
      <c r="Q335" s="434"/>
      <c r="R335" s="434"/>
      <c r="S335" s="434"/>
      <c r="T335" s="434"/>
      <c r="U335" s="434"/>
      <c r="V335" s="434"/>
      <c r="W335" s="434"/>
      <c r="X335" s="434"/>
      <c r="Y335" s="434"/>
      <c r="Z335" s="434"/>
      <c r="AA335" s="434"/>
      <c r="AB335" s="434"/>
      <c r="AC335" s="434"/>
      <c r="AD335" s="434"/>
      <c r="AE335" s="434"/>
      <c r="AF335" s="434"/>
      <c r="AG335" s="434"/>
      <c r="AH335" s="434"/>
      <c r="AI335" s="434"/>
      <c r="AJ335" s="434"/>
      <c r="AK335" s="434"/>
      <c r="AL335" s="434"/>
      <c r="AM335" s="434"/>
      <c r="AN335" s="434"/>
      <c r="AO335" s="434"/>
      <c r="AP335" s="434"/>
      <c r="AQ335" s="434"/>
      <c r="AR335" s="434"/>
      <c r="AS335" s="434"/>
      <c r="AT335" s="434"/>
      <c r="AU335" s="435"/>
    </row>
    <row r="336" spans="10:47" ht="16.5" hidden="1" customHeight="1" x14ac:dyDescent="0.15">
      <c r="J336" s="145" t="s">
        <v>309</v>
      </c>
      <c r="K336" s="146"/>
      <c r="L336" s="146"/>
      <c r="M336" s="146"/>
      <c r="N336" s="146"/>
      <c r="O336" s="146"/>
      <c r="P336" s="437"/>
      <c r="Q336" s="437"/>
      <c r="R336" s="437"/>
      <c r="S336" s="437"/>
      <c r="T336" s="437"/>
      <c r="U336" s="437"/>
      <c r="V336" s="437"/>
      <c r="W336" s="437"/>
      <c r="X336" s="437"/>
      <c r="Y336" s="437"/>
      <c r="Z336" s="437"/>
      <c r="AA336" s="437"/>
      <c r="AB336" s="437"/>
      <c r="AC336" s="437"/>
      <c r="AD336" s="437"/>
      <c r="AE336" s="437"/>
      <c r="AF336" s="437"/>
      <c r="AG336" s="437"/>
      <c r="AH336" s="437"/>
      <c r="AI336" s="437"/>
      <c r="AJ336" s="437"/>
      <c r="AK336" s="437"/>
      <c r="AL336" s="437"/>
      <c r="AM336" s="437"/>
      <c r="AN336" s="437"/>
      <c r="AO336" s="437"/>
      <c r="AP336" s="437"/>
      <c r="AQ336" s="437"/>
      <c r="AR336" s="437"/>
      <c r="AS336" s="437"/>
      <c r="AT336" s="437"/>
      <c r="AU336" s="438"/>
    </row>
    <row r="337" spans="9:47" ht="16.5" hidden="1" customHeight="1" x14ac:dyDescent="0.15">
      <c r="J337" s="412" t="s">
        <v>129</v>
      </c>
      <c r="K337" s="412"/>
      <c r="L337" s="412"/>
      <c r="M337" s="412"/>
      <c r="N337" s="412"/>
      <c r="O337" s="412"/>
      <c r="P337" s="412"/>
      <c r="Q337" s="412"/>
      <c r="R337" s="412"/>
      <c r="S337" s="412"/>
      <c r="T337" s="412" t="s">
        <v>300</v>
      </c>
      <c r="U337" s="412"/>
      <c r="V337" s="412"/>
      <c r="W337" s="412"/>
      <c r="X337" s="412"/>
      <c r="Y337" s="412"/>
      <c r="Z337" s="412"/>
      <c r="AA337" s="412"/>
      <c r="AB337" s="412"/>
      <c r="AC337" s="412"/>
      <c r="AD337" s="412"/>
      <c r="AE337" s="412"/>
      <c r="AF337" s="412"/>
      <c r="AG337" s="412"/>
      <c r="AH337" s="412"/>
      <c r="AI337" s="412"/>
      <c r="AJ337" s="412" t="s">
        <v>301</v>
      </c>
      <c r="AK337" s="412"/>
      <c r="AL337" s="412"/>
      <c r="AM337" s="412"/>
      <c r="AN337" s="412"/>
      <c r="AO337" s="412"/>
      <c r="AP337" s="412"/>
      <c r="AQ337" s="412"/>
      <c r="AR337" s="412"/>
      <c r="AS337" s="412"/>
      <c r="AT337" s="412"/>
      <c r="AU337" s="412"/>
    </row>
    <row r="338" spans="9:47" ht="30" hidden="1" customHeight="1" x14ac:dyDescent="0.15">
      <c r="J338" s="425" t="str">
        <f>中間シート!F34</f>
        <v>ｄ０１０ＵＵＵｓｏｕｈｕ</v>
      </c>
      <c r="K338" s="425"/>
      <c r="L338" s="425"/>
      <c r="M338" s="425"/>
      <c r="N338" s="425"/>
      <c r="O338" s="425"/>
      <c r="P338" s="425"/>
      <c r="Q338" s="425"/>
      <c r="R338" s="425"/>
      <c r="S338" s="425"/>
      <c r="T338" s="425" t="str">
        <f>中間シート!F36&amp;" "&amp;中間シート!F37</f>
        <v>送付先部署 送付先役職</v>
      </c>
      <c r="U338" s="425"/>
      <c r="V338" s="425"/>
      <c r="W338" s="425"/>
      <c r="X338" s="425"/>
      <c r="Y338" s="425"/>
      <c r="Z338" s="425"/>
      <c r="AA338" s="425"/>
      <c r="AB338" s="425"/>
      <c r="AC338" s="425"/>
      <c r="AD338" s="425"/>
      <c r="AE338" s="425"/>
      <c r="AF338" s="425"/>
      <c r="AG338" s="425"/>
      <c r="AH338" s="425"/>
      <c r="AI338" s="425"/>
      <c r="AJ338" s="425" t="str">
        <f>中間シート!F38&amp;" "&amp;中間シート!F39</f>
        <v>送付先姓 送付先名</v>
      </c>
      <c r="AK338" s="425"/>
      <c r="AL338" s="425"/>
      <c r="AM338" s="425"/>
      <c r="AN338" s="425"/>
      <c r="AO338" s="425"/>
      <c r="AP338" s="425"/>
      <c r="AQ338" s="425"/>
      <c r="AR338" s="425"/>
      <c r="AS338" s="425"/>
      <c r="AT338" s="425"/>
      <c r="AU338" s="425"/>
    </row>
    <row r="340" spans="9:47" x14ac:dyDescent="0.15">
      <c r="J340" s="58" t="s">
        <v>310</v>
      </c>
    </row>
    <row r="341" spans="9:47" ht="19.5" x14ac:dyDescent="0.15">
      <c r="AJ341" s="60" t="s">
        <v>226</v>
      </c>
      <c r="AK341" s="409" t="str">
        <f>IF(中間シート!F5&lt;&gt;0,4,"")</f>
        <v/>
      </c>
      <c r="AL341" s="409"/>
      <c r="AM341" s="409"/>
      <c r="AN341" s="59" t="s">
        <v>227</v>
      </c>
      <c r="AO341" s="415" t="str">
        <f>IF(中間シート!F5&lt;&gt;0,中間シート!F5,"")</f>
        <v/>
      </c>
      <c r="AP341" s="415"/>
      <c r="AQ341" s="58" t="s">
        <v>228</v>
      </c>
      <c r="AR341" s="416" t="str">
        <f>IF(中間シート!F5&lt;&gt;0,中間シート!F5,"")</f>
        <v/>
      </c>
      <c r="AS341" s="416"/>
      <c r="AT341" s="416"/>
      <c r="AU341" s="59" t="s">
        <v>229</v>
      </c>
    </row>
    <row r="342" spans="9:47" x14ac:dyDescent="0.15">
      <c r="J342" s="58" t="s">
        <v>311</v>
      </c>
    </row>
    <row r="344" spans="9:47" x14ac:dyDescent="0.15">
      <c r="J344" s="412" t="s">
        <v>312</v>
      </c>
      <c r="K344" s="412"/>
      <c r="L344" s="412"/>
      <c r="M344" s="412"/>
      <c r="N344" s="412"/>
      <c r="O344" s="412"/>
      <c r="P344" s="412"/>
      <c r="Q344" s="412"/>
      <c r="R344" s="412"/>
      <c r="S344" s="412"/>
      <c r="T344" s="412"/>
      <c r="U344" s="412"/>
      <c r="V344" s="412"/>
      <c r="W344" s="412"/>
      <c r="X344" s="412"/>
      <c r="Y344" s="412"/>
      <c r="Z344" s="412"/>
      <c r="AA344" s="412"/>
      <c r="AB344" s="412"/>
      <c r="AC344" s="412"/>
      <c r="AD344" s="412"/>
      <c r="AE344" s="412"/>
      <c r="AF344" s="412"/>
      <c r="AG344" s="412"/>
      <c r="AH344" s="412"/>
      <c r="AI344" s="412"/>
      <c r="AJ344" s="412"/>
      <c r="AK344" s="412"/>
      <c r="AL344" s="412"/>
      <c r="AM344" s="412"/>
      <c r="AN344" s="412"/>
      <c r="AO344" s="412"/>
      <c r="AP344" s="412"/>
      <c r="AQ344" s="412"/>
      <c r="AR344" s="412"/>
      <c r="AS344" s="412"/>
      <c r="AT344" s="412"/>
      <c r="AU344" s="412"/>
    </row>
    <row r="345" spans="9:47" ht="30" customHeight="1" x14ac:dyDescent="0.15">
      <c r="J345" s="425" t="str">
        <f>中間シート!F12</f>
        <v/>
      </c>
      <c r="K345" s="425"/>
      <c r="L345" s="425"/>
      <c r="M345" s="425"/>
      <c r="N345" s="425"/>
      <c r="O345" s="425"/>
      <c r="P345" s="425"/>
      <c r="Q345" s="425"/>
      <c r="R345" s="425"/>
      <c r="S345" s="425"/>
      <c r="T345" s="425"/>
      <c r="U345" s="425"/>
      <c r="V345" s="425"/>
      <c r="W345" s="425"/>
      <c r="X345" s="425"/>
      <c r="Y345" s="425"/>
      <c r="Z345" s="425"/>
      <c r="AA345" s="425"/>
      <c r="AB345" s="425"/>
      <c r="AC345" s="425"/>
      <c r="AD345" s="425"/>
      <c r="AE345" s="425"/>
      <c r="AF345" s="425"/>
      <c r="AG345" s="425"/>
      <c r="AH345" s="425"/>
      <c r="AI345" s="425"/>
      <c r="AJ345" s="425"/>
      <c r="AK345" s="425"/>
      <c r="AL345" s="425"/>
      <c r="AM345" s="425"/>
      <c r="AN345" s="425"/>
      <c r="AO345" s="425"/>
      <c r="AP345" s="425"/>
      <c r="AQ345" s="425"/>
      <c r="AR345" s="425"/>
      <c r="AS345" s="425"/>
      <c r="AT345" s="425"/>
      <c r="AU345" s="425"/>
    </row>
    <row r="347" spans="9:47" ht="30" customHeight="1" x14ac:dyDescent="0.15">
      <c r="J347" s="412" t="s">
        <v>38</v>
      </c>
      <c r="K347" s="412"/>
      <c r="L347" s="412"/>
      <c r="M347" s="412"/>
      <c r="N347" s="412"/>
      <c r="O347" s="412"/>
      <c r="P347" s="412" t="s">
        <v>313</v>
      </c>
      <c r="Q347" s="412"/>
      <c r="R347" s="412"/>
      <c r="S347" s="412"/>
      <c r="T347" s="412"/>
      <c r="U347" s="412"/>
      <c r="V347" s="412"/>
      <c r="W347" s="412"/>
      <c r="X347" s="412"/>
      <c r="Y347" s="412" t="s">
        <v>314</v>
      </c>
      <c r="Z347" s="412"/>
      <c r="AA347" s="412"/>
      <c r="AB347" s="412"/>
      <c r="AC347" s="412"/>
      <c r="AD347" s="412"/>
      <c r="AE347" s="412"/>
      <c r="AF347" s="412"/>
      <c r="AG347" s="412"/>
      <c r="AH347" s="412"/>
      <c r="AI347" s="412" t="s">
        <v>44</v>
      </c>
      <c r="AJ347" s="412"/>
      <c r="AK347" s="412"/>
      <c r="AL347" s="412"/>
      <c r="AM347" s="412"/>
      <c r="AN347" s="412"/>
      <c r="AO347" s="412"/>
      <c r="AP347" s="412"/>
      <c r="AQ347" s="412"/>
      <c r="AR347" s="412" t="s">
        <v>315</v>
      </c>
      <c r="AS347" s="412"/>
      <c r="AT347" s="412"/>
      <c r="AU347" s="412"/>
    </row>
    <row r="348" spans="9:47" ht="30" customHeight="1" x14ac:dyDescent="0.15">
      <c r="J348" s="412"/>
      <c r="K348" s="412"/>
      <c r="L348" s="412"/>
      <c r="M348" s="412"/>
      <c r="N348" s="412"/>
      <c r="O348" s="412"/>
      <c r="P348" s="412"/>
      <c r="Q348" s="412"/>
      <c r="R348" s="412"/>
      <c r="S348" s="412"/>
      <c r="T348" s="412"/>
      <c r="U348" s="412"/>
      <c r="V348" s="412"/>
      <c r="W348" s="412"/>
      <c r="X348" s="412"/>
      <c r="Y348" s="412"/>
      <c r="Z348" s="412"/>
      <c r="AA348" s="412"/>
      <c r="AB348" s="412"/>
      <c r="AC348" s="412"/>
      <c r="AD348" s="412"/>
      <c r="AE348" s="412"/>
      <c r="AF348" s="412"/>
      <c r="AG348" s="412"/>
      <c r="AH348" s="412"/>
      <c r="AI348" s="419" t="s">
        <v>316</v>
      </c>
      <c r="AJ348" s="412"/>
      <c r="AK348" s="412" t="s">
        <v>317</v>
      </c>
      <c r="AL348" s="412"/>
      <c r="AM348" s="412"/>
      <c r="AN348" s="412" t="s">
        <v>318</v>
      </c>
      <c r="AO348" s="412"/>
      <c r="AP348" s="412" t="s">
        <v>319</v>
      </c>
      <c r="AQ348" s="412"/>
      <c r="AR348" s="412"/>
      <c r="AS348" s="412"/>
      <c r="AT348" s="412"/>
      <c r="AU348" s="412"/>
    </row>
    <row r="349" spans="9:47" ht="30" customHeight="1" x14ac:dyDescent="0.15">
      <c r="J349" s="425" t="str">
        <f>中間シート!E43</f>
        <v/>
      </c>
      <c r="K349" s="425"/>
      <c r="L349" s="425"/>
      <c r="M349" s="425"/>
      <c r="N349" s="425"/>
      <c r="O349" s="425"/>
      <c r="P349" s="425" t="str">
        <f>中間シート!F43&amp;"　"&amp;中間シート!G43</f>
        <v>　</v>
      </c>
      <c r="Q349" s="425"/>
      <c r="R349" s="425"/>
      <c r="S349" s="425"/>
      <c r="T349" s="425"/>
      <c r="U349" s="425"/>
      <c r="V349" s="425"/>
      <c r="W349" s="425"/>
      <c r="X349" s="425"/>
      <c r="Y349" s="425" t="str">
        <f>中間シート!H43&amp;"　"&amp;中間シート!I43</f>
        <v>　</v>
      </c>
      <c r="Z349" s="425"/>
      <c r="AA349" s="425"/>
      <c r="AB349" s="425"/>
      <c r="AC349" s="425"/>
      <c r="AD349" s="425"/>
      <c r="AE349" s="425"/>
      <c r="AF349" s="425"/>
      <c r="AG349" s="425"/>
      <c r="AH349" s="425"/>
      <c r="AI349" s="445" t="str">
        <f>IF(1&lt;中間シート!$J43,中間シート!$J43,"")</f>
        <v/>
      </c>
      <c r="AJ349" s="445"/>
      <c r="AK349" s="446" t="str">
        <f>IF(1&lt;中間シート!$J43,中間シート!$J43,"")</f>
        <v/>
      </c>
      <c r="AL349" s="446"/>
      <c r="AM349" s="446"/>
      <c r="AN349" s="447" t="str">
        <f>IF(1&lt;中間シート!$J43,中間シート!$J43,"")</f>
        <v/>
      </c>
      <c r="AO349" s="447"/>
      <c r="AP349" s="448" t="str">
        <f>IF(1&lt;中間シート!$J43,中間シート!$J43,"")</f>
        <v/>
      </c>
      <c r="AQ349" s="448"/>
      <c r="AR349" s="425" t="str">
        <f>IF(中間シート!K43="男","M",IF(中間シート!K43="女","F",""))</f>
        <v/>
      </c>
      <c r="AS349" s="425"/>
      <c r="AT349" s="425"/>
      <c r="AU349" s="425"/>
    </row>
    <row r="350" spans="9:47" ht="30" customHeight="1" x14ac:dyDescent="0.15">
      <c r="I350" s="147"/>
      <c r="J350" s="425" t="str">
        <f>IF(中間シート!$D44=1,中間シート!E44,"")</f>
        <v/>
      </c>
      <c r="K350" s="425"/>
      <c r="L350" s="425"/>
      <c r="M350" s="425"/>
      <c r="N350" s="425"/>
      <c r="O350" s="425"/>
      <c r="P350" s="425" t="str">
        <f>IF(中間シート!$D44=1,中間シート!F44&amp;"　"&amp;中間シート!G44,"")</f>
        <v/>
      </c>
      <c r="Q350" s="425"/>
      <c r="R350" s="425"/>
      <c r="S350" s="425"/>
      <c r="T350" s="425"/>
      <c r="U350" s="425"/>
      <c r="V350" s="425"/>
      <c r="W350" s="425"/>
      <c r="X350" s="425"/>
      <c r="Y350" s="425" t="str">
        <f>IF(中間シート!$D44=1,中間シート!H44&amp;"　"&amp;中間シート!I44,"")</f>
        <v/>
      </c>
      <c r="Z350" s="425"/>
      <c r="AA350" s="425"/>
      <c r="AB350" s="425"/>
      <c r="AC350" s="425"/>
      <c r="AD350" s="425"/>
      <c r="AE350" s="425"/>
      <c r="AF350" s="425"/>
      <c r="AG350" s="425"/>
      <c r="AH350" s="425"/>
      <c r="AI350" s="445" t="str">
        <f>IF(AND(中間シート!$D44=1,1&lt;中間シート!$J44),中間シート!$J44,"")</f>
        <v/>
      </c>
      <c r="AJ350" s="445"/>
      <c r="AK350" s="446" t="str">
        <f>IF(AND(中間シート!$D44=1,1&lt;中間シート!$J44),中間シート!$J44,"")</f>
        <v/>
      </c>
      <c r="AL350" s="446"/>
      <c r="AM350" s="446"/>
      <c r="AN350" s="447" t="str">
        <f>IF(AND(中間シート!$D44=1,1&lt;中間シート!$J44),中間シート!$J44,"")</f>
        <v/>
      </c>
      <c r="AO350" s="447"/>
      <c r="AP350" s="448" t="str">
        <f>IF(AND(中間シート!$D44=1,1&lt;中間シート!$J44),中間シート!$J44,"")</f>
        <v/>
      </c>
      <c r="AQ350" s="448"/>
      <c r="AR350" s="425" t="str">
        <f>IF(中間シート!$D44=1,IF(中間シート!K44="男","M",IF(中間シート!K44="女","F","")),"")</f>
        <v/>
      </c>
      <c r="AS350" s="425"/>
      <c r="AT350" s="425"/>
      <c r="AU350" s="425"/>
    </row>
    <row r="351" spans="9:47" ht="30" customHeight="1" x14ac:dyDescent="0.15">
      <c r="I351" s="147"/>
      <c r="J351" s="425" t="str">
        <f>IF(中間シート!$D45=1,中間シート!E45,"")</f>
        <v/>
      </c>
      <c r="K351" s="425"/>
      <c r="L351" s="425"/>
      <c r="M351" s="425"/>
      <c r="N351" s="425"/>
      <c r="O351" s="425"/>
      <c r="P351" s="425" t="str">
        <f>IF(中間シート!$D45=1,中間シート!F45&amp;"　"&amp;中間シート!G45,"")</f>
        <v/>
      </c>
      <c r="Q351" s="425"/>
      <c r="R351" s="425"/>
      <c r="S351" s="425"/>
      <c r="T351" s="425"/>
      <c r="U351" s="425"/>
      <c r="V351" s="425"/>
      <c r="W351" s="425"/>
      <c r="X351" s="425"/>
      <c r="Y351" s="425" t="str">
        <f>IF(中間シート!$D45=1,中間シート!H45&amp;"　"&amp;中間シート!I45,"")</f>
        <v/>
      </c>
      <c r="Z351" s="425"/>
      <c r="AA351" s="425"/>
      <c r="AB351" s="425"/>
      <c r="AC351" s="425"/>
      <c r="AD351" s="425"/>
      <c r="AE351" s="425"/>
      <c r="AF351" s="425"/>
      <c r="AG351" s="425"/>
      <c r="AH351" s="425"/>
      <c r="AI351" s="445" t="str">
        <f>IF(AND(中間シート!$D45=1,1&lt;中間シート!$J45),中間シート!$J45,"")</f>
        <v/>
      </c>
      <c r="AJ351" s="445"/>
      <c r="AK351" s="446" t="str">
        <f>IF(AND(中間シート!$D45=1,1&lt;中間シート!$J45),中間シート!$J45,"")</f>
        <v/>
      </c>
      <c r="AL351" s="446"/>
      <c r="AM351" s="446"/>
      <c r="AN351" s="447" t="str">
        <f>IF(AND(中間シート!$D45=1,1&lt;中間シート!$J45),中間シート!$J45,"")</f>
        <v/>
      </c>
      <c r="AO351" s="447"/>
      <c r="AP351" s="448" t="str">
        <f>IF(AND(中間シート!$D45=1,1&lt;中間シート!$J45),中間シート!$J45,"")</f>
        <v/>
      </c>
      <c r="AQ351" s="448"/>
      <c r="AR351" s="425" t="str">
        <f>IF(中間シート!$D45=1,IF(中間シート!K45="男","M",IF(中間シート!K45="女","F","")),"")</f>
        <v/>
      </c>
      <c r="AS351" s="425"/>
      <c r="AT351" s="425"/>
      <c r="AU351" s="425"/>
    </row>
    <row r="352" spans="9:47" ht="30" customHeight="1" x14ac:dyDescent="0.15">
      <c r="I352" s="147"/>
      <c r="J352" s="425" t="str">
        <f>IF(中間シート!$D46=1,中間シート!E46,"")</f>
        <v/>
      </c>
      <c r="K352" s="425"/>
      <c r="L352" s="425"/>
      <c r="M352" s="425"/>
      <c r="N352" s="425"/>
      <c r="O352" s="425"/>
      <c r="P352" s="425" t="str">
        <f>IF(中間シート!$D46=1,中間シート!F46&amp;"　"&amp;中間シート!G46,"")</f>
        <v/>
      </c>
      <c r="Q352" s="425"/>
      <c r="R352" s="425"/>
      <c r="S352" s="425"/>
      <c r="T352" s="425"/>
      <c r="U352" s="425"/>
      <c r="V352" s="425"/>
      <c r="W352" s="425"/>
      <c r="X352" s="425"/>
      <c r="Y352" s="425" t="str">
        <f>IF(中間シート!$D46=1,中間シート!H46&amp;"　"&amp;中間シート!I46,"")</f>
        <v/>
      </c>
      <c r="Z352" s="425"/>
      <c r="AA352" s="425"/>
      <c r="AB352" s="425"/>
      <c r="AC352" s="425"/>
      <c r="AD352" s="425"/>
      <c r="AE352" s="425"/>
      <c r="AF352" s="425"/>
      <c r="AG352" s="425"/>
      <c r="AH352" s="425"/>
      <c r="AI352" s="445" t="str">
        <f>IF(AND(中間シート!$D46=1,1&lt;中間シート!$J46),中間シート!$J46,"")</f>
        <v/>
      </c>
      <c r="AJ352" s="445"/>
      <c r="AK352" s="446" t="str">
        <f>IF(AND(中間シート!$D46=1,1&lt;中間シート!$J46),中間シート!$J46,"")</f>
        <v/>
      </c>
      <c r="AL352" s="446"/>
      <c r="AM352" s="446"/>
      <c r="AN352" s="447" t="str">
        <f>IF(AND(中間シート!$D46=1,1&lt;中間シート!$J46),中間シート!$J46,"")</f>
        <v/>
      </c>
      <c r="AO352" s="447"/>
      <c r="AP352" s="448" t="str">
        <f>IF(AND(中間シート!$D46=1,1&lt;中間シート!$J46),中間シート!$J46,"")</f>
        <v/>
      </c>
      <c r="AQ352" s="448"/>
      <c r="AR352" s="425" t="str">
        <f>IF(中間シート!$D46=1,IF(中間シート!K46="男","M",IF(中間シート!K46="女","F","")),"")</f>
        <v/>
      </c>
      <c r="AS352" s="425"/>
      <c r="AT352" s="425"/>
      <c r="AU352" s="425"/>
    </row>
    <row r="353" spans="9:47" ht="30" customHeight="1" x14ac:dyDescent="0.15">
      <c r="I353" s="147"/>
      <c r="J353" s="425" t="str">
        <f>IF(中間シート!$D47=1,中間シート!E47,"")</f>
        <v/>
      </c>
      <c r="K353" s="425"/>
      <c r="L353" s="425"/>
      <c r="M353" s="425"/>
      <c r="N353" s="425"/>
      <c r="O353" s="425"/>
      <c r="P353" s="425" t="str">
        <f>IF(中間シート!$D47=1,中間シート!F47&amp;"　"&amp;中間シート!G47,"")</f>
        <v/>
      </c>
      <c r="Q353" s="425"/>
      <c r="R353" s="425"/>
      <c r="S353" s="425"/>
      <c r="T353" s="425"/>
      <c r="U353" s="425"/>
      <c r="V353" s="425"/>
      <c r="W353" s="425"/>
      <c r="X353" s="425"/>
      <c r="Y353" s="425" t="str">
        <f>IF(中間シート!$D47=1,中間シート!H47&amp;"　"&amp;中間シート!I47,"")</f>
        <v/>
      </c>
      <c r="Z353" s="425"/>
      <c r="AA353" s="425"/>
      <c r="AB353" s="425"/>
      <c r="AC353" s="425"/>
      <c r="AD353" s="425"/>
      <c r="AE353" s="425"/>
      <c r="AF353" s="425"/>
      <c r="AG353" s="425"/>
      <c r="AH353" s="425"/>
      <c r="AI353" s="445" t="str">
        <f>IF(AND(中間シート!$D47=1,1&lt;中間シート!$J47),中間シート!$J47,"")</f>
        <v/>
      </c>
      <c r="AJ353" s="445"/>
      <c r="AK353" s="446" t="str">
        <f>IF(AND(中間シート!$D47=1,1&lt;中間シート!$J47),中間シート!$J47,"")</f>
        <v/>
      </c>
      <c r="AL353" s="446"/>
      <c r="AM353" s="446"/>
      <c r="AN353" s="447" t="str">
        <f>IF(AND(中間シート!$D47=1,1&lt;中間シート!$J47),中間シート!$J47,"")</f>
        <v/>
      </c>
      <c r="AO353" s="447"/>
      <c r="AP353" s="448" t="str">
        <f>IF(AND(中間シート!$D47=1,1&lt;中間シート!$J47),中間シート!$J47,"")</f>
        <v/>
      </c>
      <c r="AQ353" s="448"/>
      <c r="AR353" s="425" t="str">
        <f>IF(中間シート!$D47=1,IF(中間シート!K47="男","M",IF(中間シート!K47="女","F","")),"")</f>
        <v/>
      </c>
      <c r="AS353" s="425"/>
      <c r="AT353" s="425"/>
      <c r="AU353" s="425"/>
    </row>
    <row r="354" spans="9:47" ht="30" customHeight="1" x14ac:dyDescent="0.15">
      <c r="I354" s="147"/>
      <c r="J354" s="425" t="str">
        <f>IF(中間シート!$D48=1,中間シート!E48,"")</f>
        <v/>
      </c>
      <c r="K354" s="425"/>
      <c r="L354" s="425"/>
      <c r="M354" s="425"/>
      <c r="N354" s="425"/>
      <c r="O354" s="425"/>
      <c r="P354" s="425" t="str">
        <f>IF(中間シート!$D48=1,中間シート!F48&amp;"　"&amp;中間シート!G48,"")</f>
        <v/>
      </c>
      <c r="Q354" s="425"/>
      <c r="R354" s="425"/>
      <c r="S354" s="425"/>
      <c r="T354" s="425"/>
      <c r="U354" s="425"/>
      <c r="V354" s="425"/>
      <c r="W354" s="425"/>
      <c r="X354" s="425"/>
      <c r="Y354" s="425" t="str">
        <f>IF(中間シート!$D48=1,中間シート!H48&amp;"　"&amp;中間シート!I48,"")</f>
        <v/>
      </c>
      <c r="Z354" s="425"/>
      <c r="AA354" s="425"/>
      <c r="AB354" s="425"/>
      <c r="AC354" s="425"/>
      <c r="AD354" s="425"/>
      <c r="AE354" s="425"/>
      <c r="AF354" s="425"/>
      <c r="AG354" s="425"/>
      <c r="AH354" s="425"/>
      <c r="AI354" s="445" t="str">
        <f>IF(AND(中間シート!$D48=1,1&lt;中間シート!$J48),中間シート!$J48,"")</f>
        <v/>
      </c>
      <c r="AJ354" s="445"/>
      <c r="AK354" s="446" t="str">
        <f>IF(AND(中間シート!$D48=1,1&lt;中間シート!$J48),中間シート!$J48,"")</f>
        <v/>
      </c>
      <c r="AL354" s="446"/>
      <c r="AM354" s="446"/>
      <c r="AN354" s="447" t="str">
        <f>IF(AND(中間シート!$D48=1,1&lt;中間シート!$J48),中間シート!$J48,"")</f>
        <v/>
      </c>
      <c r="AO354" s="447"/>
      <c r="AP354" s="448" t="str">
        <f>IF(AND(中間シート!$D48=1,1&lt;中間シート!$J48),中間シート!$J48,"")</f>
        <v/>
      </c>
      <c r="AQ354" s="448"/>
      <c r="AR354" s="425" t="str">
        <f>IF(中間シート!$D48=1,IF(中間シート!K48="男","M",IF(中間シート!K48="女","F","")),"")</f>
        <v/>
      </c>
      <c r="AS354" s="425"/>
      <c r="AT354" s="425"/>
      <c r="AU354" s="425"/>
    </row>
    <row r="355" spans="9:47" ht="30" customHeight="1" x14ac:dyDescent="0.15">
      <c r="I355" s="147"/>
      <c r="J355" s="425" t="str">
        <f>IF(中間シート!$D49=1,中間シート!E49,"")</f>
        <v/>
      </c>
      <c r="K355" s="425"/>
      <c r="L355" s="425"/>
      <c r="M355" s="425"/>
      <c r="N355" s="425"/>
      <c r="O355" s="425"/>
      <c r="P355" s="425" t="str">
        <f>IF(中間シート!$D49=1,中間シート!F49&amp;"　"&amp;中間シート!G49,"")</f>
        <v/>
      </c>
      <c r="Q355" s="425"/>
      <c r="R355" s="425"/>
      <c r="S355" s="425"/>
      <c r="T355" s="425"/>
      <c r="U355" s="425"/>
      <c r="V355" s="425"/>
      <c r="W355" s="425"/>
      <c r="X355" s="425"/>
      <c r="Y355" s="425" t="str">
        <f>IF(中間シート!$D49=1,中間シート!H49&amp;"　"&amp;中間シート!I49,"")</f>
        <v/>
      </c>
      <c r="Z355" s="425"/>
      <c r="AA355" s="425"/>
      <c r="AB355" s="425"/>
      <c r="AC355" s="425"/>
      <c r="AD355" s="425"/>
      <c r="AE355" s="425"/>
      <c r="AF355" s="425"/>
      <c r="AG355" s="425"/>
      <c r="AH355" s="425"/>
      <c r="AI355" s="445" t="str">
        <f>IF(AND(中間シート!$D49=1,1&lt;中間シート!$J49),中間シート!$J49,"")</f>
        <v/>
      </c>
      <c r="AJ355" s="445"/>
      <c r="AK355" s="446" t="str">
        <f>IF(AND(中間シート!$D49=1,1&lt;中間シート!$J49),中間シート!$J49,"")</f>
        <v/>
      </c>
      <c r="AL355" s="446"/>
      <c r="AM355" s="446"/>
      <c r="AN355" s="447" t="str">
        <f>IF(AND(中間シート!$D49=1,1&lt;中間シート!$J49),中間シート!$J49,"")</f>
        <v/>
      </c>
      <c r="AO355" s="447"/>
      <c r="AP355" s="448" t="str">
        <f>IF(AND(中間シート!$D49=1,1&lt;中間シート!$J49),中間シート!$J49,"")</f>
        <v/>
      </c>
      <c r="AQ355" s="448"/>
      <c r="AR355" s="425" t="str">
        <f>IF(中間シート!$D49=1,IF(中間シート!K49="男","M",IF(中間シート!K49="女","F","")),"")</f>
        <v/>
      </c>
      <c r="AS355" s="425"/>
      <c r="AT355" s="425"/>
      <c r="AU355" s="425"/>
    </row>
    <row r="356" spans="9:47" ht="30" customHeight="1" x14ac:dyDescent="0.15">
      <c r="I356" s="147"/>
      <c r="J356" s="425" t="str">
        <f>IF(中間シート!$D50=1,中間シート!E50,"")</f>
        <v/>
      </c>
      <c r="K356" s="425"/>
      <c r="L356" s="425"/>
      <c r="M356" s="425"/>
      <c r="N356" s="425"/>
      <c r="O356" s="425"/>
      <c r="P356" s="425" t="str">
        <f>IF(中間シート!$D50=1,中間シート!F50&amp;"　"&amp;中間シート!G50,"")</f>
        <v/>
      </c>
      <c r="Q356" s="425"/>
      <c r="R356" s="425"/>
      <c r="S356" s="425"/>
      <c r="T356" s="425"/>
      <c r="U356" s="425"/>
      <c r="V356" s="425"/>
      <c r="W356" s="425"/>
      <c r="X356" s="425"/>
      <c r="Y356" s="425" t="str">
        <f>IF(中間シート!$D50=1,中間シート!H50&amp;"　"&amp;中間シート!I50,"")</f>
        <v/>
      </c>
      <c r="Z356" s="425"/>
      <c r="AA356" s="425"/>
      <c r="AB356" s="425"/>
      <c r="AC356" s="425"/>
      <c r="AD356" s="425"/>
      <c r="AE356" s="425"/>
      <c r="AF356" s="425"/>
      <c r="AG356" s="425"/>
      <c r="AH356" s="425"/>
      <c r="AI356" s="445" t="str">
        <f>IF(AND(中間シート!$D50=1,1&lt;中間シート!$J50),中間シート!$J50,"")</f>
        <v/>
      </c>
      <c r="AJ356" s="445"/>
      <c r="AK356" s="446" t="str">
        <f>IF(AND(中間シート!$D50=1,1&lt;中間シート!$J50),中間シート!$J50,"")</f>
        <v/>
      </c>
      <c r="AL356" s="446"/>
      <c r="AM356" s="446"/>
      <c r="AN356" s="447" t="str">
        <f>IF(AND(中間シート!$D50=1,1&lt;中間シート!$J50),中間シート!$J50,"")</f>
        <v/>
      </c>
      <c r="AO356" s="447"/>
      <c r="AP356" s="448" t="str">
        <f>IF(AND(中間シート!$D50=1,1&lt;中間シート!$J50),中間シート!$J50,"")</f>
        <v/>
      </c>
      <c r="AQ356" s="448"/>
      <c r="AR356" s="425" t="str">
        <f>IF(中間シート!$D50=1,IF(中間シート!K50="男","M",IF(中間シート!K50="女","F","")),"")</f>
        <v/>
      </c>
      <c r="AS356" s="425"/>
      <c r="AT356" s="425"/>
      <c r="AU356" s="425"/>
    </row>
    <row r="357" spans="9:47" ht="30" customHeight="1" x14ac:dyDescent="0.15">
      <c r="I357" s="147"/>
      <c r="J357" s="425" t="str">
        <f>IF(中間シート!$D51=1,中間シート!E51,"")</f>
        <v/>
      </c>
      <c r="K357" s="425"/>
      <c r="L357" s="425"/>
      <c r="M357" s="425"/>
      <c r="N357" s="425"/>
      <c r="O357" s="425"/>
      <c r="P357" s="425" t="str">
        <f>IF(中間シート!$D51=1,中間シート!F51&amp;"　"&amp;中間シート!G51,"")</f>
        <v/>
      </c>
      <c r="Q357" s="425"/>
      <c r="R357" s="425"/>
      <c r="S357" s="425"/>
      <c r="T357" s="425"/>
      <c r="U357" s="425"/>
      <c r="V357" s="425"/>
      <c r="W357" s="425"/>
      <c r="X357" s="425"/>
      <c r="Y357" s="425" t="str">
        <f>IF(中間シート!$D51=1,中間シート!H51&amp;"　"&amp;中間シート!I51,"")</f>
        <v/>
      </c>
      <c r="Z357" s="425"/>
      <c r="AA357" s="425"/>
      <c r="AB357" s="425"/>
      <c r="AC357" s="425"/>
      <c r="AD357" s="425"/>
      <c r="AE357" s="425"/>
      <c r="AF357" s="425"/>
      <c r="AG357" s="425"/>
      <c r="AH357" s="425"/>
      <c r="AI357" s="445" t="str">
        <f>IF(AND(中間シート!$D51=1,1&lt;中間シート!$J51),中間シート!$J51,"")</f>
        <v/>
      </c>
      <c r="AJ357" s="445"/>
      <c r="AK357" s="446" t="str">
        <f>IF(AND(中間シート!$D51=1,1&lt;中間シート!$J51),中間シート!$J51,"")</f>
        <v/>
      </c>
      <c r="AL357" s="446"/>
      <c r="AM357" s="446"/>
      <c r="AN357" s="447" t="str">
        <f>IF(AND(中間シート!$D51=1,1&lt;中間シート!$J51),中間シート!$J51,"")</f>
        <v/>
      </c>
      <c r="AO357" s="447"/>
      <c r="AP357" s="448" t="str">
        <f>IF(AND(中間シート!$D51=1,1&lt;中間シート!$J51),中間シート!$J51,"")</f>
        <v/>
      </c>
      <c r="AQ357" s="448"/>
      <c r="AR357" s="425" t="str">
        <f>IF(中間シート!$D51=1,IF(中間シート!K51="男","M",IF(中間シート!K51="女","F","")),"")</f>
        <v/>
      </c>
      <c r="AS357" s="425"/>
      <c r="AT357" s="425"/>
      <c r="AU357" s="425"/>
    </row>
    <row r="358" spans="9:47" ht="30" customHeight="1" x14ac:dyDescent="0.15">
      <c r="I358" s="147"/>
      <c r="J358" s="425" t="str">
        <f>IF(中間シート!$D52=1,中間シート!E52,"")</f>
        <v/>
      </c>
      <c r="K358" s="425"/>
      <c r="L358" s="425"/>
      <c r="M358" s="425"/>
      <c r="N358" s="425"/>
      <c r="O358" s="425"/>
      <c r="P358" s="425" t="str">
        <f>IF(中間シート!$D52=1,中間シート!F52&amp;"　"&amp;中間シート!G52,"")</f>
        <v/>
      </c>
      <c r="Q358" s="425"/>
      <c r="R358" s="425"/>
      <c r="S358" s="425"/>
      <c r="T358" s="425"/>
      <c r="U358" s="425"/>
      <c r="V358" s="425"/>
      <c r="W358" s="425"/>
      <c r="X358" s="425"/>
      <c r="Y358" s="425" t="str">
        <f>IF(中間シート!$D52=1,中間シート!H52&amp;"　"&amp;中間シート!I52,"")</f>
        <v/>
      </c>
      <c r="Z358" s="425"/>
      <c r="AA358" s="425"/>
      <c r="AB358" s="425"/>
      <c r="AC358" s="425"/>
      <c r="AD358" s="425"/>
      <c r="AE358" s="425"/>
      <c r="AF358" s="425"/>
      <c r="AG358" s="425"/>
      <c r="AH358" s="425"/>
      <c r="AI358" s="445" t="str">
        <f>IF(AND(中間シート!$D52=1,1&lt;中間シート!$J52),中間シート!$J52,"")</f>
        <v/>
      </c>
      <c r="AJ358" s="445"/>
      <c r="AK358" s="446" t="str">
        <f>IF(AND(中間シート!$D52=1,1&lt;中間シート!$J52),中間シート!$J52,"")</f>
        <v/>
      </c>
      <c r="AL358" s="446"/>
      <c r="AM358" s="446"/>
      <c r="AN358" s="447" t="str">
        <f>IF(AND(中間シート!$D52=1,1&lt;中間シート!$J52),中間シート!$J52,"")</f>
        <v/>
      </c>
      <c r="AO358" s="447"/>
      <c r="AP358" s="448" t="str">
        <f>IF(AND(中間シート!$D52=1,1&lt;中間シート!$J52),中間シート!$J52,"")</f>
        <v/>
      </c>
      <c r="AQ358" s="448"/>
      <c r="AR358" s="425" t="str">
        <f>IF(中間シート!$D52=1,IF(中間シート!K52="男","M",IF(中間シート!K52="女","F","")),"")</f>
        <v/>
      </c>
      <c r="AS358" s="425"/>
      <c r="AT358" s="425"/>
      <c r="AU358" s="425"/>
    </row>
    <row r="359" spans="9:47" ht="30" customHeight="1" x14ac:dyDescent="0.15">
      <c r="I359" s="147"/>
      <c r="J359" s="425" t="str">
        <f>IF(中間シート!$D53=1,中間シート!E53,"")</f>
        <v/>
      </c>
      <c r="K359" s="425"/>
      <c r="L359" s="425"/>
      <c r="M359" s="425"/>
      <c r="N359" s="425"/>
      <c r="O359" s="425"/>
      <c r="P359" s="425" t="str">
        <f>IF(中間シート!$D53=1,中間シート!F53&amp;"　"&amp;中間シート!G53,"")</f>
        <v/>
      </c>
      <c r="Q359" s="425"/>
      <c r="R359" s="425"/>
      <c r="S359" s="425"/>
      <c r="T359" s="425"/>
      <c r="U359" s="425"/>
      <c r="V359" s="425"/>
      <c r="W359" s="425"/>
      <c r="X359" s="425"/>
      <c r="Y359" s="425" t="str">
        <f>IF(中間シート!$D53=1,中間シート!H53&amp;"　"&amp;中間シート!I53,"")</f>
        <v/>
      </c>
      <c r="Z359" s="425"/>
      <c r="AA359" s="425"/>
      <c r="AB359" s="425"/>
      <c r="AC359" s="425"/>
      <c r="AD359" s="425"/>
      <c r="AE359" s="425"/>
      <c r="AF359" s="425"/>
      <c r="AG359" s="425"/>
      <c r="AH359" s="425"/>
      <c r="AI359" s="445" t="str">
        <f>IF(AND(中間シート!$D53=1,1&lt;中間シート!$J53),中間シート!$J53,"")</f>
        <v/>
      </c>
      <c r="AJ359" s="445"/>
      <c r="AK359" s="446" t="str">
        <f>IF(AND(中間シート!$D53=1,1&lt;中間シート!$J53),中間シート!$J53,"")</f>
        <v/>
      </c>
      <c r="AL359" s="446"/>
      <c r="AM359" s="446"/>
      <c r="AN359" s="447" t="str">
        <f>IF(AND(中間シート!$D53=1,1&lt;中間シート!$J53),中間シート!$J53,"")</f>
        <v/>
      </c>
      <c r="AO359" s="447"/>
      <c r="AP359" s="448" t="str">
        <f>IF(AND(中間シート!$D53=1,1&lt;中間シート!$J53),中間シート!$J53,"")</f>
        <v/>
      </c>
      <c r="AQ359" s="448"/>
      <c r="AR359" s="425" t="str">
        <f>IF(中間シート!$D53=1,IF(中間シート!K53="男","M",IF(中間シート!K53="女","F","")),"")</f>
        <v/>
      </c>
      <c r="AS359" s="425"/>
      <c r="AT359" s="425"/>
      <c r="AU359" s="425"/>
    </row>
    <row r="360" spans="9:47" ht="30" customHeight="1" x14ac:dyDescent="0.15">
      <c r="I360" s="147"/>
      <c r="J360" s="425" t="str">
        <f>IF(中間シート!$D54=1,中間シート!E54,"")</f>
        <v/>
      </c>
      <c r="K360" s="425"/>
      <c r="L360" s="425"/>
      <c r="M360" s="425"/>
      <c r="N360" s="425"/>
      <c r="O360" s="425"/>
      <c r="P360" s="425" t="str">
        <f>IF(中間シート!$D54=1,中間シート!F54&amp;"　"&amp;中間シート!G54,"")</f>
        <v/>
      </c>
      <c r="Q360" s="425"/>
      <c r="R360" s="425"/>
      <c r="S360" s="425"/>
      <c r="T360" s="425"/>
      <c r="U360" s="425"/>
      <c r="V360" s="425"/>
      <c r="W360" s="425"/>
      <c r="X360" s="425"/>
      <c r="Y360" s="425" t="str">
        <f>IF(中間シート!$D54=1,中間シート!H54&amp;"　"&amp;中間シート!I54,"")</f>
        <v/>
      </c>
      <c r="Z360" s="425"/>
      <c r="AA360" s="425"/>
      <c r="AB360" s="425"/>
      <c r="AC360" s="425"/>
      <c r="AD360" s="425"/>
      <c r="AE360" s="425"/>
      <c r="AF360" s="425"/>
      <c r="AG360" s="425"/>
      <c r="AH360" s="425"/>
      <c r="AI360" s="445" t="str">
        <f>IF(AND(中間シート!$D54=1,1&lt;中間シート!$J54),中間シート!$J54,"")</f>
        <v/>
      </c>
      <c r="AJ360" s="445"/>
      <c r="AK360" s="446" t="str">
        <f>IF(AND(中間シート!$D54=1,1&lt;中間シート!$J54),中間シート!$J54,"")</f>
        <v/>
      </c>
      <c r="AL360" s="446"/>
      <c r="AM360" s="446"/>
      <c r="AN360" s="447" t="str">
        <f>IF(AND(中間シート!$D54=1,1&lt;中間シート!$J54),中間シート!$J54,"")</f>
        <v/>
      </c>
      <c r="AO360" s="447"/>
      <c r="AP360" s="448" t="str">
        <f>IF(AND(中間シート!$D54=1,1&lt;中間シート!$J54),中間シート!$J54,"")</f>
        <v/>
      </c>
      <c r="AQ360" s="448"/>
      <c r="AR360" s="425" t="str">
        <f>IF(中間シート!$D54=1,IF(中間シート!K54="男","M",IF(中間シート!K54="女","F","")),"")</f>
        <v/>
      </c>
      <c r="AS360" s="425"/>
      <c r="AT360" s="425"/>
      <c r="AU360" s="425"/>
    </row>
    <row r="361" spans="9:47" ht="30" customHeight="1" x14ac:dyDescent="0.15">
      <c r="I361" s="147"/>
      <c r="J361" s="425" t="str">
        <f>IF(中間シート!$D55=1,中間シート!E55,"")</f>
        <v/>
      </c>
      <c r="K361" s="425"/>
      <c r="L361" s="425"/>
      <c r="M361" s="425"/>
      <c r="N361" s="425"/>
      <c r="O361" s="425"/>
      <c r="P361" s="425" t="str">
        <f>IF(中間シート!$D55=1,中間シート!F55&amp;"　"&amp;中間シート!G55,"")</f>
        <v/>
      </c>
      <c r="Q361" s="425"/>
      <c r="R361" s="425"/>
      <c r="S361" s="425"/>
      <c r="T361" s="425"/>
      <c r="U361" s="425"/>
      <c r="V361" s="425"/>
      <c r="W361" s="425"/>
      <c r="X361" s="425"/>
      <c r="Y361" s="425" t="str">
        <f>IF(中間シート!$D55=1,中間シート!H55&amp;"　"&amp;中間シート!I55,"")</f>
        <v/>
      </c>
      <c r="Z361" s="425"/>
      <c r="AA361" s="425"/>
      <c r="AB361" s="425"/>
      <c r="AC361" s="425"/>
      <c r="AD361" s="425"/>
      <c r="AE361" s="425"/>
      <c r="AF361" s="425"/>
      <c r="AG361" s="425"/>
      <c r="AH361" s="425"/>
      <c r="AI361" s="445" t="str">
        <f>IF(AND(中間シート!$D55=1,1&lt;中間シート!$J55),中間シート!$J55,"")</f>
        <v/>
      </c>
      <c r="AJ361" s="445"/>
      <c r="AK361" s="446" t="str">
        <f>IF(AND(中間シート!$D55=1,1&lt;中間シート!$J55),中間シート!$J55,"")</f>
        <v/>
      </c>
      <c r="AL361" s="446"/>
      <c r="AM361" s="446"/>
      <c r="AN361" s="447" t="str">
        <f>IF(AND(中間シート!$D55=1,1&lt;中間シート!$J55),中間シート!$J55,"")</f>
        <v/>
      </c>
      <c r="AO361" s="447"/>
      <c r="AP361" s="448" t="str">
        <f>IF(AND(中間シート!$D55=1,1&lt;中間シート!$J55),中間シート!$J55,"")</f>
        <v/>
      </c>
      <c r="AQ361" s="448"/>
      <c r="AR361" s="425" t="str">
        <f>IF(中間シート!$D55=1,IF(中間シート!K55="男","M",IF(中間シート!K55="女","F","")),"")</f>
        <v/>
      </c>
      <c r="AS361" s="425"/>
      <c r="AT361" s="425"/>
      <c r="AU361" s="425"/>
    </row>
    <row r="362" spans="9:47" ht="30" customHeight="1" x14ac:dyDescent="0.15">
      <c r="I362" s="147"/>
      <c r="J362" s="425" t="str">
        <f>IF(中間シート!$D56=1,中間シート!E56,"")</f>
        <v/>
      </c>
      <c r="K362" s="425"/>
      <c r="L362" s="425"/>
      <c r="M362" s="425"/>
      <c r="N362" s="425"/>
      <c r="O362" s="425"/>
      <c r="P362" s="425" t="str">
        <f>IF(中間シート!$D56=1,中間シート!F56&amp;"　"&amp;中間シート!G56,"")</f>
        <v/>
      </c>
      <c r="Q362" s="425"/>
      <c r="R362" s="425"/>
      <c r="S362" s="425"/>
      <c r="T362" s="425"/>
      <c r="U362" s="425"/>
      <c r="V362" s="425"/>
      <c r="W362" s="425"/>
      <c r="X362" s="425"/>
      <c r="Y362" s="425" t="str">
        <f>IF(中間シート!$D56=1,中間シート!H56&amp;"　"&amp;中間シート!I56,"")</f>
        <v/>
      </c>
      <c r="Z362" s="425"/>
      <c r="AA362" s="425"/>
      <c r="AB362" s="425"/>
      <c r="AC362" s="425"/>
      <c r="AD362" s="425"/>
      <c r="AE362" s="425"/>
      <c r="AF362" s="425"/>
      <c r="AG362" s="425"/>
      <c r="AH362" s="425"/>
      <c r="AI362" s="445" t="str">
        <f>IF(AND(中間シート!$D56=1,1&lt;中間シート!$J56),中間シート!$J56,"")</f>
        <v/>
      </c>
      <c r="AJ362" s="445"/>
      <c r="AK362" s="446" t="str">
        <f>IF(AND(中間シート!$D56=1,1&lt;中間シート!$J56),中間シート!$J56,"")</f>
        <v/>
      </c>
      <c r="AL362" s="446"/>
      <c r="AM362" s="446"/>
      <c r="AN362" s="447" t="str">
        <f>IF(AND(中間シート!$D56=1,1&lt;中間シート!$J56),中間シート!$J56,"")</f>
        <v/>
      </c>
      <c r="AO362" s="447"/>
      <c r="AP362" s="448" t="str">
        <f>IF(AND(中間シート!$D56=1,1&lt;中間シート!$J56),中間シート!$J56,"")</f>
        <v/>
      </c>
      <c r="AQ362" s="448"/>
      <c r="AR362" s="425" t="str">
        <f>IF(中間シート!$D56=1,IF(中間シート!K56="男","M",IF(中間シート!K56="女","F","")),"")</f>
        <v/>
      </c>
      <c r="AS362" s="425"/>
      <c r="AT362" s="425"/>
      <c r="AU362" s="425"/>
    </row>
    <row r="363" spans="9:47" ht="30" customHeight="1" x14ac:dyDescent="0.15">
      <c r="I363" s="147"/>
      <c r="J363" s="425" t="str">
        <f>IF(中間シート!$D57=1,中間シート!E57,"")</f>
        <v/>
      </c>
      <c r="K363" s="425"/>
      <c r="L363" s="425"/>
      <c r="M363" s="425"/>
      <c r="N363" s="425"/>
      <c r="O363" s="425"/>
      <c r="P363" s="425" t="str">
        <f>IF(中間シート!$D57=1,中間シート!F57&amp;"　"&amp;中間シート!G57,"")</f>
        <v/>
      </c>
      <c r="Q363" s="425"/>
      <c r="R363" s="425"/>
      <c r="S363" s="425"/>
      <c r="T363" s="425"/>
      <c r="U363" s="425"/>
      <c r="V363" s="425"/>
      <c r="W363" s="425"/>
      <c r="X363" s="425"/>
      <c r="Y363" s="425" t="str">
        <f>IF(中間シート!$D57=1,中間シート!H57&amp;"　"&amp;中間シート!I57,"")</f>
        <v/>
      </c>
      <c r="Z363" s="425"/>
      <c r="AA363" s="425"/>
      <c r="AB363" s="425"/>
      <c r="AC363" s="425"/>
      <c r="AD363" s="425"/>
      <c r="AE363" s="425"/>
      <c r="AF363" s="425"/>
      <c r="AG363" s="425"/>
      <c r="AH363" s="425"/>
      <c r="AI363" s="445" t="str">
        <f>IF(AND(中間シート!$D57=1,1&lt;中間シート!$J57),中間シート!$J57,"")</f>
        <v/>
      </c>
      <c r="AJ363" s="445"/>
      <c r="AK363" s="446" t="str">
        <f>IF(AND(中間シート!$D57=1,1&lt;中間シート!$J57),中間シート!$J57,"")</f>
        <v/>
      </c>
      <c r="AL363" s="446"/>
      <c r="AM363" s="446"/>
      <c r="AN363" s="447" t="str">
        <f>IF(AND(中間シート!$D57=1,1&lt;中間シート!$J57),中間シート!$J57,"")</f>
        <v/>
      </c>
      <c r="AO363" s="447"/>
      <c r="AP363" s="448" t="str">
        <f>IF(AND(中間シート!$D57=1,1&lt;中間シート!$J57),中間シート!$J57,"")</f>
        <v/>
      </c>
      <c r="AQ363" s="448"/>
      <c r="AR363" s="425" t="str">
        <f>IF(中間シート!$D57=1,IF(中間シート!K57="男","M",IF(中間シート!K57="女","F","")),"")</f>
        <v/>
      </c>
      <c r="AS363" s="425"/>
      <c r="AT363" s="425"/>
      <c r="AU363" s="425"/>
    </row>
    <row r="365" spans="9:47" x14ac:dyDescent="0.15">
      <c r="J365" s="140" t="s">
        <v>292</v>
      </c>
      <c r="L365" s="411" t="s">
        <v>320</v>
      </c>
      <c r="M365" s="411"/>
      <c r="N365" s="411"/>
      <c r="O365" s="411"/>
      <c r="P365" s="411"/>
      <c r="Q365" s="411"/>
      <c r="R365" s="411"/>
      <c r="S365" s="411"/>
      <c r="T365" s="411"/>
      <c r="U365" s="411"/>
      <c r="V365" s="411"/>
      <c r="W365" s="411"/>
      <c r="X365" s="411"/>
      <c r="Y365" s="411"/>
      <c r="Z365" s="411"/>
      <c r="AA365" s="411"/>
      <c r="AB365" s="411"/>
      <c r="AC365" s="411"/>
      <c r="AD365" s="411"/>
      <c r="AE365" s="411"/>
      <c r="AF365" s="411"/>
      <c r="AG365" s="411"/>
      <c r="AH365" s="411"/>
      <c r="AI365" s="411"/>
      <c r="AJ365" s="411"/>
      <c r="AK365" s="411"/>
      <c r="AL365" s="411"/>
      <c r="AM365" s="411"/>
      <c r="AN365" s="411"/>
      <c r="AO365" s="411"/>
      <c r="AP365" s="411"/>
      <c r="AQ365" s="411"/>
      <c r="AR365" s="411"/>
      <c r="AS365" s="411"/>
      <c r="AT365" s="411"/>
      <c r="AU365" s="411"/>
    </row>
    <row r="366" spans="9:47" x14ac:dyDescent="0.15">
      <c r="L366" s="411"/>
      <c r="M366" s="411"/>
      <c r="N366" s="411"/>
      <c r="O366" s="411"/>
      <c r="P366" s="411"/>
      <c r="Q366" s="411"/>
      <c r="R366" s="411"/>
      <c r="S366" s="411"/>
      <c r="T366" s="411"/>
      <c r="U366" s="411"/>
      <c r="V366" s="411"/>
      <c r="W366" s="411"/>
      <c r="X366" s="411"/>
      <c r="Y366" s="411"/>
      <c r="Z366" s="411"/>
      <c r="AA366" s="411"/>
      <c r="AB366" s="411"/>
      <c r="AC366" s="411"/>
      <c r="AD366" s="411"/>
      <c r="AE366" s="411"/>
      <c r="AF366" s="411"/>
      <c r="AG366" s="411"/>
      <c r="AH366" s="411"/>
      <c r="AI366" s="411"/>
      <c r="AJ366" s="411"/>
      <c r="AK366" s="411"/>
      <c r="AL366" s="411"/>
      <c r="AM366" s="411"/>
      <c r="AN366" s="411"/>
      <c r="AO366" s="411"/>
      <c r="AP366" s="411"/>
      <c r="AQ366" s="411"/>
      <c r="AR366" s="411"/>
      <c r="AS366" s="411"/>
      <c r="AT366" s="411"/>
      <c r="AU366" s="411"/>
    </row>
    <row r="367" spans="9:47" x14ac:dyDescent="0.15">
      <c r="L367" s="411"/>
      <c r="M367" s="411"/>
      <c r="N367" s="411"/>
      <c r="O367" s="411"/>
      <c r="P367" s="411"/>
      <c r="Q367" s="411"/>
      <c r="R367" s="411"/>
      <c r="S367" s="411"/>
      <c r="T367" s="411"/>
      <c r="U367" s="411"/>
      <c r="V367" s="411"/>
      <c r="W367" s="411"/>
      <c r="X367" s="411"/>
      <c r="Y367" s="411"/>
      <c r="Z367" s="411"/>
      <c r="AA367" s="411"/>
      <c r="AB367" s="411"/>
      <c r="AC367" s="411"/>
      <c r="AD367" s="411"/>
      <c r="AE367" s="411"/>
      <c r="AF367" s="411"/>
      <c r="AG367" s="411"/>
      <c r="AH367" s="411"/>
      <c r="AI367" s="411"/>
      <c r="AJ367" s="411"/>
      <c r="AK367" s="411"/>
      <c r="AL367" s="411"/>
      <c r="AM367" s="411"/>
      <c r="AN367" s="411"/>
      <c r="AO367" s="411"/>
      <c r="AP367" s="411"/>
      <c r="AQ367" s="411"/>
      <c r="AR367" s="411"/>
      <c r="AS367" s="411"/>
      <c r="AT367" s="411"/>
      <c r="AU367" s="411"/>
    </row>
    <row r="368" spans="9:47" x14ac:dyDescent="0.15">
      <c r="L368" s="411"/>
      <c r="M368" s="411"/>
      <c r="N368" s="411"/>
      <c r="O368" s="411"/>
      <c r="P368" s="411"/>
      <c r="Q368" s="411"/>
      <c r="R368" s="411"/>
      <c r="S368" s="411"/>
      <c r="T368" s="411"/>
      <c r="U368" s="411"/>
      <c r="V368" s="411"/>
      <c r="W368" s="411"/>
      <c r="X368" s="411"/>
      <c r="Y368" s="411"/>
      <c r="Z368" s="411"/>
      <c r="AA368" s="411"/>
      <c r="AB368" s="411"/>
      <c r="AC368" s="411"/>
      <c r="AD368" s="411"/>
      <c r="AE368" s="411"/>
      <c r="AF368" s="411"/>
      <c r="AG368" s="411"/>
      <c r="AH368" s="411"/>
      <c r="AI368" s="411"/>
      <c r="AJ368" s="411"/>
      <c r="AK368" s="411"/>
      <c r="AL368" s="411"/>
      <c r="AM368" s="411"/>
      <c r="AN368" s="411"/>
      <c r="AO368" s="411"/>
      <c r="AP368" s="411"/>
      <c r="AQ368" s="411"/>
      <c r="AR368" s="411"/>
      <c r="AS368" s="411"/>
      <c r="AT368" s="411"/>
      <c r="AU368" s="411"/>
    </row>
    <row r="369" spans="12:47" x14ac:dyDescent="0.15">
      <c r="L369" s="411"/>
      <c r="M369" s="411"/>
      <c r="N369" s="411"/>
      <c r="O369" s="411"/>
      <c r="P369" s="411"/>
      <c r="Q369" s="411"/>
      <c r="R369" s="411"/>
      <c r="S369" s="411"/>
      <c r="T369" s="411"/>
      <c r="U369" s="411"/>
      <c r="V369" s="411"/>
      <c r="W369" s="411"/>
      <c r="X369" s="411"/>
      <c r="Y369" s="411"/>
      <c r="Z369" s="411"/>
      <c r="AA369" s="411"/>
      <c r="AB369" s="411"/>
      <c r="AC369" s="411"/>
      <c r="AD369" s="411"/>
      <c r="AE369" s="411"/>
      <c r="AF369" s="411"/>
      <c r="AG369" s="411"/>
      <c r="AH369" s="411"/>
      <c r="AI369" s="411"/>
      <c r="AJ369" s="411"/>
      <c r="AK369" s="411"/>
      <c r="AL369" s="411"/>
      <c r="AM369" s="411"/>
      <c r="AN369" s="411"/>
      <c r="AO369" s="411"/>
      <c r="AP369" s="411"/>
      <c r="AQ369" s="411"/>
      <c r="AR369" s="411"/>
      <c r="AS369" s="411"/>
      <c r="AT369" s="411"/>
      <c r="AU369" s="411"/>
    </row>
    <row r="370" spans="12:47" x14ac:dyDescent="0.15">
      <c r="L370" s="411"/>
      <c r="M370" s="411"/>
      <c r="N370" s="411"/>
      <c r="O370" s="411"/>
      <c r="P370" s="411"/>
      <c r="Q370" s="411"/>
      <c r="R370" s="411"/>
      <c r="S370" s="411"/>
      <c r="T370" s="411"/>
      <c r="U370" s="411"/>
      <c r="V370" s="411"/>
      <c r="W370" s="411"/>
      <c r="X370" s="411"/>
      <c r="Y370" s="411"/>
      <c r="Z370" s="411"/>
      <c r="AA370" s="411"/>
      <c r="AB370" s="411"/>
      <c r="AC370" s="411"/>
      <c r="AD370" s="411"/>
      <c r="AE370" s="411"/>
      <c r="AF370" s="411"/>
      <c r="AG370" s="411"/>
      <c r="AH370" s="411"/>
      <c r="AI370" s="411"/>
      <c r="AJ370" s="411"/>
      <c r="AK370" s="411"/>
      <c r="AL370" s="411"/>
      <c r="AM370" s="411"/>
      <c r="AN370" s="411"/>
      <c r="AO370" s="411"/>
      <c r="AP370" s="411"/>
      <c r="AQ370" s="411"/>
      <c r="AR370" s="411"/>
      <c r="AS370" s="411"/>
      <c r="AT370" s="411"/>
      <c r="AU370" s="411"/>
    </row>
  </sheetData>
  <sheetProtection algorithmName="SHA-512" hashValue="GqX+QAosKzN/tdnt/KiIJhOugvGdIwnMCo9Rfq07i0h5+0iMMmayJZtiV+24FSmUbKz0/2A3dyiOlbFZ0gVecQ==" saltValue="Mtjk9nR1MURz1VsgG3xdug==" spinCount="100000" sheet="1" selectLockedCells="1" selectUnlockedCells="1"/>
  <mergeCells count="2046">
    <mergeCell ref="AM313:AU313"/>
    <mergeCell ref="AM314:AU314"/>
    <mergeCell ref="AM315:AU315"/>
    <mergeCell ref="AM316:AU316"/>
    <mergeCell ref="AM317:AU317"/>
    <mergeCell ref="AM318:AU318"/>
    <mergeCell ref="AM307:AU307"/>
    <mergeCell ref="AM308:AU308"/>
    <mergeCell ref="AM309:AU309"/>
    <mergeCell ref="AM310:AU310"/>
    <mergeCell ref="AM311:AU311"/>
    <mergeCell ref="AM312:AU312"/>
    <mergeCell ref="AM301:AU301"/>
    <mergeCell ref="AM302:AU302"/>
    <mergeCell ref="AM303:AU303"/>
    <mergeCell ref="AM304:AU304"/>
    <mergeCell ref="AM305:AU305"/>
    <mergeCell ref="AM306:AU306"/>
    <mergeCell ref="AM295:AU295"/>
    <mergeCell ref="AM296:AU296"/>
    <mergeCell ref="AM297:AU297"/>
    <mergeCell ref="AM298:AU298"/>
    <mergeCell ref="AM299:AU299"/>
    <mergeCell ref="AM300:AU300"/>
    <mergeCell ref="AM289:AU289"/>
    <mergeCell ref="AM290:AU290"/>
    <mergeCell ref="AM291:AU291"/>
    <mergeCell ref="AM292:AU292"/>
    <mergeCell ref="AM293:AU293"/>
    <mergeCell ref="AM294:AU294"/>
    <mergeCell ref="AM283:AU283"/>
    <mergeCell ref="AM284:AU284"/>
    <mergeCell ref="AM285:AU285"/>
    <mergeCell ref="AM286:AU286"/>
    <mergeCell ref="AM287:AU287"/>
    <mergeCell ref="AM288:AU288"/>
    <mergeCell ref="AM277:AU277"/>
    <mergeCell ref="AM278:AU278"/>
    <mergeCell ref="AM279:AU279"/>
    <mergeCell ref="AM280:AU280"/>
    <mergeCell ref="AM281:AU281"/>
    <mergeCell ref="AM282:AU282"/>
    <mergeCell ref="AM271:AU271"/>
    <mergeCell ref="AM272:AU272"/>
    <mergeCell ref="AM273:AU273"/>
    <mergeCell ref="AM274:AU274"/>
    <mergeCell ref="AM275:AU275"/>
    <mergeCell ref="AM276:AU276"/>
    <mergeCell ref="AF313:AL313"/>
    <mergeCell ref="AF314:AL314"/>
    <mergeCell ref="AF315:AL315"/>
    <mergeCell ref="AF316:AL316"/>
    <mergeCell ref="AF317:AL317"/>
    <mergeCell ref="AF289:AL289"/>
    <mergeCell ref="AF290:AL290"/>
    <mergeCell ref="AF291:AL291"/>
    <mergeCell ref="AF292:AL292"/>
    <mergeCell ref="AF293:AL293"/>
    <mergeCell ref="AF294:AL294"/>
    <mergeCell ref="AF283:AL283"/>
    <mergeCell ref="AF284:AL284"/>
    <mergeCell ref="AF285:AL285"/>
    <mergeCell ref="AF286:AL286"/>
    <mergeCell ref="AF287:AL287"/>
    <mergeCell ref="AF288:AL288"/>
    <mergeCell ref="AF277:AL277"/>
    <mergeCell ref="AF278:AL278"/>
    <mergeCell ref="AF279:AL279"/>
    <mergeCell ref="AF318:AL318"/>
    <mergeCell ref="AF307:AL307"/>
    <mergeCell ref="AF308:AL308"/>
    <mergeCell ref="AF309:AL309"/>
    <mergeCell ref="AF310:AL310"/>
    <mergeCell ref="AF311:AL311"/>
    <mergeCell ref="AF312:AL312"/>
    <mergeCell ref="AF301:AL301"/>
    <mergeCell ref="AF302:AL302"/>
    <mergeCell ref="AF303:AL303"/>
    <mergeCell ref="AF304:AL304"/>
    <mergeCell ref="AF305:AL305"/>
    <mergeCell ref="AF306:AL306"/>
    <mergeCell ref="AF295:AL295"/>
    <mergeCell ref="AF296:AL296"/>
    <mergeCell ref="AF297:AL297"/>
    <mergeCell ref="AF298:AL298"/>
    <mergeCell ref="AF299:AL299"/>
    <mergeCell ref="AF300:AL300"/>
    <mergeCell ref="AF280:AL280"/>
    <mergeCell ref="AF281:AL281"/>
    <mergeCell ref="AF282:AL282"/>
    <mergeCell ref="AF271:AL271"/>
    <mergeCell ref="AF272:AL272"/>
    <mergeCell ref="AF273:AL273"/>
    <mergeCell ref="AF274:AL274"/>
    <mergeCell ref="AF275:AL275"/>
    <mergeCell ref="AF276:AL276"/>
    <mergeCell ref="W313:AE313"/>
    <mergeCell ref="W314:AE314"/>
    <mergeCell ref="W315:AE315"/>
    <mergeCell ref="W316:AE316"/>
    <mergeCell ref="W317:AE317"/>
    <mergeCell ref="W318:AE318"/>
    <mergeCell ref="W307:AE307"/>
    <mergeCell ref="W308:AE308"/>
    <mergeCell ref="W309:AE309"/>
    <mergeCell ref="W310:AE310"/>
    <mergeCell ref="W311:AE311"/>
    <mergeCell ref="W312:AE312"/>
    <mergeCell ref="W301:AE301"/>
    <mergeCell ref="W302:AE302"/>
    <mergeCell ref="W303:AE303"/>
    <mergeCell ref="W304:AE304"/>
    <mergeCell ref="W305:AE305"/>
    <mergeCell ref="W306:AE306"/>
    <mergeCell ref="W295:AE295"/>
    <mergeCell ref="W296:AE296"/>
    <mergeCell ref="W297:AE297"/>
    <mergeCell ref="W298:AE298"/>
    <mergeCell ref="W299:AE299"/>
    <mergeCell ref="W300:AE300"/>
    <mergeCell ref="W289:AE289"/>
    <mergeCell ref="W290:AE290"/>
    <mergeCell ref="W291:AE291"/>
    <mergeCell ref="W292:AE292"/>
    <mergeCell ref="W293:AE293"/>
    <mergeCell ref="W294:AE294"/>
    <mergeCell ref="W283:AE283"/>
    <mergeCell ref="W284:AE284"/>
    <mergeCell ref="W285:AE285"/>
    <mergeCell ref="W286:AE286"/>
    <mergeCell ref="W287:AE287"/>
    <mergeCell ref="W288:AE288"/>
    <mergeCell ref="W277:AE277"/>
    <mergeCell ref="W278:AE278"/>
    <mergeCell ref="W279:AE279"/>
    <mergeCell ref="W280:AE280"/>
    <mergeCell ref="W281:AE281"/>
    <mergeCell ref="W282:AE282"/>
    <mergeCell ref="W271:AE271"/>
    <mergeCell ref="W272:AE272"/>
    <mergeCell ref="W273:AE273"/>
    <mergeCell ref="W274:AE274"/>
    <mergeCell ref="W275:AE275"/>
    <mergeCell ref="W276:AE276"/>
    <mergeCell ref="N313:V313"/>
    <mergeCell ref="N314:V314"/>
    <mergeCell ref="N315:V315"/>
    <mergeCell ref="N316:V316"/>
    <mergeCell ref="N317:V317"/>
    <mergeCell ref="N318:V318"/>
    <mergeCell ref="N307:V307"/>
    <mergeCell ref="N308:V308"/>
    <mergeCell ref="N309:V309"/>
    <mergeCell ref="N310:V310"/>
    <mergeCell ref="N311:V311"/>
    <mergeCell ref="N312:V312"/>
    <mergeCell ref="N301:V301"/>
    <mergeCell ref="N302:V302"/>
    <mergeCell ref="N303:V303"/>
    <mergeCell ref="N304:V304"/>
    <mergeCell ref="N305:V305"/>
    <mergeCell ref="N306:V306"/>
    <mergeCell ref="N295:V295"/>
    <mergeCell ref="N296:V296"/>
    <mergeCell ref="N297:V297"/>
    <mergeCell ref="N298:V298"/>
    <mergeCell ref="N299:V299"/>
    <mergeCell ref="N300:V300"/>
    <mergeCell ref="N289:V289"/>
    <mergeCell ref="N290:V290"/>
    <mergeCell ref="N291:V291"/>
    <mergeCell ref="N292:V292"/>
    <mergeCell ref="N293:V293"/>
    <mergeCell ref="N294:V294"/>
    <mergeCell ref="N283:V283"/>
    <mergeCell ref="N284:V284"/>
    <mergeCell ref="N285:V285"/>
    <mergeCell ref="N286:V286"/>
    <mergeCell ref="N287:V287"/>
    <mergeCell ref="N288:V288"/>
    <mergeCell ref="N277:V277"/>
    <mergeCell ref="N278:V278"/>
    <mergeCell ref="N279:V279"/>
    <mergeCell ref="N280:V280"/>
    <mergeCell ref="N281:V281"/>
    <mergeCell ref="N282:V282"/>
    <mergeCell ref="N271:V271"/>
    <mergeCell ref="N272:V272"/>
    <mergeCell ref="N273:V273"/>
    <mergeCell ref="N274:V274"/>
    <mergeCell ref="N275:V275"/>
    <mergeCell ref="N276:V276"/>
    <mergeCell ref="AG103:AU103"/>
    <mergeCell ref="AG104:AU104"/>
    <mergeCell ref="AG105:AU105"/>
    <mergeCell ref="AG106:AU106"/>
    <mergeCell ref="AG107:AU107"/>
    <mergeCell ref="AG108:AU108"/>
    <mergeCell ref="AG97:AU97"/>
    <mergeCell ref="AG98:AU98"/>
    <mergeCell ref="AG99:AU99"/>
    <mergeCell ref="AG100:AU100"/>
    <mergeCell ref="AG101:AU101"/>
    <mergeCell ref="AG102:AU102"/>
    <mergeCell ref="AG91:AU91"/>
    <mergeCell ref="AG92:AU92"/>
    <mergeCell ref="AG93:AU93"/>
    <mergeCell ref="AG94:AU94"/>
    <mergeCell ref="AG95:AU95"/>
    <mergeCell ref="AG96:AU96"/>
    <mergeCell ref="AD74:AF74"/>
    <mergeCell ref="AD75:AF75"/>
    <mergeCell ref="AD76:AF76"/>
    <mergeCell ref="AD77:AF77"/>
    <mergeCell ref="AD78:AF78"/>
    <mergeCell ref="AD67:AF67"/>
    <mergeCell ref="AD68:AF68"/>
    <mergeCell ref="AD69:AF69"/>
    <mergeCell ref="AG85:AU85"/>
    <mergeCell ref="AG86:AU86"/>
    <mergeCell ref="AG87:AU87"/>
    <mergeCell ref="AG88:AU88"/>
    <mergeCell ref="AG89:AU89"/>
    <mergeCell ref="AG90:AU90"/>
    <mergeCell ref="AG79:AU79"/>
    <mergeCell ref="AG80:AU80"/>
    <mergeCell ref="AG81:AU81"/>
    <mergeCell ref="AG82:AU82"/>
    <mergeCell ref="AG83:AU83"/>
    <mergeCell ref="AG84:AU84"/>
    <mergeCell ref="AG73:AU73"/>
    <mergeCell ref="AG74:AU74"/>
    <mergeCell ref="AG75:AU75"/>
    <mergeCell ref="AG76:AU76"/>
    <mergeCell ref="AG77:AU77"/>
    <mergeCell ref="AG78:AU78"/>
    <mergeCell ref="S103:AB103"/>
    <mergeCell ref="S104:AB104"/>
    <mergeCell ref="S105:AB105"/>
    <mergeCell ref="S106:AB106"/>
    <mergeCell ref="S107:AB107"/>
    <mergeCell ref="S108:AB108"/>
    <mergeCell ref="S97:AB97"/>
    <mergeCell ref="S98:AB98"/>
    <mergeCell ref="AG67:AU67"/>
    <mergeCell ref="AG68:AU68"/>
    <mergeCell ref="AG69:AU69"/>
    <mergeCell ref="AG70:AU70"/>
    <mergeCell ref="AG71:AU71"/>
    <mergeCell ref="AG72:AU72"/>
    <mergeCell ref="AG61:AU61"/>
    <mergeCell ref="AG62:AU62"/>
    <mergeCell ref="AG63:AU63"/>
    <mergeCell ref="AG64:AU64"/>
    <mergeCell ref="AG65:AU65"/>
    <mergeCell ref="AG66:AU66"/>
    <mergeCell ref="AD103:AF103"/>
    <mergeCell ref="AD104:AF104"/>
    <mergeCell ref="AD105:AF105"/>
    <mergeCell ref="AD106:AF106"/>
    <mergeCell ref="AD107:AF107"/>
    <mergeCell ref="AD79:AF79"/>
    <mergeCell ref="AD80:AF80"/>
    <mergeCell ref="AD81:AF81"/>
    <mergeCell ref="AD82:AF82"/>
    <mergeCell ref="AD83:AF83"/>
    <mergeCell ref="AD84:AF84"/>
    <mergeCell ref="AD73:AF73"/>
    <mergeCell ref="AD108:AF108"/>
    <mergeCell ref="AD97:AF97"/>
    <mergeCell ref="AD98:AF98"/>
    <mergeCell ref="AD99:AF99"/>
    <mergeCell ref="AD100:AF100"/>
    <mergeCell ref="AD101:AF101"/>
    <mergeCell ref="AD102:AF102"/>
    <mergeCell ref="AD91:AF91"/>
    <mergeCell ref="AD92:AF92"/>
    <mergeCell ref="AD93:AF93"/>
    <mergeCell ref="AD94:AF94"/>
    <mergeCell ref="AD95:AF95"/>
    <mergeCell ref="AD96:AF96"/>
    <mergeCell ref="AD85:AF85"/>
    <mergeCell ref="AD86:AF86"/>
    <mergeCell ref="AD87:AF87"/>
    <mergeCell ref="AD88:AF88"/>
    <mergeCell ref="AD89:AF89"/>
    <mergeCell ref="AD90:AF90"/>
    <mergeCell ref="S99:AB99"/>
    <mergeCell ref="S100:AB100"/>
    <mergeCell ref="S101:AB101"/>
    <mergeCell ref="S102:AB102"/>
    <mergeCell ref="S91:AB91"/>
    <mergeCell ref="S92:AB92"/>
    <mergeCell ref="S93:AB93"/>
    <mergeCell ref="S94:AB94"/>
    <mergeCell ref="S95:AB95"/>
    <mergeCell ref="S96:AB96"/>
    <mergeCell ref="S84:AB84"/>
    <mergeCell ref="S73:AB73"/>
    <mergeCell ref="S74:AB74"/>
    <mergeCell ref="S75:AB75"/>
    <mergeCell ref="S76:AB76"/>
    <mergeCell ref="S77:AB77"/>
    <mergeCell ref="S78:AB78"/>
    <mergeCell ref="S79:AB79"/>
    <mergeCell ref="S80:AB80"/>
    <mergeCell ref="S81:AB81"/>
    <mergeCell ref="S82:AB82"/>
    <mergeCell ref="S83:AB83"/>
    <mergeCell ref="S85:AB85"/>
    <mergeCell ref="S86:AB86"/>
    <mergeCell ref="S87:AB87"/>
    <mergeCell ref="S88:AB88"/>
    <mergeCell ref="S89:AB89"/>
    <mergeCell ref="S67:AB67"/>
    <mergeCell ref="S68:AB68"/>
    <mergeCell ref="S69:AB69"/>
    <mergeCell ref="S70:AB70"/>
    <mergeCell ref="S71:AB71"/>
    <mergeCell ref="S72:AB72"/>
    <mergeCell ref="AD70:AF70"/>
    <mergeCell ref="AD71:AF71"/>
    <mergeCell ref="AD72:AF72"/>
    <mergeCell ref="AD61:AF61"/>
    <mergeCell ref="AD62:AF62"/>
    <mergeCell ref="AD63:AF63"/>
    <mergeCell ref="AD64:AF64"/>
    <mergeCell ref="AD65:AF65"/>
    <mergeCell ref="AD66:AF66"/>
    <mergeCell ref="S61:AB61"/>
    <mergeCell ref="S62:AB62"/>
    <mergeCell ref="S63:AB63"/>
    <mergeCell ref="S64:AB64"/>
    <mergeCell ref="S65:AB65"/>
    <mergeCell ref="S66:AB66"/>
    <mergeCell ref="N103:R103"/>
    <mergeCell ref="N104:R104"/>
    <mergeCell ref="N105:R105"/>
    <mergeCell ref="N106:R106"/>
    <mergeCell ref="N107:R107"/>
    <mergeCell ref="N108:R108"/>
    <mergeCell ref="N97:R97"/>
    <mergeCell ref="N98:R98"/>
    <mergeCell ref="N99:R99"/>
    <mergeCell ref="N100:R100"/>
    <mergeCell ref="N101:R101"/>
    <mergeCell ref="N102:R102"/>
    <mergeCell ref="N91:R91"/>
    <mergeCell ref="N92:R92"/>
    <mergeCell ref="N93:R93"/>
    <mergeCell ref="N94:R94"/>
    <mergeCell ref="N95:R95"/>
    <mergeCell ref="N96:R96"/>
    <mergeCell ref="N85:R85"/>
    <mergeCell ref="N86:R86"/>
    <mergeCell ref="N87:R87"/>
    <mergeCell ref="N88:R88"/>
    <mergeCell ref="N89:R89"/>
    <mergeCell ref="N90:R90"/>
    <mergeCell ref="N79:R79"/>
    <mergeCell ref="N80:R80"/>
    <mergeCell ref="N75:R75"/>
    <mergeCell ref="N76:R76"/>
    <mergeCell ref="N77:R77"/>
    <mergeCell ref="N78:R78"/>
    <mergeCell ref="N67:R67"/>
    <mergeCell ref="N68:R68"/>
    <mergeCell ref="N69:R69"/>
    <mergeCell ref="N70:R70"/>
    <mergeCell ref="N71:R71"/>
    <mergeCell ref="N72:R72"/>
    <mergeCell ref="AN260:AS260"/>
    <mergeCell ref="AN236:AS236"/>
    <mergeCell ref="AN227:AS227"/>
    <mergeCell ref="AN218:AS218"/>
    <mergeCell ref="AN209:AS209"/>
    <mergeCell ref="AN200:AS200"/>
    <mergeCell ref="AN191:AS191"/>
    <mergeCell ref="AN182:AS182"/>
    <mergeCell ref="AN173:AS173"/>
    <mergeCell ref="AN164:AS164"/>
    <mergeCell ref="AN155:AS155"/>
    <mergeCell ref="AN146:AS146"/>
    <mergeCell ref="AN137:AS137"/>
    <mergeCell ref="AL242:AM242"/>
    <mergeCell ref="AL243:AM243"/>
    <mergeCell ref="AL244:AM244"/>
    <mergeCell ref="S90:AB90"/>
    <mergeCell ref="AL233:AM233"/>
    <mergeCell ref="AL234:AM234"/>
    <mergeCell ref="AL235:AM235"/>
    <mergeCell ref="AL236:AM236"/>
    <mergeCell ref="AL237:AM237"/>
    <mergeCell ref="AL238:AM238"/>
    <mergeCell ref="AL227:AM227"/>
    <mergeCell ref="AL228:AM228"/>
    <mergeCell ref="AL229:AM229"/>
    <mergeCell ref="AL230:AM230"/>
    <mergeCell ref="AL231:AM231"/>
    <mergeCell ref="AL232:AM232"/>
    <mergeCell ref="AL221:AM221"/>
    <mergeCell ref="AL222:AM222"/>
    <mergeCell ref="AL223:AM223"/>
    <mergeCell ref="AT260:AU260"/>
    <mergeCell ref="AN261:AS261"/>
    <mergeCell ref="AT261:AU261"/>
    <mergeCell ref="N61:R61"/>
    <mergeCell ref="N62:R62"/>
    <mergeCell ref="N63:R63"/>
    <mergeCell ref="N64:R64"/>
    <mergeCell ref="N65:R65"/>
    <mergeCell ref="N66:R66"/>
    <mergeCell ref="AN257:AS257"/>
    <mergeCell ref="AT257:AU257"/>
    <mergeCell ref="AN258:AS258"/>
    <mergeCell ref="AT258:AU258"/>
    <mergeCell ref="AN259:AS259"/>
    <mergeCell ref="AT259:AU259"/>
    <mergeCell ref="AN254:AS254"/>
    <mergeCell ref="AT254:AU254"/>
    <mergeCell ref="AN255:AS255"/>
    <mergeCell ref="AT255:AU255"/>
    <mergeCell ref="AN256:AS256"/>
    <mergeCell ref="AT256:AU256"/>
    <mergeCell ref="AN251:AS251"/>
    <mergeCell ref="AT251:AU251"/>
    <mergeCell ref="AN252:AS252"/>
    <mergeCell ref="AT252:AU252"/>
    <mergeCell ref="AN253:AS253"/>
    <mergeCell ref="AT253:AU253"/>
    <mergeCell ref="AN248:AS248"/>
    <mergeCell ref="AT248:AU248"/>
    <mergeCell ref="AN249:AS249"/>
    <mergeCell ref="AT249:AU249"/>
    <mergeCell ref="AN250:AS250"/>
    <mergeCell ref="AT250:AU250"/>
    <mergeCell ref="AN245:AS245"/>
    <mergeCell ref="AT245:AU245"/>
    <mergeCell ref="AN246:AS246"/>
    <mergeCell ref="AT246:AU246"/>
    <mergeCell ref="AN247:AS247"/>
    <mergeCell ref="AT247:AU247"/>
    <mergeCell ref="AN242:AS242"/>
    <mergeCell ref="AT242:AU242"/>
    <mergeCell ref="AN243:AS243"/>
    <mergeCell ref="AT243:AU243"/>
    <mergeCell ref="AN244:AS244"/>
    <mergeCell ref="AT244:AU244"/>
    <mergeCell ref="AN239:AS239"/>
    <mergeCell ref="AT239:AU239"/>
    <mergeCell ref="AN240:AS240"/>
    <mergeCell ref="AT240:AU240"/>
    <mergeCell ref="AN241:AS241"/>
    <mergeCell ref="AT241:AU241"/>
    <mergeCell ref="AT236:AU236"/>
    <mergeCell ref="AN237:AS237"/>
    <mergeCell ref="AT237:AU237"/>
    <mergeCell ref="AN238:AS238"/>
    <mergeCell ref="AT238:AU238"/>
    <mergeCell ref="AN233:AS233"/>
    <mergeCell ref="AT233:AU233"/>
    <mergeCell ref="AN234:AS234"/>
    <mergeCell ref="AT234:AU234"/>
    <mergeCell ref="AN235:AS235"/>
    <mergeCell ref="AT235:AU235"/>
    <mergeCell ref="AN230:AS230"/>
    <mergeCell ref="AT230:AU230"/>
    <mergeCell ref="AN231:AS231"/>
    <mergeCell ref="AT231:AU231"/>
    <mergeCell ref="AN232:AS232"/>
    <mergeCell ref="AT232:AU232"/>
    <mergeCell ref="AT227:AU227"/>
    <mergeCell ref="AN228:AS228"/>
    <mergeCell ref="AT228:AU228"/>
    <mergeCell ref="AN229:AS229"/>
    <mergeCell ref="AT229:AU229"/>
    <mergeCell ref="AN224:AS224"/>
    <mergeCell ref="AT224:AU224"/>
    <mergeCell ref="AN225:AS225"/>
    <mergeCell ref="AT225:AU225"/>
    <mergeCell ref="AN226:AS226"/>
    <mergeCell ref="AT226:AU226"/>
    <mergeCell ref="AN221:AS221"/>
    <mergeCell ref="AT221:AU221"/>
    <mergeCell ref="AN222:AS222"/>
    <mergeCell ref="AT222:AU222"/>
    <mergeCell ref="AN223:AS223"/>
    <mergeCell ref="AT223:AU223"/>
    <mergeCell ref="AT218:AU218"/>
    <mergeCell ref="AN219:AS219"/>
    <mergeCell ref="AT219:AU219"/>
    <mergeCell ref="AN220:AS220"/>
    <mergeCell ref="AT220:AU220"/>
    <mergeCell ref="AN215:AS215"/>
    <mergeCell ref="AT215:AU215"/>
    <mergeCell ref="AN216:AS216"/>
    <mergeCell ref="AT216:AU216"/>
    <mergeCell ref="AN217:AS217"/>
    <mergeCell ref="AT217:AU217"/>
    <mergeCell ref="AN212:AS212"/>
    <mergeCell ref="AT212:AU212"/>
    <mergeCell ref="AN213:AS213"/>
    <mergeCell ref="AT213:AU213"/>
    <mergeCell ref="AN214:AS214"/>
    <mergeCell ref="AT214:AU214"/>
    <mergeCell ref="AT209:AU209"/>
    <mergeCell ref="AN210:AS210"/>
    <mergeCell ref="AT210:AU210"/>
    <mergeCell ref="AN211:AS211"/>
    <mergeCell ref="AT211:AU211"/>
    <mergeCell ref="AN206:AS206"/>
    <mergeCell ref="AT206:AU206"/>
    <mergeCell ref="AN207:AS207"/>
    <mergeCell ref="AT207:AU207"/>
    <mergeCell ref="AN208:AS208"/>
    <mergeCell ref="AT208:AU208"/>
    <mergeCell ref="AN203:AS203"/>
    <mergeCell ref="AT203:AU203"/>
    <mergeCell ref="AN204:AS204"/>
    <mergeCell ref="AT204:AU204"/>
    <mergeCell ref="AN205:AS205"/>
    <mergeCell ref="AT205:AU205"/>
    <mergeCell ref="AT200:AU200"/>
    <mergeCell ref="AN201:AS201"/>
    <mergeCell ref="AT201:AU201"/>
    <mergeCell ref="AN202:AS202"/>
    <mergeCell ref="AT202:AU202"/>
    <mergeCell ref="AN197:AS197"/>
    <mergeCell ref="AT197:AU197"/>
    <mergeCell ref="AN198:AS198"/>
    <mergeCell ref="AT198:AU198"/>
    <mergeCell ref="AN199:AS199"/>
    <mergeCell ref="AT199:AU199"/>
    <mergeCell ref="AN194:AS194"/>
    <mergeCell ref="AT194:AU194"/>
    <mergeCell ref="AN195:AS195"/>
    <mergeCell ref="AT195:AU195"/>
    <mergeCell ref="AN196:AS196"/>
    <mergeCell ref="AT196:AU196"/>
    <mergeCell ref="AT191:AU191"/>
    <mergeCell ref="AN192:AS192"/>
    <mergeCell ref="AT192:AU192"/>
    <mergeCell ref="AN193:AS193"/>
    <mergeCell ref="AT193:AU193"/>
    <mergeCell ref="AN188:AS188"/>
    <mergeCell ref="AT188:AU188"/>
    <mergeCell ref="AN189:AS189"/>
    <mergeCell ref="AT189:AU189"/>
    <mergeCell ref="AN190:AS190"/>
    <mergeCell ref="AT190:AU190"/>
    <mergeCell ref="AN185:AS185"/>
    <mergeCell ref="AT185:AU185"/>
    <mergeCell ref="AN186:AS186"/>
    <mergeCell ref="AT186:AU186"/>
    <mergeCell ref="AN187:AS187"/>
    <mergeCell ref="AT187:AU187"/>
    <mergeCell ref="AT182:AU182"/>
    <mergeCell ref="AN183:AS183"/>
    <mergeCell ref="AT183:AU183"/>
    <mergeCell ref="AN184:AS184"/>
    <mergeCell ref="AT184:AU184"/>
    <mergeCell ref="AN179:AS179"/>
    <mergeCell ref="AT179:AU179"/>
    <mergeCell ref="AN180:AS180"/>
    <mergeCell ref="AT180:AU180"/>
    <mergeCell ref="AN181:AS181"/>
    <mergeCell ref="AT181:AU181"/>
    <mergeCell ref="AN176:AS176"/>
    <mergeCell ref="AT176:AU176"/>
    <mergeCell ref="AN177:AS177"/>
    <mergeCell ref="AT177:AU177"/>
    <mergeCell ref="AN178:AS178"/>
    <mergeCell ref="AT178:AU178"/>
    <mergeCell ref="AT173:AU173"/>
    <mergeCell ref="AN174:AS174"/>
    <mergeCell ref="AT174:AU174"/>
    <mergeCell ref="AN175:AS175"/>
    <mergeCell ref="AT175:AU175"/>
    <mergeCell ref="AN170:AS170"/>
    <mergeCell ref="AT170:AU170"/>
    <mergeCell ref="AN171:AS171"/>
    <mergeCell ref="AT171:AU171"/>
    <mergeCell ref="AN172:AS172"/>
    <mergeCell ref="AT172:AU172"/>
    <mergeCell ref="AN167:AS167"/>
    <mergeCell ref="AT167:AU167"/>
    <mergeCell ref="AN168:AS168"/>
    <mergeCell ref="AT168:AU168"/>
    <mergeCell ref="AN169:AS169"/>
    <mergeCell ref="AT169:AU169"/>
    <mergeCell ref="AT164:AU164"/>
    <mergeCell ref="AN165:AS165"/>
    <mergeCell ref="AT165:AU165"/>
    <mergeCell ref="AN166:AS166"/>
    <mergeCell ref="AT166:AU166"/>
    <mergeCell ref="AN161:AS161"/>
    <mergeCell ref="AT161:AU161"/>
    <mergeCell ref="AN162:AS162"/>
    <mergeCell ref="AT162:AU162"/>
    <mergeCell ref="AN163:AS163"/>
    <mergeCell ref="AT163:AU163"/>
    <mergeCell ref="AN158:AS158"/>
    <mergeCell ref="AT158:AU158"/>
    <mergeCell ref="AN159:AS159"/>
    <mergeCell ref="AT159:AU159"/>
    <mergeCell ref="AN160:AS160"/>
    <mergeCell ref="AT160:AU160"/>
    <mergeCell ref="AT155:AU155"/>
    <mergeCell ref="AN156:AS156"/>
    <mergeCell ref="AT156:AU156"/>
    <mergeCell ref="AN157:AS157"/>
    <mergeCell ref="AT157:AU157"/>
    <mergeCell ref="AN152:AS152"/>
    <mergeCell ref="AT152:AU152"/>
    <mergeCell ref="AN153:AS153"/>
    <mergeCell ref="AT153:AU153"/>
    <mergeCell ref="AN154:AS154"/>
    <mergeCell ref="AT154:AU154"/>
    <mergeCell ref="AN149:AS149"/>
    <mergeCell ref="AT149:AU149"/>
    <mergeCell ref="AN150:AS150"/>
    <mergeCell ref="AT150:AU150"/>
    <mergeCell ref="AN151:AS151"/>
    <mergeCell ref="AT151:AU151"/>
    <mergeCell ref="AT146:AU146"/>
    <mergeCell ref="AN147:AS147"/>
    <mergeCell ref="AT147:AU147"/>
    <mergeCell ref="AN148:AS148"/>
    <mergeCell ref="AT148:AU148"/>
    <mergeCell ref="AN143:AS143"/>
    <mergeCell ref="AT143:AU143"/>
    <mergeCell ref="AN144:AS144"/>
    <mergeCell ref="AT144:AU144"/>
    <mergeCell ref="AN145:AS145"/>
    <mergeCell ref="AT145:AU145"/>
    <mergeCell ref="AN140:AS140"/>
    <mergeCell ref="AT140:AU140"/>
    <mergeCell ref="AN141:AS141"/>
    <mergeCell ref="AT141:AU141"/>
    <mergeCell ref="AN142:AS142"/>
    <mergeCell ref="AT142:AU142"/>
    <mergeCell ref="AT137:AU137"/>
    <mergeCell ref="AN138:AS138"/>
    <mergeCell ref="AT138:AU138"/>
    <mergeCell ref="AN139:AS139"/>
    <mergeCell ref="AT139:AU139"/>
    <mergeCell ref="AN134:AS134"/>
    <mergeCell ref="AT134:AU134"/>
    <mergeCell ref="AN135:AS135"/>
    <mergeCell ref="AT135:AU135"/>
    <mergeCell ref="AN136:AS136"/>
    <mergeCell ref="AT136:AU136"/>
    <mergeCell ref="AT130:AU130"/>
    <mergeCell ref="AN131:AS131"/>
    <mergeCell ref="AT131:AU131"/>
    <mergeCell ref="AN132:AS132"/>
    <mergeCell ref="AT132:AU132"/>
    <mergeCell ref="AN133:AS133"/>
    <mergeCell ref="AT133:AU133"/>
    <mergeCell ref="AT126:AU126"/>
    <mergeCell ref="AN127:AS127"/>
    <mergeCell ref="AT127:AU127"/>
    <mergeCell ref="AN128:AS128"/>
    <mergeCell ref="AT128:AU128"/>
    <mergeCell ref="AN129:AS129"/>
    <mergeCell ref="AT129:AU129"/>
    <mergeCell ref="AT122:AU122"/>
    <mergeCell ref="AN123:AS123"/>
    <mergeCell ref="AT123:AU123"/>
    <mergeCell ref="AN124:AS124"/>
    <mergeCell ref="AT124:AU124"/>
    <mergeCell ref="AN125:AS125"/>
    <mergeCell ref="AT125:AU125"/>
    <mergeCell ref="AT118:AU118"/>
    <mergeCell ref="AN119:AS119"/>
    <mergeCell ref="AT119:AU119"/>
    <mergeCell ref="AN120:AS120"/>
    <mergeCell ref="AT120:AU120"/>
    <mergeCell ref="AN121:AS121"/>
    <mergeCell ref="AT121:AU121"/>
    <mergeCell ref="AT114:AU114"/>
    <mergeCell ref="AN115:AS115"/>
    <mergeCell ref="AT115:AU115"/>
    <mergeCell ref="AN116:AS116"/>
    <mergeCell ref="AT116:AU116"/>
    <mergeCell ref="AN117:AS117"/>
    <mergeCell ref="AT117:AU117"/>
    <mergeCell ref="AL257:AM257"/>
    <mergeCell ref="AL258:AM258"/>
    <mergeCell ref="AL259:AM259"/>
    <mergeCell ref="AL260:AM260"/>
    <mergeCell ref="AL261:AM261"/>
    <mergeCell ref="AN114:AS114"/>
    <mergeCell ref="AN118:AS118"/>
    <mergeCell ref="AN122:AS122"/>
    <mergeCell ref="AN126:AS126"/>
    <mergeCell ref="AN130:AS130"/>
    <mergeCell ref="AL251:AM251"/>
    <mergeCell ref="AL252:AM252"/>
    <mergeCell ref="AL253:AM253"/>
    <mergeCell ref="AL254:AM254"/>
    <mergeCell ref="AL255:AM255"/>
    <mergeCell ref="AL256:AM256"/>
    <mergeCell ref="AL245:AM245"/>
    <mergeCell ref="AL246:AM246"/>
    <mergeCell ref="AL247:AM247"/>
    <mergeCell ref="AL248:AM248"/>
    <mergeCell ref="AL249:AM249"/>
    <mergeCell ref="AL250:AM250"/>
    <mergeCell ref="AL239:AM239"/>
    <mergeCell ref="AL240:AM240"/>
    <mergeCell ref="AL241:AM241"/>
    <mergeCell ref="AL224:AM224"/>
    <mergeCell ref="AL225:AM225"/>
    <mergeCell ref="AL226:AM226"/>
    <mergeCell ref="AL215:AM215"/>
    <mergeCell ref="AL216:AM216"/>
    <mergeCell ref="AL217:AM217"/>
    <mergeCell ref="AL218:AM218"/>
    <mergeCell ref="AL219:AM219"/>
    <mergeCell ref="AL220:AM220"/>
    <mergeCell ref="AL209:AM209"/>
    <mergeCell ref="AL210:AM210"/>
    <mergeCell ref="AL211:AM211"/>
    <mergeCell ref="AL212:AM212"/>
    <mergeCell ref="AL213:AM213"/>
    <mergeCell ref="AL214:AM214"/>
    <mergeCell ref="AL203:AM203"/>
    <mergeCell ref="AL204:AM204"/>
    <mergeCell ref="AL205:AM205"/>
    <mergeCell ref="AL206:AM206"/>
    <mergeCell ref="AL207:AM207"/>
    <mergeCell ref="AL208:AM208"/>
    <mergeCell ref="AL197:AM197"/>
    <mergeCell ref="AL198:AM198"/>
    <mergeCell ref="AL199:AM199"/>
    <mergeCell ref="AL200:AM200"/>
    <mergeCell ref="AL201:AM201"/>
    <mergeCell ref="AL202:AM202"/>
    <mergeCell ref="AL191:AM191"/>
    <mergeCell ref="AL192:AM192"/>
    <mergeCell ref="AL193:AM193"/>
    <mergeCell ref="AL194:AM194"/>
    <mergeCell ref="AL195:AM195"/>
    <mergeCell ref="AL196:AM196"/>
    <mergeCell ref="AL185:AM185"/>
    <mergeCell ref="AL186:AM186"/>
    <mergeCell ref="AL187:AM187"/>
    <mergeCell ref="AL188:AM188"/>
    <mergeCell ref="AL189:AM189"/>
    <mergeCell ref="AL190:AM190"/>
    <mergeCell ref="AL179:AM179"/>
    <mergeCell ref="AL180:AM180"/>
    <mergeCell ref="AL181:AM181"/>
    <mergeCell ref="AL182:AM182"/>
    <mergeCell ref="AL183:AM183"/>
    <mergeCell ref="AL184:AM184"/>
    <mergeCell ref="AL173:AM173"/>
    <mergeCell ref="AL174:AM174"/>
    <mergeCell ref="AL175:AM175"/>
    <mergeCell ref="AL176:AM176"/>
    <mergeCell ref="AL177:AM177"/>
    <mergeCell ref="AL178:AM178"/>
    <mergeCell ref="AL167:AM167"/>
    <mergeCell ref="AL168:AM168"/>
    <mergeCell ref="AL169:AM169"/>
    <mergeCell ref="AL170:AM170"/>
    <mergeCell ref="AL171:AM171"/>
    <mergeCell ref="AL172:AM172"/>
    <mergeCell ref="AL161:AM161"/>
    <mergeCell ref="AL162:AM162"/>
    <mergeCell ref="AL163:AM163"/>
    <mergeCell ref="AL164:AM164"/>
    <mergeCell ref="AL165:AM165"/>
    <mergeCell ref="AL166:AM166"/>
    <mergeCell ref="AL155:AM155"/>
    <mergeCell ref="AL156:AM156"/>
    <mergeCell ref="AL157:AM157"/>
    <mergeCell ref="AL158:AM158"/>
    <mergeCell ref="AL159:AM159"/>
    <mergeCell ref="AL160:AM160"/>
    <mergeCell ref="AL149:AM149"/>
    <mergeCell ref="AL150:AM150"/>
    <mergeCell ref="AL151:AM151"/>
    <mergeCell ref="AL152:AM152"/>
    <mergeCell ref="AL153:AM153"/>
    <mergeCell ref="AL154:AM154"/>
    <mergeCell ref="AL143:AM143"/>
    <mergeCell ref="AL144:AM144"/>
    <mergeCell ref="AL145:AM145"/>
    <mergeCell ref="AL146:AM146"/>
    <mergeCell ref="AL147:AM147"/>
    <mergeCell ref="AL148:AM148"/>
    <mergeCell ref="AL137:AM137"/>
    <mergeCell ref="AL138:AM138"/>
    <mergeCell ref="AL139:AM139"/>
    <mergeCell ref="AL140:AM140"/>
    <mergeCell ref="AL141:AM141"/>
    <mergeCell ref="AL142:AM142"/>
    <mergeCell ref="AL131:AM131"/>
    <mergeCell ref="AL132:AM132"/>
    <mergeCell ref="AL133:AM133"/>
    <mergeCell ref="AL134:AM134"/>
    <mergeCell ref="AL135:AM135"/>
    <mergeCell ref="AL136:AM136"/>
    <mergeCell ref="AL125:AM125"/>
    <mergeCell ref="AL126:AM126"/>
    <mergeCell ref="AL127:AM127"/>
    <mergeCell ref="AL128:AM128"/>
    <mergeCell ref="AL129:AM129"/>
    <mergeCell ref="AL130:AM130"/>
    <mergeCell ref="AL119:AM119"/>
    <mergeCell ref="AL120:AM120"/>
    <mergeCell ref="AL121:AM121"/>
    <mergeCell ref="AL122:AM122"/>
    <mergeCell ref="AL123:AM123"/>
    <mergeCell ref="AL124:AM124"/>
    <mergeCell ref="AF257:AK257"/>
    <mergeCell ref="AF258:AK258"/>
    <mergeCell ref="AF259:AK259"/>
    <mergeCell ref="AF260:AK260"/>
    <mergeCell ref="AF261:AK261"/>
    <mergeCell ref="AF230:AK230"/>
    <mergeCell ref="AF231:AK231"/>
    <mergeCell ref="AF232:AK232"/>
    <mergeCell ref="AF221:AK221"/>
    <mergeCell ref="AF222:AK222"/>
    <mergeCell ref="AF223:AK223"/>
    <mergeCell ref="AF224:AK224"/>
    <mergeCell ref="AF225:AK225"/>
    <mergeCell ref="AF226:AK226"/>
    <mergeCell ref="AF215:AK215"/>
    <mergeCell ref="AF216:AK216"/>
    <mergeCell ref="AF217:AK217"/>
    <mergeCell ref="AF218:AK218"/>
    <mergeCell ref="AF219:AK219"/>
    <mergeCell ref="AF220:AK220"/>
    <mergeCell ref="AL114:AM114"/>
    <mergeCell ref="AL115:AM115"/>
    <mergeCell ref="AL116:AM116"/>
    <mergeCell ref="AL117:AM117"/>
    <mergeCell ref="AL118:AM118"/>
    <mergeCell ref="AF251:AK251"/>
    <mergeCell ref="AF252:AK252"/>
    <mergeCell ref="AF253:AK253"/>
    <mergeCell ref="AF254:AK254"/>
    <mergeCell ref="AF255:AK255"/>
    <mergeCell ref="AF256:AK256"/>
    <mergeCell ref="AF245:AK245"/>
    <mergeCell ref="AF246:AK246"/>
    <mergeCell ref="AF247:AK247"/>
    <mergeCell ref="AF248:AK248"/>
    <mergeCell ref="AF249:AK249"/>
    <mergeCell ref="AF250:AK250"/>
    <mergeCell ref="AF239:AK239"/>
    <mergeCell ref="AF240:AK240"/>
    <mergeCell ref="AF241:AK241"/>
    <mergeCell ref="AF242:AK242"/>
    <mergeCell ref="AF243:AK243"/>
    <mergeCell ref="AF244:AK244"/>
    <mergeCell ref="AF233:AK233"/>
    <mergeCell ref="AF234:AK234"/>
    <mergeCell ref="AF235:AK235"/>
    <mergeCell ref="AF236:AK236"/>
    <mergeCell ref="AF237:AK237"/>
    <mergeCell ref="AF238:AK238"/>
    <mergeCell ref="AF227:AK227"/>
    <mergeCell ref="AF228:AK228"/>
    <mergeCell ref="AF229:AK229"/>
    <mergeCell ref="AF209:AK209"/>
    <mergeCell ref="AF210:AK210"/>
    <mergeCell ref="AF211:AK211"/>
    <mergeCell ref="AF212:AK212"/>
    <mergeCell ref="AF213:AK213"/>
    <mergeCell ref="AF214:AK214"/>
    <mergeCell ref="AF203:AK203"/>
    <mergeCell ref="AF204:AK204"/>
    <mergeCell ref="AF205:AK205"/>
    <mergeCell ref="AF206:AK206"/>
    <mergeCell ref="AF207:AK207"/>
    <mergeCell ref="AF208:AK208"/>
    <mergeCell ref="AF197:AK197"/>
    <mergeCell ref="AF198:AK198"/>
    <mergeCell ref="AF199:AK199"/>
    <mergeCell ref="AF200:AK200"/>
    <mergeCell ref="AF201:AK201"/>
    <mergeCell ref="AF202:AK202"/>
    <mergeCell ref="AF191:AK191"/>
    <mergeCell ref="AF192:AK192"/>
    <mergeCell ref="AF193:AK193"/>
    <mergeCell ref="AF194:AK194"/>
    <mergeCell ref="AF195:AK195"/>
    <mergeCell ref="AF196:AK196"/>
    <mergeCell ref="AF185:AK185"/>
    <mergeCell ref="AF186:AK186"/>
    <mergeCell ref="AF187:AK187"/>
    <mergeCell ref="AF188:AK188"/>
    <mergeCell ref="AF189:AK189"/>
    <mergeCell ref="AF190:AK190"/>
    <mergeCell ref="AF179:AK179"/>
    <mergeCell ref="AF180:AK180"/>
    <mergeCell ref="AF181:AK181"/>
    <mergeCell ref="AF182:AK182"/>
    <mergeCell ref="AF183:AK183"/>
    <mergeCell ref="AF184:AK184"/>
    <mergeCell ref="AF173:AK173"/>
    <mergeCell ref="AF174:AK174"/>
    <mergeCell ref="AF175:AK175"/>
    <mergeCell ref="AF176:AK176"/>
    <mergeCell ref="AF177:AK177"/>
    <mergeCell ref="AF178:AK178"/>
    <mergeCell ref="AF167:AK167"/>
    <mergeCell ref="AF168:AK168"/>
    <mergeCell ref="AF169:AK169"/>
    <mergeCell ref="AF170:AK170"/>
    <mergeCell ref="AF171:AK171"/>
    <mergeCell ref="AF172:AK172"/>
    <mergeCell ref="AF161:AK161"/>
    <mergeCell ref="AF162:AK162"/>
    <mergeCell ref="AF163:AK163"/>
    <mergeCell ref="AF164:AK164"/>
    <mergeCell ref="AF165:AK165"/>
    <mergeCell ref="AF166:AK166"/>
    <mergeCell ref="AF155:AK155"/>
    <mergeCell ref="AF156:AK156"/>
    <mergeCell ref="AF157:AK157"/>
    <mergeCell ref="AF158:AK158"/>
    <mergeCell ref="AF159:AK159"/>
    <mergeCell ref="AF160:AK160"/>
    <mergeCell ref="AF149:AK149"/>
    <mergeCell ref="AF150:AK150"/>
    <mergeCell ref="AF151:AK151"/>
    <mergeCell ref="AF152:AK152"/>
    <mergeCell ref="AF153:AK153"/>
    <mergeCell ref="AF154:AK154"/>
    <mergeCell ref="AF143:AK143"/>
    <mergeCell ref="AF144:AK144"/>
    <mergeCell ref="AF145:AK145"/>
    <mergeCell ref="AF146:AK146"/>
    <mergeCell ref="AF147:AK147"/>
    <mergeCell ref="AF148:AK148"/>
    <mergeCell ref="AF137:AK137"/>
    <mergeCell ref="AF138:AK138"/>
    <mergeCell ref="AF139:AK139"/>
    <mergeCell ref="AF140:AK140"/>
    <mergeCell ref="AF141:AK141"/>
    <mergeCell ref="AF142:AK142"/>
    <mergeCell ref="AF131:AK131"/>
    <mergeCell ref="AF132:AK132"/>
    <mergeCell ref="AF133:AK133"/>
    <mergeCell ref="AF134:AK134"/>
    <mergeCell ref="AF135:AK135"/>
    <mergeCell ref="AF136:AK136"/>
    <mergeCell ref="AF125:AK125"/>
    <mergeCell ref="AF126:AK126"/>
    <mergeCell ref="AF127:AK127"/>
    <mergeCell ref="AF128:AK128"/>
    <mergeCell ref="AF129:AK129"/>
    <mergeCell ref="AF130:AK130"/>
    <mergeCell ref="AF119:AK119"/>
    <mergeCell ref="AF120:AK120"/>
    <mergeCell ref="AF121:AK121"/>
    <mergeCell ref="AF122:AK122"/>
    <mergeCell ref="AF123:AK123"/>
    <mergeCell ref="AF124:AK124"/>
    <mergeCell ref="AD257:AE257"/>
    <mergeCell ref="AD258:AE258"/>
    <mergeCell ref="AD259:AE259"/>
    <mergeCell ref="AD260:AE260"/>
    <mergeCell ref="AD261:AE261"/>
    <mergeCell ref="AF114:AK114"/>
    <mergeCell ref="AF115:AK115"/>
    <mergeCell ref="AF116:AK116"/>
    <mergeCell ref="AF117:AK117"/>
    <mergeCell ref="AF118:AK118"/>
    <mergeCell ref="AD251:AE251"/>
    <mergeCell ref="AD252:AE252"/>
    <mergeCell ref="AD253:AE253"/>
    <mergeCell ref="AD254:AE254"/>
    <mergeCell ref="AD255:AE255"/>
    <mergeCell ref="AD256:AE256"/>
    <mergeCell ref="AD245:AE245"/>
    <mergeCell ref="AD246:AE246"/>
    <mergeCell ref="AD247:AE247"/>
    <mergeCell ref="AD248:AE248"/>
    <mergeCell ref="AD249:AE249"/>
    <mergeCell ref="AD250:AE250"/>
    <mergeCell ref="AD239:AE239"/>
    <mergeCell ref="AD240:AE240"/>
    <mergeCell ref="AD241:AE241"/>
    <mergeCell ref="AD242:AE242"/>
    <mergeCell ref="AD243:AE243"/>
    <mergeCell ref="AD244:AE244"/>
    <mergeCell ref="AD233:AE233"/>
    <mergeCell ref="AD234:AE234"/>
    <mergeCell ref="AD235:AE235"/>
    <mergeCell ref="AD236:AE236"/>
    <mergeCell ref="AD237:AE237"/>
    <mergeCell ref="AD238:AE238"/>
    <mergeCell ref="AD227:AE227"/>
    <mergeCell ref="AD228:AE228"/>
    <mergeCell ref="AD229:AE229"/>
    <mergeCell ref="AD230:AE230"/>
    <mergeCell ref="AD231:AE231"/>
    <mergeCell ref="AD232:AE232"/>
    <mergeCell ref="AD221:AE221"/>
    <mergeCell ref="AD222:AE222"/>
    <mergeCell ref="AD223:AE223"/>
    <mergeCell ref="AD224:AE224"/>
    <mergeCell ref="AD225:AE225"/>
    <mergeCell ref="AD226:AE226"/>
    <mergeCell ref="AD215:AE215"/>
    <mergeCell ref="AD216:AE216"/>
    <mergeCell ref="AD217:AE217"/>
    <mergeCell ref="AD218:AE218"/>
    <mergeCell ref="AD219:AE219"/>
    <mergeCell ref="AD220:AE220"/>
    <mergeCell ref="AD209:AE209"/>
    <mergeCell ref="AD210:AE210"/>
    <mergeCell ref="AD211:AE211"/>
    <mergeCell ref="AD212:AE212"/>
    <mergeCell ref="AD213:AE213"/>
    <mergeCell ref="AD214:AE214"/>
    <mergeCell ref="AD203:AE203"/>
    <mergeCell ref="AD204:AE204"/>
    <mergeCell ref="AD205:AE205"/>
    <mergeCell ref="AD206:AE206"/>
    <mergeCell ref="AD207:AE207"/>
    <mergeCell ref="AD208:AE208"/>
    <mergeCell ref="AD197:AE197"/>
    <mergeCell ref="AD198:AE198"/>
    <mergeCell ref="AD199:AE199"/>
    <mergeCell ref="AD200:AE200"/>
    <mergeCell ref="AD201:AE201"/>
    <mergeCell ref="AD202:AE202"/>
    <mergeCell ref="AD191:AE191"/>
    <mergeCell ref="AD192:AE192"/>
    <mergeCell ref="AD193:AE193"/>
    <mergeCell ref="AD194:AE194"/>
    <mergeCell ref="AD195:AE195"/>
    <mergeCell ref="AD196:AE196"/>
    <mergeCell ref="AD185:AE185"/>
    <mergeCell ref="AD186:AE186"/>
    <mergeCell ref="AD187:AE187"/>
    <mergeCell ref="AD188:AE188"/>
    <mergeCell ref="AD189:AE189"/>
    <mergeCell ref="AD190:AE190"/>
    <mergeCell ref="AD179:AE179"/>
    <mergeCell ref="AD180:AE180"/>
    <mergeCell ref="AD181:AE181"/>
    <mergeCell ref="AD182:AE182"/>
    <mergeCell ref="AD183:AE183"/>
    <mergeCell ref="AD184:AE184"/>
    <mergeCell ref="AD173:AE173"/>
    <mergeCell ref="AD174:AE174"/>
    <mergeCell ref="AD175:AE175"/>
    <mergeCell ref="AD176:AE176"/>
    <mergeCell ref="AD177:AE177"/>
    <mergeCell ref="AD178:AE178"/>
    <mergeCell ref="AD167:AE167"/>
    <mergeCell ref="AD168:AE168"/>
    <mergeCell ref="AD169:AE169"/>
    <mergeCell ref="AD170:AE170"/>
    <mergeCell ref="AD171:AE171"/>
    <mergeCell ref="AD172:AE172"/>
    <mergeCell ref="AD161:AE161"/>
    <mergeCell ref="AD162:AE162"/>
    <mergeCell ref="AD163:AE163"/>
    <mergeCell ref="AD164:AE164"/>
    <mergeCell ref="AD165:AE165"/>
    <mergeCell ref="AD166:AE166"/>
    <mergeCell ref="AD155:AE155"/>
    <mergeCell ref="AD156:AE156"/>
    <mergeCell ref="AD157:AE157"/>
    <mergeCell ref="AD158:AE158"/>
    <mergeCell ref="AD159:AE159"/>
    <mergeCell ref="AD160:AE160"/>
    <mergeCell ref="AD149:AE149"/>
    <mergeCell ref="AD150:AE150"/>
    <mergeCell ref="AD151:AE151"/>
    <mergeCell ref="AD152:AE152"/>
    <mergeCell ref="AD153:AE153"/>
    <mergeCell ref="AD154:AE154"/>
    <mergeCell ref="AD143:AE143"/>
    <mergeCell ref="AD144:AE144"/>
    <mergeCell ref="AD145:AE145"/>
    <mergeCell ref="AD146:AE146"/>
    <mergeCell ref="AD147:AE147"/>
    <mergeCell ref="AD148:AE148"/>
    <mergeCell ref="AD137:AE137"/>
    <mergeCell ref="AD138:AE138"/>
    <mergeCell ref="AD139:AE139"/>
    <mergeCell ref="AD140:AE140"/>
    <mergeCell ref="AD141:AE141"/>
    <mergeCell ref="AD142:AE142"/>
    <mergeCell ref="AD131:AE131"/>
    <mergeCell ref="AD132:AE132"/>
    <mergeCell ref="AD133:AE133"/>
    <mergeCell ref="AD134:AE134"/>
    <mergeCell ref="AD135:AE135"/>
    <mergeCell ref="AD136:AE136"/>
    <mergeCell ref="AD125:AE125"/>
    <mergeCell ref="AD126:AE126"/>
    <mergeCell ref="AD127:AE127"/>
    <mergeCell ref="AD128:AE128"/>
    <mergeCell ref="AD129:AE129"/>
    <mergeCell ref="AD130:AE130"/>
    <mergeCell ref="AD119:AE119"/>
    <mergeCell ref="AD120:AE120"/>
    <mergeCell ref="AD121:AE121"/>
    <mergeCell ref="AD122:AE122"/>
    <mergeCell ref="AD123:AE123"/>
    <mergeCell ref="AD124:AE124"/>
    <mergeCell ref="W257:AC257"/>
    <mergeCell ref="W258:AC258"/>
    <mergeCell ref="W259:AC259"/>
    <mergeCell ref="W260:AC260"/>
    <mergeCell ref="W261:AC261"/>
    <mergeCell ref="W230:AC230"/>
    <mergeCell ref="W231:AC231"/>
    <mergeCell ref="W232:AC232"/>
    <mergeCell ref="W221:AC221"/>
    <mergeCell ref="W222:AC222"/>
    <mergeCell ref="W223:AC223"/>
    <mergeCell ref="W224:AC224"/>
    <mergeCell ref="W225:AC225"/>
    <mergeCell ref="W226:AC226"/>
    <mergeCell ref="W215:AC215"/>
    <mergeCell ref="W216:AC216"/>
    <mergeCell ref="W217:AC217"/>
    <mergeCell ref="W218:AC218"/>
    <mergeCell ref="W219:AC219"/>
    <mergeCell ref="W220:AC220"/>
    <mergeCell ref="AD114:AE114"/>
    <mergeCell ref="AD115:AE115"/>
    <mergeCell ref="AD116:AE116"/>
    <mergeCell ref="AD117:AE117"/>
    <mergeCell ref="AD118:AE118"/>
    <mergeCell ref="W251:AC251"/>
    <mergeCell ref="W252:AC252"/>
    <mergeCell ref="W253:AC253"/>
    <mergeCell ref="W254:AC254"/>
    <mergeCell ref="W255:AC255"/>
    <mergeCell ref="W256:AC256"/>
    <mergeCell ref="W245:AC245"/>
    <mergeCell ref="W246:AC246"/>
    <mergeCell ref="W247:AC247"/>
    <mergeCell ref="W248:AC248"/>
    <mergeCell ref="W249:AC249"/>
    <mergeCell ref="W250:AC250"/>
    <mergeCell ref="W239:AC239"/>
    <mergeCell ref="W240:AC240"/>
    <mergeCell ref="W241:AC241"/>
    <mergeCell ref="W242:AC242"/>
    <mergeCell ref="W243:AC243"/>
    <mergeCell ref="W244:AC244"/>
    <mergeCell ref="W233:AC233"/>
    <mergeCell ref="W234:AC234"/>
    <mergeCell ref="W235:AC235"/>
    <mergeCell ref="W236:AC236"/>
    <mergeCell ref="W237:AC237"/>
    <mergeCell ref="W238:AC238"/>
    <mergeCell ref="W227:AC227"/>
    <mergeCell ref="W228:AC228"/>
    <mergeCell ref="W229:AC229"/>
    <mergeCell ref="W209:AC209"/>
    <mergeCell ref="W210:AC210"/>
    <mergeCell ref="W211:AC211"/>
    <mergeCell ref="W212:AC212"/>
    <mergeCell ref="W213:AC213"/>
    <mergeCell ref="W214:AC214"/>
    <mergeCell ref="W203:AC203"/>
    <mergeCell ref="W204:AC204"/>
    <mergeCell ref="W205:AC205"/>
    <mergeCell ref="W206:AC206"/>
    <mergeCell ref="W207:AC207"/>
    <mergeCell ref="W208:AC208"/>
    <mergeCell ref="W197:AC197"/>
    <mergeCell ref="W198:AC198"/>
    <mergeCell ref="W199:AC199"/>
    <mergeCell ref="W200:AC200"/>
    <mergeCell ref="W201:AC201"/>
    <mergeCell ref="W202:AC202"/>
    <mergeCell ref="W191:AC191"/>
    <mergeCell ref="W192:AC192"/>
    <mergeCell ref="W193:AC193"/>
    <mergeCell ref="W194:AC194"/>
    <mergeCell ref="W195:AC195"/>
    <mergeCell ref="W196:AC196"/>
    <mergeCell ref="W185:AC185"/>
    <mergeCell ref="W186:AC186"/>
    <mergeCell ref="W187:AC187"/>
    <mergeCell ref="W188:AC188"/>
    <mergeCell ref="W189:AC189"/>
    <mergeCell ref="W190:AC190"/>
    <mergeCell ref="W179:AC179"/>
    <mergeCell ref="W180:AC180"/>
    <mergeCell ref="W181:AC181"/>
    <mergeCell ref="W182:AC182"/>
    <mergeCell ref="W183:AC183"/>
    <mergeCell ref="W184:AC184"/>
    <mergeCell ref="W173:AC173"/>
    <mergeCell ref="W174:AC174"/>
    <mergeCell ref="W175:AC175"/>
    <mergeCell ref="W176:AC176"/>
    <mergeCell ref="W177:AC177"/>
    <mergeCell ref="W178:AC178"/>
    <mergeCell ref="W167:AC167"/>
    <mergeCell ref="W168:AC168"/>
    <mergeCell ref="W169:AC169"/>
    <mergeCell ref="W170:AC170"/>
    <mergeCell ref="W171:AC171"/>
    <mergeCell ref="W172:AC172"/>
    <mergeCell ref="W161:AC161"/>
    <mergeCell ref="W162:AC162"/>
    <mergeCell ref="W163:AC163"/>
    <mergeCell ref="W164:AC164"/>
    <mergeCell ref="W165:AC165"/>
    <mergeCell ref="W166:AC166"/>
    <mergeCell ref="W155:AC155"/>
    <mergeCell ref="W156:AC156"/>
    <mergeCell ref="W157:AC157"/>
    <mergeCell ref="W158:AC158"/>
    <mergeCell ref="W159:AC159"/>
    <mergeCell ref="W160:AC160"/>
    <mergeCell ref="W149:AC149"/>
    <mergeCell ref="W150:AC150"/>
    <mergeCell ref="W151:AC151"/>
    <mergeCell ref="W152:AC152"/>
    <mergeCell ref="W153:AC153"/>
    <mergeCell ref="W154:AC154"/>
    <mergeCell ref="W143:AC143"/>
    <mergeCell ref="W144:AC144"/>
    <mergeCell ref="W145:AC145"/>
    <mergeCell ref="W146:AC146"/>
    <mergeCell ref="W147:AC147"/>
    <mergeCell ref="W148:AC148"/>
    <mergeCell ref="W137:AC137"/>
    <mergeCell ref="W138:AC138"/>
    <mergeCell ref="W139:AC139"/>
    <mergeCell ref="W140:AC140"/>
    <mergeCell ref="W141:AC141"/>
    <mergeCell ref="W142:AC142"/>
    <mergeCell ref="W131:AC131"/>
    <mergeCell ref="W132:AC132"/>
    <mergeCell ref="W133:AC133"/>
    <mergeCell ref="W134:AC134"/>
    <mergeCell ref="W135:AC135"/>
    <mergeCell ref="W136:AC136"/>
    <mergeCell ref="W125:AC125"/>
    <mergeCell ref="W126:AC126"/>
    <mergeCell ref="W127:AC127"/>
    <mergeCell ref="W128:AC128"/>
    <mergeCell ref="W129:AC129"/>
    <mergeCell ref="W130:AC130"/>
    <mergeCell ref="W119:AC119"/>
    <mergeCell ref="W120:AC120"/>
    <mergeCell ref="W121:AC121"/>
    <mergeCell ref="W122:AC122"/>
    <mergeCell ref="W123:AC123"/>
    <mergeCell ref="W124:AC124"/>
    <mergeCell ref="U257:V257"/>
    <mergeCell ref="U258:V258"/>
    <mergeCell ref="U259:V259"/>
    <mergeCell ref="U260:V260"/>
    <mergeCell ref="U261:V261"/>
    <mergeCell ref="W114:AC114"/>
    <mergeCell ref="W115:AC115"/>
    <mergeCell ref="W116:AC116"/>
    <mergeCell ref="W117:AC117"/>
    <mergeCell ref="W118:AC118"/>
    <mergeCell ref="U251:V251"/>
    <mergeCell ref="U252:V252"/>
    <mergeCell ref="U253:V253"/>
    <mergeCell ref="U254:V254"/>
    <mergeCell ref="U255:V255"/>
    <mergeCell ref="U256:V256"/>
    <mergeCell ref="U245:V245"/>
    <mergeCell ref="U246:V246"/>
    <mergeCell ref="U247:V247"/>
    <mergeCell ref="U248:V248"/>
    <mergeCell ref="U249:V249"/>
    <mergeCell ref="U250:V250"/>
    <mergeCell ref="U239:V239"/>
    <mergeCell ref="U240:V240"/>
    <mergeCell ref="U241:V241"/>
    <mergeCell ref="U242:V242"/>
    <mergeCell ref="U243:V243"/>
    <mergeCell ref="U244:V244"/>
    <mergeCell ref="U233:V233"/>
    <mergeCell ref="U234:V234"/>
    <mergeCell ref="U235:V235"/>
    <mergeCell ref="U236:V236"/>
    <mergeCell ref="U237:V237"/>
    <mergeCell ref="U238:V238"/>
    <mergeCell ref="U227:V227"/>
    <mergeCell ref="U228:V228"/>
    <mergeCell ref="U229:V229"/>
    <mergeCell ref="U230:V230"/>
    <mergeCell ref="U231:V231"/>
    <mergeCell ref="U232:V232"/>
    <mergeCell ref="U221:V221"/>
    <mergeCell ref="U222:V222"/>
    <mergeCell ref="U223:V223"/>
    <mergeCell ref="U224:V224"/>
    <mergeCell ref="U225:V225"/>
    <mergeCell ref="U226:V226"/>
    <mergeCell ref="U215:V215"/>
    <mergeCell ref="U216:V216"/>
    <mergeCell ref="U217:V217"/>
    <mergeCell ref="U218:V218"/>
    <mergeCell ref="U219:V219"/>
    <mergeCell ref="U220:V220"/>
    <mergeCell ref="U209:V209"/>
    <mergeCell ref="U210:V210"/>
    <mergeCell ref="U211:V211"/>
    <mergeCell ref="U212:V212"/>
    <mergeCell ref="U213:V213"/>
    <mergeCell ref="U214:V214"/>
    <mergeCell ref="U203:V203"/>
    <mergeCell ref="U204:V204"/>
    <mergeCell ref="U205:V205"/>
    <mergeCell ref="U206:V206"/>
    <mergeCell ref="U207:V207"/>
    <mergeCell ref="U208:V208"/>
    <mergeCell ref="U197:V197"/>
    <mergeCell ref="U198:V198"/>
    <mergeCell ref="U199:V199"/>
    <mergeCell ref="U200:V200"/>
    <mergeCell ref="U201:V201"/>
    <mergeCell ref="U202:V202"/>
    <mergeCell ref="U191:V191"/>
    <mergeCell ref="U192:V192"/>
    <mergeCell ref="U193:V193"/>
    <mergeCell ref="U194:V194"/>
    <mergeCell ref="U195:V195"/>
    <mergeCell ref="U196:V196"/>
    <mergeCell ref="U185:V185"/>
    <mergeCell ref="U186:V186"/>
    <mergeCell ref="U187:V187"/>
    <mergeCell ref="U188:V188"/>
    <mergeCell ref="U189:V189"/>
    <mergeCell ref="U190:V190"/>
    <mergeCell ref="U179:V179"/>
    <mergeCell ref="U180:V180"/>
    <mergeCell ref="U181:V181"/>
    <mergeCell ref="U182:V182"/>
    <mergeCell ref="U183:V183"/>
    <mergeCell ref="U184:V184"/>
    <mergeCell ref="U173:V173"/>
    <mergeCell ref="U174:V174"/>
    <mergeCell ref="U175:V175"/>
    <mergeCell ref="U176:V176"/>
    <mergeCell ref="U177:V177"/>
    <mergeCell ref="U178:V178"/>
    <mergeCell ref="U167:V167"/>
    <mergeCell ref="U168:V168"/>
    <mergeCell ref="U169:V169"/>
    <mergeCell ref="U170:V170"/>
    <mergeCell ref="U171:V171"/>
    <mergeCell ref="U172:V172"/>
    <mergeCell ref="U161:V161"/>
    <mergeCell ref="U162:V162"/>
    <mergeCell ref="U163:V163"/>
    <mergeCell ref="U164:V164"/>
    <mergeCell ref="U165:V165"/>
    <mergeCell ref="U166:V166"/>
    <mergeCell ref="U155:V155"/>
    <mergeCell ref="U156:V156"/>
    <mergeCell ref="U157:V157"/>
    <mergeCell ref="U158:V158"/>
    <mergeCell ref="U159:V159"/>
    <mergeCell ref="U160:V160"/>
    <mergeCell ref="U149:V149"/>
    <mergeCell ref="U150:V150"/>
    <mergeCell ref="U151:V151"/>
    <mergeCell ref="U152:V152"/>
    <mergeCell ref="U153:V153"/>
    <mergeCell ref="U154:V154"/>
    <mergeCell ref="U143:V143"/>
    <mergeCell ref="U144:V144"/>
    <mergeCell ref="U145:V145"/>
    <mergeCell ref="U146:V146"/>
    <mergeCell ref="U147:V147"/>
    <mergeCell ref="U148:V148"/>
    <mergeCell ref="U137:V137"/>
    <mergeCell ref="U138:V138"/>
    <mergeCell ref="U139:V139"/>
    <mergeCell ref="U140:V140"/>
    <mergeCell ref="U141:V141"/>
    <mergeCell ref="U142:V142"/>
    <mergeCell ref="U131:V131"/>
    <mergeCell ref="U132:V132"/>
    <mergeCell ref="U133:V133"/>
    <mergeCell ref="U134:V134"/>
    <mergeCell ref="U135:V135"/>
    <mergeCell ref="U136:V136"/>
    <mergeCell ref="U125:V125"/>
    <mergeCell ref="U126:V126"/>
    <mergeCell ref="U127:V127"/>
    <mergeCell ref="U128:V128"/>
    <mergeCell ref="U129:V129"/>
    <mergeCell ref="U130:V130"/>
    <mergeCell ref="U119:V119"/>
    <mergeCell ref="U120:V120"/>
    <mergeCell ref="U121:V121"/>
    <mergeCell ref="U122:V122"/>
    <mergeCell ref="U123:V123"/>
    <mergeCell ref="U124:V124"/>
    <mergeCell ref="N257:T257"/>
    <mergeCell ref="N258:T258"/>
    <mergeCell ref="N259:T259"/>
    <mergeCell ref="N260:T260"/>
    <mergeCell ref="N261:T261"/>
    <mergeCell ref="N230:T230"/>
    <mergeCell ref="N231:T231"/>
    <mergeCell ref="N232:T232"/>
    <mergeCell ref="N221:T221"/>
    <mergeCell ref="N222:T222"/>
    <mergeCell ref="N223:T223"/>
    <mergeCell ref="N224:T224"/>
    <mergeCell ref="N225:T225"/>
    <mergeCell ref="N226:T226"/>
    <mergeCell ref="N215:T215"/>
    <mergeCell ref="N216:T216"/>
    <mergeCell ref="N217:T217"/>
    <mergeCell ref="N218:T218"/>
    <mergeCell ref="N219:T219"/>
    <mergeCell ref="N220:T220"/>
    <mergeCell ref="U114:V114"/>
    <mergeCell ref="U115:V115"/>
    <mergeCell ref="U116:V116"/>
    <mergeCell ref="U117:V117"/>
    <mergeCell ref="U118:V118"/>
    <mergeCell ref="N251:T251"/>
    <mergeCell ref="N252:T252"/>
    <mergeCell ref="N253:T253"/>
    <mergeCell ref="N254:T254"/>
    <mergeCell ref="N255:T255"/>
    <mergeCell ref="N256:T256"/>
    <mergeCell ref="N245:T245"/>
    <mergeCell ref="N246:T246"/>
    <mergeCell ref="N247:T247"/>
    <mergeCell ref="N248:T248"/>
    <mergeCell ref="N249:T249"/>
    <mergeCell ref="N250:T250"/>
    <mergeCell ref="N239:T239"/>
    <mergeCell ref="N240:T240"/>
    <mergeCell ref="N241:T241"/>
    <mergeCell ref="N242:T242"/>
    <mergeCell ref="N243:T243"/>
    <mergeCell ref="N244:T244"/>
    <mergeCell ref="N233:T233"/>
    <mergeCell ref="N234:T234"/>
    <mergeCell ref="N235:T235"/>
    <mergeCell ref="N236:T236"/>
    <mergeCell ref="N237:T237"/>
    <mergeCell ref="N238:T238"/>
    <mergeCell ref="N227:T227"/>
    <mergeCell ref="N228:T228"/>
    <mergeCell ref="N229:T229"/>
    <mergeCell ref="N209:T209"/>
    <mergeCell ref="N210:T210"/>
    <mergeCell ref="N211:T211"/>
    <mergeCell ref="N212:T212"/>
    <mergeCell ref="N213:T213"/>
    <mergeCell ref="N214:T214"/>
    <mergeCell ref="N203:T203"/>
    <mergeCell ref="N204:T204"/>
    <mergeCell ref="N205:T205"/>
    <mergeCell ref="N206:T206"/>
    <mergeCell ref="N207:T207"/>
    <mergeCell ref="N208:T208"/>
    <mergeCell ref="N197:T197"/>
    <mergeCell ref="N198:T198"/>
    <mergeCell ref="N199:T199"/>
    <mergeCell ref="N200:T200"/>
    <mergeCell ref="N201:T201"/>
    <mergeCell ref="N202:T202"/>
    <mergeCell ref="N191:T191"/>
    <mergeCell ref="N192:T192"/>
    <mergeCell ref="N193:T193"/>
    <mergeCell ref="N194:T194"/>
    <mergeCell ref="N195:T195"/>
    <mergeCell ref="N196:T196"/>
    <mergeCell ref="N185:T185"/>
    <mergeCell ref="N186:T186"/>
    <mergeCell ref="N187:T187"/>
    <mergeCell ref="N188:T188"/>
    <mergeCell ref="N189:T189"/>
    <mergeCell ref="N190:T190"/>
    <mergeCell ref="N179:T179"/>
    <mergeCell ref="N180:T180"/>
    <mergeCell ref="N181:T181"/>
    <mergeCell ref="N182:T182"/>
    <mergeCell ref="N183:T183"/>
    <mergeCell ref="N184:T184"/>
    <mergeCell ref="N173:T173"/>
    <mergeCell ref="N174:T174"/>
    <mergeCell ref="N175:T175"/>
    <mergeCell ref="N176:T176"/>
    <mergeCell ref="N177:T177"/>
    <mergeCell ref="N178:T178"/>
    <mergeCell ref="N167:T167"/>
    <mergeCell ref="N168:T168"/>
    <mergeCell ref="N169:T169"/>
    <mergeCell ref="N170:T170"/>
    <mergeCell ref="N171:T171"/>
    <mergeCell ref="N172:T172"/>
    <mergeCell ref="N161:T161"/>
    <mergeCell ref="N162:T162"/>
    <mergeCell ref="N163:T163"/>
    <mergeCell ref="N164:T164"/>
    <mergeCell ref="N165:T165"/>
    <mergeCell ref="N166:T166"/>
    <mergeCell ref="N155:T155"/>
    <mergeCell ref="N156:T156"/>
    <mergeCell ref="N157:T157"/>
    <mergeCell ref="N158:T158"/>
    <mergeCell ref="N159:T159"/>
    <mergeCell ref="N160:T160"/>
    <mergeCell ref="N149:T149"/>
    <mergeCell ref="N150:T150"/>
    <mergeCell ref="N151:T151"/>
    <mergeCell ref="N152:T152"/>
    <mergeCell ref="N153:T153"/>
    <mergeCell ref="N154:T154"/>
    <mergeCell ref="N143:T143"/>
    <mergeCell ref="N144:T144"/>
    <mergeCell ref="N145:T145"/>
    <mergeCell ref="N146:T146"/>
    <mergeCell ref="N147:T147"/>
    <mergeCell ref="N148:T148"/>
    <mergeCell ref="N137:T137"/>
    <mergeCell ref="N138:T138"/>
    <mergeCell ref="N139:T139"/>
    <mergeCell ref="N140:T140"/>
    <mergeCell ref="N141:T141"/>
    <mergeCell ref="N142:T142"/>
    <mergeCell ref="N131:T131"/>
    <mergeCell ref="N132:T132"/>
    <mergeCell ref="N133:T133"/>
    <mergeCell ref="N134:T134"/>
    <mergeCell ref="N135:T135"/>
    <mergeCell ref="N136:T136"/>
    <mergeCell ref="N125:T125"/>
    <mergeCell ref="N126:T126"/>
    <mergeCell ref="N127:T127"/>
    <mergeCell ref="N128:T128"/>
    <mergeCell ref="N129:T129"/>
    <mergeCell ref="N130:T130"/>
    <mergeCell ref="N119:T119"/>
    <mergeCell ref="N120:T120"/>
    <mergeCell ref="N121:T121"/>
    <mergeCell ref="N122:T122"/>
    <mergeCell ref="N123:T123"/>
    <mergeCell ref="N124:T124"/>
    <mergeCell ref="J257:M257"/>
    <mergeCell ref="J258:M258"/>
    <mergeCell ref="J259:M259"/>
    <mergeCell ref="J260:M260"/>
    <mergeCell ref="J261:M261"/>
    <mergeCell ref="N114:T114"/>
    <mergeCell ref="N115:T115"/>
    <mergeCell ref="N116:T116"/>
    <mergeCell ref="N117:T117"/>
    <mergeCell ref="N118:T118"/>
    <mergeCell ref="J251:M251"/>
    <mergeCell ref="J252:M252"/>
    <mergeCell ref="J253:M253"/>
    <mergeCell ref="J254:M254"/>
    <mergeCell ref="J255:M255"/>
    <mergeCell ref="J256:M256"/>
    <mergeCell ref="J245:M245"/>
    <mergeCell ref="J246:M246"/>
    <mergeCell ref="J247:M247"/>
    <mergeCell ref="J248:M248"/>
    <mergeCell ref="J249:M249"/>
    <mergeCell ref="J250:M250"/>
    <mergeCell ref="J239:M239"/>
    <mergeCell ref="J240:M240"/>
    <mergeCell ref="J241:M241"/>
    <mergeCell ref="J242:M242"/>
    <mergeCell ref="J243:M243"/>
    <mergeCell ref="J244:M244"/>
    <mergeCell ref="J233:M233"/>
    <mergeCell ref="J234:M234"/>
    <mergeCell ref="J235:M235"/>
    <mergeCell ref="J236:M236"/>
    <mergeCell ref="J237:M237"/>
    <mergeCell ref="J238:M238"/>
    <mergeCell ref="J227:M227"/>
    <mergeCell ref="J228:M228"/>
    <mergeCell ref="J229:M229"/>
    <mergeCell ref="J230:M230"/>
    <mergeCell ref="J231:M231"/>
    <mergeCell ref="J232:M232"/>
    <mergeCell ref="J221:M221"/>
    <mergeCell ref="J222:M222"/>
    <mergeCell ref="J223:M223"/>
    <mergeCell ref="J224:M224"/>
    <mergeCell ref="J225:M225"/>
    <mergeCell ref="J226:M226"/>
    <mergeCell ref="J215:M215"/>
    <mergeCell ref="J216:M216"/>
    <mergeCell ref="J217:M217"/>
    <mergeCell ref="J218:M218"/>
    <mergeCell ref="J219:M219"/>
    <mergeCell ref="J220:M220"/>
    <mergeCell ref="J209:M209"/>
    <mergeCell ref="J210:M210"/>
    <mergeCell ref="J211:M211"/>
    <mergeCell ref="J212:M212"/>
    <mergeCell ref="J213:M213"/>
    <mergeCell ref="J214:M214"/>
    <mergeCell ref="J203:M203"/>
    <mergeCell ref="J204:M204"/>
    <mergeCell ref="J205:M205"/>
    <mergeCell ref="J206:M206"/>
    <mergeCell ref="J207:M207"/>
    <mergeCell ref="J208:M208"/>
    <mergeCell ref="J175:M175"/>
    <mergeCell ref="J176:M176"/>
    <mergeCell ref="J177:M177"/>
    <mergeCell ref="J178:M178"/>
    <mergeCell ref="J167:M167"/>
    <mergeCell ref="J168:M168"/>
    <mergeCell ref="J169:M169"/>
    <mergeCell ref="J170:M170"/>
    <mergeCell ref="J171:M171"/>
    <mergeCell ref="J172:M172"/>
    <mergeCell ref="J197:M197"/>
    <mergeCell ref="J198:M198"/>
    <mergeCell ref="J199:M199"/>
    <mergeCell ref="J200:M200"/>
    <mergeCell ref="J201:M201"/>
    <mergeCell ref="J202:M202"/>
    <mergeCell ref="J191:M191"/>
    <mergeCell ref="J192:M192"/>
    <mergeCell ref="J193:M193"/>
    <mergeCell ref="J194:M194"/>
    <mergeCell ref="J195:M195"/>
    <mergeCell ref="J196:M196"/>
    <mergeCell ref="J185:M185"/>
    <mergeCell ref="J186:M186"/>
    <mergeCell ref="J187:M187"/>
    <mergeCell ref="J188:M188"/>
    <mergeCell ref="J189:M189"/>
    <mergeCell ref="J190:M190"/>
    <mergeCell ref="J125:M125"/>
    <mergeCell ref="J150:M150"/>
    <mergeCell ref="J151:M151"/>
    <mergeCell ref="J152:M152"/>
    <mergeCell ref="J153:M153"/>
    <mergeCell ref="J154:M154"/>
    <mergeCell ref="J155:M155"/>
    <mergeCell ref="J144:M144"/>
    <mergeCell ref="J145:M145"/>
    <mergeCell ref="J146:M146"/>
    <mergeCell ref="J147:M147"/>
    <mergeCell ref="J148:M148"/>
    <mergeCell ref="J149:M149"/>
    <mergeCell ref="J138:M138"/>
    <mergeCell ref="J139:M139"/>
    <mergeCell ref="J140:M140"/>
    <mergeCell ref="J141:M141"/>
    <mergeCell ref="J142:M142"/>
    <mergeCell ref="J143:M143"/>
    <mergeCell ref="J314:M314"/>
    <mergeCell ref="J315:M315"/>
    <mergeCell ref="J316:M316"/>
    <mergeCell ref="J317:M317"/>
    <mergeCell ref="J318:M318"/>
    <mergeCell ref="J114:M114"/>
    <mergeCell ref="J115:M115"/>
    <mergeCell ref="J116:M116"/>
    <mergeCell ref="J117:M117"/>
    <mergeCell ref="J118:M118"/>
    <mergeCell ref="J308:M308"/>
    <mergeCell ref="J309:M309"/>
    <mergeCell ref="J310:M310"/>
    <mergeCell ref="J311:M311"/>
    <mergeCell ref="J312:M312"/>
    <mergeCell ref="J313:M313"/>
    <mergeCell ref="J302:M302"/>
    <mergeCell ref="J303:M303"/>
    <mergeCell ref="J304:M304"/>
    <mergeCell ref="J305:M305"/>
    <mergeCell ref="J306:M306"/>
    <mergeCell ref="J307:M307"/>
    <mergeCell ref="J296:M296"/>
    <mergeCell ref="J297:M297"/>
    <mergeCell ref="J298:M298"/>
    <mergeCell ref="J299:M299"/>
    <mergeCell ref="J300:M300"/>
    <mergeCell ref="J301:M301"/>
    <mergeCell ref="J290:M290"/>
    <mergeCell ref="J291:M291"/>
    <mergeCell ref="J292:M292"/>
    <mergeCell ref="J293:M293"/>
    <mergeCell ref="J294:M294"/>
    <mergeCell ref="J295:M295"/>
    <mergeCell ref="J284:M284"/>
    <mergeCell ref="J285:M285"/>
    <mergeCell ref="J286:M286"/>
    <mergeCell ref="J287:M287"/>
    <mergeCell ref="J288:M288"/>
    <mergeCell ref="J289:M289"/>
    <mergeCell ref="J163:M163"/>
    <mergeCell ref="J279:M279"/>
    <mergeCell ref="J280:M280"/>
    <mergeCell ref="J281:M281"/>
    <mergeCell ref="J282:M282"/>
    <mergeCell ref="J283:M283"/>
    <mergeCell ref="J156:M156"/>
    <mergeCell ref="J164:M164"/>
    <mergeCell ref="J165:M165"/>
    <mergeCell ref="J166:M166"/>
    <mergeCell ref="J157:M157"/>
    <mergeCell ref="J158:M158"/>
    <mergeCell ref="J159:M159"/>
    <mergeCell ref="J160:M160"/>
    <mergeCell ref="J161:M161"/>
    <mergeCell ref="J162:M162"/>
    <mergeCell ref="J179:M179"/>
    <mergeCell ref="J180:M180"/>
    <mergeCell ref="J181:M181"/>
    <mergeCell ref="J182:M182"/>
    <mergeCell ref="J183:M183"/>
    <mergeCell ref="J184:M184"/>
    <mergeCell ref="J173:M173"/>
    <mergeCell ref="J174:M174"/>
    <mergeCell ref="J277:M277"/>
    <mergeCell ref="J278:M278"/>
    <mergeCell ref="J69:M69"/>
    <mergeCell ref="J70:M70"/>
    <mergeCell ref="J71:M71"/>
    <mergeCell ref="J72:M72"/>
    <mergeCell ref="J73:M73"/>
    <mergeCell ref="J74:M74"/>
    <mergeCell ref="J75:M75"/>
    <mergeCell ref="J111:M111"/>
    <mergeCell ref="J104:M104"/>
    <mergeCell ref="J105:M105"/>
    <mergeCell ref="J106:M106"/>
    <mergeCell ref="J107:M107"/>
    <mergeCell ref="J108:M108"/>
    <mergeCell ref="J98:M98"/>
    <mergeCell ref="J99:M99"/>
    <mergeCell ref="J100:M100"/>
    <mergeCell ref="J101:M101"/>
    <mergeCell ref="J102:M102"/>
    <mergeCell ref="J103:M103"/>
    <mergeCell ref="J92:M92"/>
    <mergeCell ref="J93:M93"/>
    <mergeCell ref="J94:M94"/>
    <mergeCell ref="J95:M95"/>
    <mergeCell ref="J96:M96"/>
    <mergeCell ref="J97:M97"/>
    <mergeCell ref="J132:M132"/>
    <mergeCell ref="J133:M133"/>
    <mergeCell ref="J134:M134"/>
    <mergeCell ref="J135:M135"/>
    <mergeCell ref="J136:M136"/>
    <mergeCell ref="AP363:AQ363"/>
    <mergeCell ref="AR363:AU363"/>
    <mergeCell ref="L365:AU370"/>
    <mergeCell ref="J61:M61"/>
    <mergeCell ref="J62:M62"/>
    <mergeCell ref="J63:M63"/>
    <mergeCell ref="J64:M64"/>
    <mergeCell ref="J65:M65"/>
    <mergeCell ref="J66:M66"/>
    <mergeCell ref="J67:M67"/>
    <mergeCell ref="J363:O363"/>
    <mergeCell ref="P363:X363"/>
    <mergeCell ref="Y363:AH363"/>
    <mergeCell ref="AI363:AJ363"/>
    <mergeCell ref="AK363:AM363"/>
    <mergeCell ref="AN363:AO363"/>
    <mergeCell ref="AP361:AQ361"/>
    <mergeCell ref="AR361:AU361"/>
    <mergeCell ref="J362:O362"/>
    <mergeCell ref="P362:X362"/>
    <mergeCell ref="Y362:AH362"/>
    <mergeCell ref="AI362:AJ362"/>
    <mergeCell ref="J86:M86"/>
    <mergeCell ref="J87:M87"/>
    <mergeCell ref="J88:M88"/>
    <mergeCell ref="J89:M89"/>
    <mergeCell ref="J90:M90"/>
    <mergeCell ref="J91:M91"/>
    <mergeCell ref="J80:M80"/>
    <mergeCell ref="J81:M81"/>
    <mergeCell ref="J82:M82"/>
    <mergeCell ref="J83:M83"/>
    <mergeCell ref="AK362:AM362"/>
    <mergeCell ref="AN362:AO362"/>
    <mergeCell ref="AP362:AQ362"/>
    <mergeCell ref="AR362:AU362"/>
    <mergeCell ref="J361:O361"/>
    <mergeCell ref="P361:X361"/>
    <mergeCell ref="Y361:AH361"/>
    <mergeCell ref="AI361:AJ361"/>
    <mergeCell ref="AK361:AM361"/>
    <mergeCell ref="AN361:AO361"/>
    <mergeCell ref="AP359:AQ359"/>
    <mergeCell ref="AR359:AU359"/>
    <mergeCell ref="J360:O360"/>
    <mergeCell ref="P360:X360"/>
    <mergeCell ref="Y360:AH360"/>
    <mergeCell ref="AI360:AJ360"/>
    <mergeCell ref="AK360:AM360"/>
    <mergeCell ref="AN360:AO360"/>
    <mergeCell ref="AP360:AQ360"/>
    <mergeCell ref="AR360:AU360"/>
    <mergeCell ref="J359:O359"/>
    <mergeCell ref="P359:X359"/>
    <mergeCell ref="Y359:AH359"/>
    <mergeCell ref="AI359:AJ359"/>
    <mergeCell ref="AK359:AM359"/>
    <mergeCell ref="AN359:AO359"/>
    <mergeCell ref="AP357:AQ357"/>
    <mergeCell ref="AR357:AU357"/>
    <mergeCell ref="J358:O358"/>
    <mergeCell ref="P358:X358"/>
    <mergeCell ref="Y358:AH358"/>
    <mergeCell ref="AI358:AJ358"/>
    <mergeCell ref="AK358:AM358"/>
    <mergeCell ref="AN358:AO358"/>
    <mergeCell ref="AP358:AQ358"/>
    <mergeCell ref="AR358:AU358"/>
    <mergeCell ref="J357:O357"/>
    <mergeCell ref="P357:X357"/>
    <mergeCell ref="Y357:AH357"/>
    <mergeCell ref="AI357:AJ357"/>
    <mergeCell ref="AK357:AM357"/>
    <mergeCell ref="AN357:AO357"/>
    <mergeCell ref="AP355:AQ355"/>
    <mergeCell ref="AR355:AU355"/>
    <mergeCell ref="J356:O356"/>
    <mergeCell ref="P356:X356"/>
    <mergeCell ref="Y356:AH356"/>
    <mergeCell ref="AI356:AJ356"/>
    <mergeCell ref="AK356:AM356"/>
    <mergeCell ref="AN356:AO356"/>
    <mergeCell ref="AP356:AQ356"/>
    <mergeCell ref="AR356:AU356"/>
    <mergeCell ref="J355:O355"/>
    <mergeCell ref="P355:X355"/>
    <mergeCell ref="Y355:AH355"/>
    <mergeCell ref="AI355:AJ355"/>
    <mergeCell ref="AK355:AM355"/>
    <mergeCell ref="AN355:AO355"/>
    <mergeCell ref="AP353:AQ353"/>
    <mergeCell ref="AR353:AU353"/>
    <mergeCell ref="J354:O354"/>
    <mergeCell ref="P354:X354"/>
    <mergeCell ref="Y354:AH354"/>
    <mergeCell ref="AI354:AJ354"/>
    <mergeCell ref="AK354:AM354"/>
    <mergeCell ref="AN354:AO354"/>
    <mergeCell ref="AP354:AQ354"/>
    <mergeCell ref="AR354:AU354"/>
    <mergeCell ref="J353:O353"/>
    <mergeCell ref="P353:X353"/>
    <mergeCell ref="Y353:AH353"/>
    <mergeCell ref="AI353:AJ353"/>
    <mergeCell ref="AK353:AM353"/>
    <mergeCell ref="AN353:AO353"/>
    <mergeCell ref="AP351:AQ351"/>
    <mergeCell ref="AR351:AU351"/>
    <mergeCell ref="J352:O352"/>
    <mergeCell ref="P352:X352"/>
    <mergeCell ref="Y352:AH352"/>
    <mergeCell ref="AI352:AJ352"/>
    <mergeCell ref="AK352:AM352"/>
    <mergeCell ref="AN352:AO352"/>
    <mergeCell ref="AP352:AQ352"/>
    <mergeCell ref="AR352:AU352"/>
    <mergeCell ref="J351:O351"/>
    <mergeCell ref="P351:X351"/>
    <mergeCell ref="Y351:AH351"/>
    <mergeCell ref="AI351:AJ351"/>
    <mergeCell ref="AK351:AM351"/>
    <mergeCell ref="AN351:AO351"/>
    <mergeCell ref="AR349:AU349"/>
    <mergeCell ref="J350:O350"/>
    <mergeCell ref="P350:X350"/>
    <mergeCell ref="Y350:AH350"/>
    <mergeCell ref="AI350:AJ350"/>
    <mergeCell ref="AK350:AM350"/>
    <mergeCell ref="AN350:AO350"/>
    <mergeCell ref="AP350:AQ350"/>
    <mergeCell ref="AR350:AU350"/>
    <mergeCell ref="AP348:AQ348"/>
    <mergeCell ref="J349:O349"/>
    <mergeCell ref="P349:X349"/>
    <mergeCell ref="Y349:AH349"/>
    <mergeCell ref="AI349:AJ349"/>
    <mergeCell ref="AK349:AM349"/>
    <mergeCell ref="AN349:AO349"/>
    <mergeCell ref="AP349:AQ349"/>
    <mergeCell ref="J344:AU344"/>
    <mergeCell ref="J345:AU345"/>
    <mergeCell ref="J347:O348"/>
    <mergeCell ref="P347:X348"/>
    <mergeCell ref="Y347:AH348"/>
    <mergeCell ref="AI347:AQ347"/>
    <mergeCell ref="AR347:AU348"/>
    <mergeCell ref="AI348:AJ348"/>
    <mergeCell ref="AK348:AM348"/>
    <mergeCell ref="AN348:AO348"/>
    <mergeCell ref="J338:S338"/>
    <mergeCell ref="T338:AI338"/>
    <mergeCell ref="AJ338:AU338"/>
    <mergeCell ref="AK341:AM341"/>
    <mergeCell ref="AO341:AP341"/>
    <mergeCell ref="AR341:AT341"/>
    <mergeCell ref="J334:AU334"/>
    <mergeCell ref="K335:O335"/>
    <mergeCell ref="P335:AU336"/>
    <mergeCell ref="J337:S337"/>
    <mergeCell ref="T337:AI337"/>
    <mergeCell ref="AJ337:AU337"/>
    <mergeCell ref="J329:U331"/>
    <mergeCell ref="V329:AE331"/>
    <mergeCell ref="AF329:AI329"/>
    <mergeCell ref="AJ329:AU329"/>
    <mergeCell ref="AF330:AI330"/>
    <mergeCell ref="AJ330:AU330"/>
    <mergeCell ref="AF331:AI331"/>
    <mergeCell ref="AJ331:AU331"/>
    <mergeCell ref="J319:M319"/>
    <mergeCell ref="N319:V319"/>
    <mergeCell ref="W319:AE319"/>
    <mergeCell ref="AF319:AL319"/>
    <mergeCell ref="AM319:AU319"/>
    <mergeCell ref="J328:U328"/>
    <mergeCell ref="V328:AE328"/>
    <mergeCell ref="AF328:AU328"/>
    <mergeCell ref="J269:M269"/>
    <mergeCell ref="N269:V269"/>
    <mergeCell ref="W269:AE269"/>
    <mergeCell ref="AF269:AL269"/>
    <mergeCell ref="AM269:AU269"/>
    <mergeCell ref="J270:M270"/>
    <mergeCell ref="N270:V270"/>
    <mergeCell ref="W270:AE270"/>
    <mergeCell ref="AF270:AL270"/>
    <mergeCell ref="AM270:AU270"/>
    <mergeCell ref="J271:M271"/>
    <mergeCell ref="J272:M272"/>
    <mergeCell ref="J273:M273"/>
    <mergeCell ref="J274:M274"/>
    <mergeCell ref="J275:M275"/>
    <mergeCell ref="J276:M276"/>
    <mergeCell ref="AL113:AM113"/>
    <mergeCell ref="AN113:AS113"/>
    <mergeCell ref="AT113:AU113"/>
    <mergeCell ref="L263:AU264"/>
    <mergeCell ref="J268:M268"/>
    <mergeCell ref="N268:V268"/>
    <mergeCell ref="W268:AE268"/>
    <mergeCell ref="AF268:AL268"/>
    <mergeCell ref="AM268:AU268"/>
    <mergeCell ref="J119:M119"/>
    <mergeCell ref="AF112:AK112"/>
    <mergeCell ref="AL112:AM112"/>
    <mergeCell ref="AN112:AS112"/>
    <mergeCell ref="AT112:AU112"/>
    <mergeCell ref="J113:M113"/>
    <mergeCell ref="N113:T113"/>
    <mergeCell ref="U113:V113"/>
    <mergeCell ref="W113:AC113"/>
    <mergeCell ref="AD113:AE113"/>
    <mergeCell ref="AF113:AK113"/>
    <mergeCell ref="J137:M137"/>
    <mergeCell ref="J126:M126"/>
    <mergeCell ref="J127:M127"/>
    <mergeCell ref="J128:M128"/>
    <mergeCell ref="J129:M129"/>
    <mergeCell ref="J130:M130"/>
    <mergeCell ref="J131:M131"/>
    <mergeCell ref="J120:M120"/>
    <mergeCell ref="J121:M121"/>
    <mergeCell ref="J122:M122"/>
    <mergeCell ref="J123:M123"/>
    <mergeCell ref="J124:M124"/>
    <mergeCell ref="N111:V111"/>
    <mergeCell ref="W111:AE111"/>
    <mergeCell ref="AF111:AM111"/>
    <mergeCell ref="AN111:AU111"/>
    <mergeCell ref="J112:M112"/>
    <mergeCell ref="N112:T112"/>
    <mergeCell ref="U112:V112"/>
    <mergeCell ref="W112:AC112"/>
    <mergeCell ref="AD112:AE112"/>
    <mergeCell ref="J59:M59"/>
    <mergeCell ref="N59:R59"/>
    <mergeCell ref="S59:AB59"/>
    <mergeCell ref="AD59:AF59"/>
    <mergeCell ref="AG59:AU59"/>
    <mergeCell ref="J60:M60"/>
    <mergeCell ref="N60:R60"/>
    <mergeCell ref="S60:AB60"/>
    <mergeCell ref="AD60:AF60"/>
    <mergeCell ref="AG60:AU60"/>
    <mergeCell ref="J68:M68"/>
    <mergeCell ref="J76:M76"/>
    <mergeCell ref="J77:M77"/>
    <mergeCell ref="J78:M78"/>
    <mergeCell ref="J79:M79"/>
    <mergeCell ref="J84:M84"/>
    <mergeCell ref="J85:M85"/>
    <mergeCell ref="N81:R81"/>
    <mergeCell ref="N82:R82"/>
    <mergeCell ref="N83:R83"/>
    <mergeCell ref="N84:R84"/>
    <mergeCell ref="N73:R73"/>
    <mergeCell ref="N74:R74"/>
    <mergeCell ref="AO2:AT2"/>
    <mergeCell ref="AK3:AM3"/>
    <mergeCell ref="AO3:AP3"/>
    <mergeCell ref="AR3:AT3"/>
    <mergeCell ref="AF8:AU8"/>
    <mergeCell ref="AF9:AU9"/>
    <mergeCell ref="L40:AU42"/>
    <mergeCell ref="L43:AU45"/>
    <mergeCell ref="J54:M58"/>
    <mergeCell ref="N54:R58"/>
    <mergeCell ref="S54:AB58"/>
    <mergeCell ref="AC54:AU58"/>
    <mergeCell ref="X29:AH29"/>
    <mergeCell ref="X30:AH30"/>
    <mergeCell ref="V36:AG36"/>
    <mergeCell ref="V37:W37"/>
    <mergeCell ref="X37:Y37"/>
    <mergeCell ref="AA37:AB37"/>
    <mergeCell ref="AE37:AF37"/>
    <mergeCell ref="AF11:AU12"/>
    <mergeCell ref="AF13:AU13"/>
    <mergeCell ref="M15:N15"/>
    <mergeCell ref="J19:AU23"/>
    <mergeCell ref="J25:AU25"/>
    <mergeCell ref="J27:AU27"/>
  </mergeCells>
  <phoneticPr fontId="4"/>
  <dataValidations count="1">
    <dataValidation imeMode="disabled" allowBlank="1" showInputMessage="1" showErrorMessage="1" sqref="AN3 Z37 AN341" xr:uid="{DCD4A8E7-A861-4C3B-8166-A90172FED028}"/>
  </dataValidations>
  <pageMargins left="0.98425196850393704" right="0.70866141732283472" top="0.6889763779527559" bottom="0.6889763779527559" header="0.31496062992125984" footer="0.31496062992125984"/>
  <pageSetup paperSize="9" scale="96" fitToWidth="0" fitToHeight="0" orientation="portrait" r:id="rId1"/>
  <rowBreaks count="2" manualBreakCount="2">
    <brk id="50" max="16383" man="1"/>
    <brk id="339" max="16383" man="1"/>
  </rowBreaks>
  <extLst>
    <ext xmlns:x14="http://schemas.microsoft.com/office/spreadsheetml/2009/9/main" uri="{78C0D931-6437-407d-A8EE-F0AAD7539E65}">
      <x14:conditionalFormattings>
        <x14:conditionalFormatting xmlns:xm="http://schemas.microsoft.com/office/excel/2006/main">
          <x14:cfRule type="containsText" priority="3" operator="containsText" id="{61FE2D14-4C3A-46EF-B16D-F64DC58EF963}">
            <xm:f>NOT(ISERROR(SEARCH("-",AD59)))</xm:f>
            <xm:f>"-"</xm:f>
            <x14:dxf>
              <font>
                <b/>
                <i val="0"/>
              </font>
            </x14:dxf>
          </x14:cfRule>
          <xm:sqref>AD59:AD108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9AAF9-62FB-46BB-B8ED-A59F34EF4763}">
  <sheetPr codeName="Sheet3">
    <tabColor theme="1"/>
  </sheetPr>
  <dimension ref="A1:AL869"/>
  <sheetViews>
    <sheetView topLeftCell="A486" workbookViewId="0">
      <selection activeCell="H514" sqref="H514"/>
    </sheetView>
  </sheetViews>
  <sheetFormatPr defaultRowHeight="13.5" x14ac:dyDescent="0.15"/>
  <cols>
    <col min="2" max="2" width="13.875" customWidth="1"/>
    <col min="3" max="3" width="25.75" customWidth="1"/>
    <col min="4" max="5" width="13.5" customWidth="1"/>
    <col min="6" max="7" width="13.875" customWidth="1"/>
    <col min="8" max="11" width="9.125" customWidth="1"/>
    <col min="12" max="17" width="13.875" customWidth="1"/>
    <col min="18" max="19" width="12.625" customWidth="1"/>
    <col min="20" max="21" width="14.875" customWidth="1"/>
    <col min="22" max="22" width="11.5" customWidth="1"/>
    <col min="23" max="29" width="9" customWidth="1"/>
    <col min="30" max="30" width="3.75" customWidth="1"/>
  </cols>
  <sheetData>
    <row r="1" spans="2:30" ht="37.5" customHeight="1" x14ac:dyDescent="0.15">
      <c r="B1" s="72" t="s">
        <v>370</v>
      </c>
      <c r="C1" s="112" t="s">
        <v>371</v>
      </c>
      <c r="D1" s="113"/>
      <c r="E1" s="114"/>
      <c r="F1" s="129" t="str">
        <f ca="1">IF(COUNTIF(W3:W829,"NG")=0,"OK","NG")</f>
        <v>NG</v>
      </c>
      <c r="U1" t="s">
        <v>372</v>
      </c>
      <c r="V1" t="s">
        <v>373</v>
      </c>
      <c r="W1" s="73" t="s">
        <v>374</v>
      </c>
      <c r="X1" s="11" t="s">
        <v>375</v>
      </c>
      <c r="Y1" s="127" t="s">
        <v>376</v>
      </c>
      <c r="Z1" s="76" t="s">
        <v>377</v>
      </c>
      <c r="AA1" s="4" t="s">
        <v>378</v>
      </c>
    </row>
    <row r="2" spans="2:30" ht="27" x14ac:dyDescent="0.15">
      <c r="B2" s="5" t="s">
        <v>379</v>
      </c>
      <c r="C2" s="5" t="s">
        <v>380</v>
      </c>
      <c r="D2" s="5" t="s">
        <v>381</v>
      </c>
      <c r="E2" s="5" t="s">
        <v>382</v>
      </c>
      <c r="F2" s="5" t="s">
        <v>383</v>
      </c>
      <c r="W2" s="117"/>
      <c r="X2" s="11" t="s">
        <v>384</v>
      </c>
      <c r="Y2" s="13" t="s">
        <v>385</v>
      </c>
      <c r="Z2" s="13" t="s">
        <v>386</v>
      </c>
      <c r="AA2" t="s">
        <v>387</v>
      </c>
      <c r="AB2" t="s">
        <v>388</v>
      </c>
      <c r="AC2" t="s">
        <v>389</v>
      </c>
      <c r="AD2" t="s">
        <v>390</v>
      </c>
    </row>
    <row r="3" spans="2:30" x14ac:dyDescent="0.15">
      <c r="B3" s="5" t="s">
        <v>391</v>
      </c>
      <c r="C3" s="5" t="s">
        <v>392</v>
      </c>
      <c r="D3" s="4" t="s">
        <v>393</v>
      </c>
      <c r="E3" s="4" t="s">
        <v>394</v>
      </c>
      <c r="F3" s="15">
        <f>入力シート!$Y12</f>
        <v>0</v>
      </c>
      <c r="G3" t="s">
        <v>395</v>
      </c>
      <c r="W3" s="117" t="str">
        <f ca="1">IF(X3="OK",X3,"NG")</f>
        <v>NG</v>
      </c>
      <c r="X3" t="str">
        <f ca="1">IF(Y3=0,IF(Z3&lt;&gt;0,OFFSET(AA3,0,Z3),$V$1),AA3)</f>
        <v>どちらかを選択してください。</v>
      </c>
      <c r="Y3">
        <f>IF(F3&lt;&gt;0,0,1)</f>
        <v>1</v>
      </c>
      <c r="AA3" t="s">
        <v>396</v>
      </c>
    </row>
    <row r="4" spans="2:30" x14ac:dyDescent="0.15">
      <c r="B4" s="5" t="s">
        <v>391</v>
      </c>
      <c r="C4" s="5" t="s">
        <v>397</v>
      </c>
      <c r="D4" s="110" t="str">
        <f>SUBSTITUTE(SUBSTITUTE(SUBSTITUTE(SUBSTITUTE(SUBSTITUTE(SUBSTITUTE(SUBSTITUTE(SUBSTITUTE(SUBSTITUTE(SUBSTITUTE(SUBSTITUTE(入力シート!F30,"０","0"),"１","1"),"２","2"),"３","3"),"４","4"),"５","5"),"６","6"),"７","7"),"８","8"),"９","9"),"．",".")</f>
        <v/>
      </c>
      <c r="E4" s="4" t="str">
        <f>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D4,"Ａ","A"),"Ｂ","B"),"Ｃ","C"),"Ｄ","D"),"Ｅ","E"),"Ｆ","F"),"Ｇ","G"),"Ｈ","H"),"Ｉ","I"),"Ｊ","J"),"Ｋ","K"),"Ｌ","L"),"Ｍ","M"),"Ｎ","N"),"Ｏ","O"),"Ｐ","P"),"Ｑ","Q"),"Ｒ","R"),"Ｓ","S"),"Ｔ","T"),"Ｕ","U"),"Ｖ","V"),"Ｗ","W"),"Ｘ","X"),"Ｙ","Y"),"Ｚ","Z"),"ａ","a"),"ｂ","b"),"ｃ","c"),"ｄ","d"),"ｅ","e"),"ｆ","f"),"ｇ","g"),"ｈ","h"),"ｉ","i"),"ｊ","j"),"ｋ","k"),"ｌ","l"),"ｍ","m"),"ｎ","n"),"ｏ","o"),"ｐ","p"),"ｑ","q"),"ｒ","r"),"ｓ","s"),"ｔ","t"),"ｕ","u"),"ｖ","v"),"ｗ","w"),"ｘ","x"),"ｙ","y"),"ｚ","z"),"＆","&amp;"),"－","-"),"．",".")</f>
        <v/>
      </c>
      <c r="F4" s="15" t="str">
        <f>IF(E4="","-",TRIM(CLEAN(E4)))</f>
        <v>-</v>
      </c>
      <c r="G4" s="4" t="str">
        <f>TRIM(CLEAN(E4))&amp;""</f>
        <v/>
      </c>
      <c r="U4" s="25" t="s">
        <v>398</v>
      </c>
      <c r="W4" s="117"/>
    </row>
    <row r="5" spans="2:30" x14ac:dyDescent="0.15">
      <c r="B5" s="5" t="s">
        <v>391</v>
      </c>
      <c r="C5" s="5" t="s">
        <v>20</v>
      </c>
      <c r="D5" s="4"/>
      <c r="E5" s="4"/>
      <c r="F5" s="19">
        <f>入力シート!F38</f>
        <v>0</v>
      </c>
      <c r="U5" s="24">
        <v>44789</v>
      </c>
      <c r="W5" s="117" t="str">
        <f t="shared" ref="W5:W43" ca="1" si="0">IF(X5="OK",X5,"NG")</f>
        <v>NG</v>
      </c>
      <c r="X5" t="str">
        <f t="shared" ref="X5:X10" ca="1" si="1">IF(Y5=0,IF(Z5&lt;&gt;0,OFFSET(AA5,0,Z5),$V$1),AA5)</f>
        <v>文書作成日を入力してください。</v>
      </c>
      <c r="Y5">
        <f>IF(F5&lt;&gt;0,0,1)</f>
        <v>1</v>
      </c>
      <c r="Z5">
        <f>IF(AND(U5&lt;=F5,F5&lt;=U11),0,1)</f>
        <v>1</v>
      </c>
      <c r="AA5" t="str">
        <f>C5&amp;"を入力してください。"</f>
        <v>文書作成日を入力してください。</v>
      </c>
      <c r="AB5" t="str">
        <f>TEXT(U5,"yyyy/m/d")&amp;"～"&amp;TEXT(U11,"yyyy/m/d")&amp;"の範囲の日付を入力してください。"</f>
        <v>2022/8/16～2022/9/9の範囲の日付を入力してください。</v>
      </c>
    </row>
    <row r="6" spans="2:30" x14ac:dyDescent="0.15">
      <c r="B6" s="5" t="s">
        <v>391</v>
      </c>
      <c r="C6" s="5" t="s">
        <v>98</v>
      </c>
      <c r="D6" s="4"/>
      <c r="E6" s="4"/>
      <c r="F6" s="19">
        <f>入力シート!$F175</f>
        <v>0</v>
      </c>
      <c r="W6" s="117" t="str">
        <f t="shared" ca="1" si="0"/>
        <v>NG</v>
      </c>
      <c r="X6" t="str">
        <f t="shared" ca="1" si="1"/>
        <v>完了予定日を入力してください。</v>
      </c>
      <c r="Y6">
        <f>IF(F6&lt;&gt;0,0,1)</f>
        <v>1</v>
      </c>
      <c r="Z6">
        <f>IF(AND(U8&lt;=F6,F6&lt;=U14),0,1)</f>
        <v>1</v>
      </c>
      <c r="AA6" t="str">
        <f>C6&amp;"を入力してください。"</f>
        <v>完了予定日を入力してください。</v>
      </c>
      <c r="AB6" t="str">
        <f>TEXT(U14,"yyyy/m/d")&amp;"までの日付を入力してください。"</f>
        <v>2022/12/23までの日付を入力してください。</v>
      </c>
    </row>
    <row r="7" spans="2:30" x14ac:dyDescent="0.15">
      <c r="B7" s="5" t="s">
        <v>399</v>
      </c>
      <c r="C7" s="5" t="s">
        <v>24</v>
      </c>
      <c r="D7" s="4"/>
      <c r="E7" s="4"/>
      <c r="F7" s="15" t="str">
        <f>TRIM(CLEAN(ASC(入力シート!F51)))&amp;""</f>
        <v/>
      </c>
      <c r="G7" s="15" t="str">
        <f>TRIM(CLEAN(ASC(入力シート!H51)))&amp;""</f>
        <v/>
      </c>
      <c r="U7" s="26" t="s">
        <v>400</v>
      </c>
      <c r="W7" s="117" t="str">
        <f t="shared" ca="1" si="0"/>
        <v>NG</v>
      </c>
      <c r="X7" t="str">
        <f t="shared" ca="1" si="1"/>
        <v>郵便番号を入力してください。</v>
      </c>
      <c r="Y7">
        <f>IF(AND(LEN(F7)=3,LEN(G7)=4)=TRUE,0,1)</f>
        <v>1</v>
      </c>
      <c r="Z7">
        <f>IFERROR(IF(0&lt;VALUE(F7),0,1),1)</f>
        <v>1</v>
      </c>
      <c r="AA7" t="str">
        <f>C7&amp;"を入力してください。"</f>
        <v>郵便番号を入力してください。</v>
      </c>
      <c r="AB7" t="str">
        <f>"正しい"&amp;C7&amp;"を入力してください。"</f>
        <v>正しい郵便番号を入力してください。</v>
      </c>
    </row>
    <row r="8" spans="2:30" x14ac:dyDescent="0.15">
      <c r="B8" s="5" t="s">
        <v>399</v>
      </c>
      <c r="C8" s="5" t="s">
        <v>26</v>
      </c>
      <c r="D8" s="4"/>
      <c r="E8" s="4"/>
      <c r="F8" s="16" t="str">
        <f>TRIM(CLEAN(入力シート!$F53))&amp;""</f>
        <v/>
      </c>
      <c r="U8" s="18">
        <v>44805</v>
      </c>
      <c r="W8" s="117" t="str">
        <f t="shared" ca="1" si="0"/>
        <v>NG</v>
      </c>
      <c r="X8" t="str">
        <f t="shared" ca="1" si="1"/>
        <v>都道府県を選択してください。</v>
      </c>
      <c r="Y8">
        <f>IF(F8&lt;&gt;"",0,1)</f>
        <v>1</v>
      </c>
      <c r="AA8" t="str">
        <f>C8&amp;"を選択してください。"</f>
        <v>都道府県を選択してください。</v>
      </c>
    </row>
    <row r="9" spans="2:30" x14ac:dyDescent="0.15">
      <c r="B9" s="5" t="s">
        <v>399</v>
      </c>
      <c r="C9" s="5" t="s">
        <v>29</v>
      </c>
      <c r="D9" s="110" t="str">
        <f>DBCS(入力シート!$F55)</f>
        <v/>
      </c>
      <c r="E9" s="4"/>
      <c r="F9" s="15" t="str">
        <f>TRIM(CLEAN(D9))&amp;""</f>
        <v/>
      </c>
      <c r="W9" s="117" t="str">
        <f t="shared" ca="1" si="0"/>
        <v>NG</v>
      </c>
      <c r="X9" t="str">
        <f t="shared" ca="1" si="1"/>
        <v>市区町村を入力してください。</v>
      </c>
      <c r="Y9">
        <f>IF(F9&lt;&gt;"",0,1)</f>
        <v>1</v>
      </c>
      <c r="AA9" t="str">
        <f>C9&amp;"を入力してください。"</f>
        <v>市区町村を入力してください。</v>
      </c>
    </row>
    <row r="10" spans="2:30" x14ac:dyDescent="0.15">
      <c r="B10" s="5" t="s">
        <v>399</v>
      </c>
      <c r="C10" s="5" t="s">
        <v>31</v>
      </c>
      <c r="D10" s="110" t="str">
        <f>DBCS(入力シート!$F57)</f>
        <v/>
      </c>
      <c r="E10" s="4"/>
      <c r="F10" s="15" t="str">
        <f>TRIM(CLEAN(D10))&amp;""</f>
        <v/>
      </c>
      <c r="U10" s="25" t="s">
        <v>401</v>
      </c>
      <c r="W10" s="117" t="str">
        <f t="shared" ca="1" si="0"/>
        <v>NG</v>
      </c>
      <c r="X10" t="str">
        <f t="shared" ca="1" si="1"/>
        <v>町名地番を入力してください。</v>
      </c>
      <c r="Y10">
        <f>IF(F10&lt;&gt;"",0,1)</f>
        <v>1</v>
      </c>
      <c r="AA10" t="str">
        <f>C10&amp;"を入力してください。"</f>
        <v>町名地番を入力してください。</v>
      </c>
    </row>
    <row r="11" spans="2:30" x14ac:dyDescent="0.15">
      <c r="B11" s="5" t="s">
        <v>399</v>
      </c>
      <c r="C11" s="5" t="s">
        <v>34</v>
      </c>
      <c r="D11" s="110" t="str">
        <f>DBCS(入力シート!$F59)</f>
        <v/>
      </c>
      <c r="E11" s="4" t="s">
        <v>402</v>
      </c>
      <c r="F11" s="15" t="str">
        <f>TRIM(CLEAN(D11))&amp;""</f>
        <v/>
      </c>
      <c r="U11" s="24">
        <v>44813</v>
      </c>
      <c r="W11" s="117"/>
    </row>
    <row r="12" spans="2:30" x14ac:dyDescent="0.15">
      <c r="B12" s="5" t="s">
        <v>399</v>
      </c>
      <c r="C12" s="5" t="s">
        <v>403</v>
      </c>
      <c r="D12" s="110" t="str">
        <f>DBCS(入力シート!$F61)</f>
        <v/>
      </c>
      <c r="E12" s="4" t="str">
        <f>SUBSTITUTE(SUBSTITUTE(SUBSTITUTE(SUBSTITUTE(D12,"　株式会社","株式会社"),"会社　","会社"),"　有限会社","有限会社"),"　合同会社","合同会社")</f>
        <v/>
      </c>
      <c r="F12" s="15" t="str">
        <f>TRIM(CLEAN(E12))&amp;""</f>
        <v/>
      </c>
      <c r="W12" s="117" t="str">
        <f t="shared" ca="1" si="0"/>
        <v>NG</v>
      </c>
      <c r="X12" t="str">
        <f t="shared" ref="X12:X19" ca="1" si="2">IF(Y12=0,IF(Z12&lt;&gt;0,OFFSET(AA12,0,Z12),$V$1),AA12)</f>
        <v>法人名・商号・屋号等を入力してください。</v>
      </c>
      <c r="Y12">
        <f t="shared" ref="Y12:Y17" si="3">IF(F12&lt;&gt;"",0,1)</f>
        <v>1</v>
      </c>
      <c r="AA12" t="str">
        <f>C12&amp;"を入力してください。"</f>
        <v>法人名・商号・屋号等を入力してください。</v>
      </c>
    </row>
    <row r="13" spans="2:30" x14ac:dyDescent="0.15">
      <c r="B13" s="5" t="s">
        <v>399</v>
      </c>
      <c r="C13" s="5" t="s">
        <v>38</v>
      </c>
      <c r="D13" s="4"/>
      <c r="E13" s="4"/>
      <c r="F13" s="16" t="str">
        <f>TRIM(CLEAN(入力シート!$F66))&amp;""</f>
        <v/>
      </c>
      <c r="U13" s="26" t="s">
        <v>404</v>
      </c>
      <c r="W13" s="117" t="str">
        <f ca="1">IF(F3&lt;&gt;2,IF(X13="OK",X13,"NG"),"OK")</f>
        <v>NG</v>
      </c>
      <c r="X13" t="str">
        <f t="shared" ca="1" si="2"/>
        <v>役職名を入力してください。</v>
      </c>
      <c r="Y13">
        <f t="shared" si="3"/>
        <v>1</v>
      </c>
      <c r="AA13" t="str">
        <f>C13&amp;"を入力してください。"</f>
        <v>役職名を入力してください。</v>
      </c>
    </row>
    <row r="14" spans="2:30" x14ac:dyDescent="0.15">
      <c r="B14" s="5" t="s">
        <v>399</v>
      </c>
      <c r="C14" s="5" t="s">
        <v>40</v>
      </c>
      <c r="D14" s="4"/>
      <c r="E14" s="4"/>
      <c r="F14" s="16" t="str">
        <f>TRIM(CLEAN(入力シート!$F68))&amp;""</f>
        <v/>
      </c>
      <c r="U14" s="18">
        <v>44918</v>
      </c>
      <c r="W14" s="117" t="str">
        <f t="shared" ca="1" si="0"/>
        <v>NG</v>
      </c>
      <c r="X14" t="str">
        <f t="shared" ca="1" si="2"/>
        <v>代表者の姓を入力してください。</v>
      </c>
      <c r="Y14">
        <f t="shared" si="3"/>
        <v>1</v>
      </c>
      <c r="AA14" t="str">
        <f>"代表者の"&amp;C14&amp;"を入力してください。"</f>
        <v>代表者の姓を入力してください。</v>
      </c>
    </row>
    <row r="15" spans="2:30" x14ac:dyDescent="0.15">
      <c r="B15" s="5" t="s">
        <v>399</v>
      </c>
      <c r="C15" s="5" t="s">
        <v>41</v>
      </c>
      <c r="D15" s="4"/>
      <c r="E15" s="4"/>
      <c r="F15" s="16" t="str">
        <f>TRIM(CLEAN(入力シート!$F70))&amp;""</f>
        <v/>
      </c>
      <c r="W15" s="117" t="str">
        <f t="shared" ca="1" si="0"/>
        <v>NG</v>
      </c>
      <c r="X15" t="str">
        <f t="shared" ca="1" si="2"/>
        <v>代表者の名を入力してください。</v>
      </c>
      <c r="Y15">
        <f t="shared" si="3"/>
        <v>1</v>
      </c>
      <c r="AA15" t="str">
        <f>"代表者の"&amp;C15&amp;"を入力してください。"</f>
        <v>代表者の名を入力してください。</v>
      </c>
    </row>
    <row r="16" spans="2:30" x14ac:dyDescent="0.15">
      <c r="B16" s="5" t="s">
        <v>399</v>
      </c>
      <c r="C16" s="5" t="s">
        <v>42</v>
      </c>
      <c r="D16" s="4"/>
      <c r="E16" s="4"/>
      <c r="F16" s="16" t="str">
        <f>TRIM(CLEAN(入力シート!$F72))&amp;""</f>
        <v/>
      </c>
      <c r="U16" s="240" t="s">
        <v>405</v>
      </c>
      <c r="V16" s="241"/>
      <c r="W16" s="117" t="str">
        <f t="shared" ca="1" si="0"/>
        <v>NG</v>
      </c>
      <c r="X16" t="str">
        <f t="shared" ca="1" si="2"/>
        <v>セイ（全角）を入力してください。</v>
      </c>
      <c r="Y16">
        <f t="shared" si="3"/>
        <v>1</v>
      </c>
      <c r="AA16" t="str">
        <f>C16&amp;"を入力してください。"</f>
        <v>セイ（全角）を入力してください。</v>
      </c>
    </row>
    <row r="17" spans="2:32" x14ac:dyDescent="0.15">
      <c r="B17" s="5" t="s">
        <v>399</v>
      </c>
      <c r="C17" s="5" t="s">
        <v>43</v>
      </c>
      <c r="D17" s="4"/>
      <c r="E17" s="4"/>
      <c r="F17" s="16" t="str">
        <f>TRIM(CLEAN(入力シート!$F74))&amp;""</f>
        <v/>
      </c>
      <c r="U17" s="237">
        <v>8037</v>
      </c>
      <c r="V17" s="238" t="s">
        <v>406</v>
      </c>
      <c r="W17" s="117" t="str">
        <f t="shared" ca="1" si="0"/>
        <v>NG</v>
      </c>
      <c r="X17" t="str">
        <f t="shared" ca="1" si="2"/>
        <v>メイ（全角）を入力してください。</v>
      </c>
      <c r="Y17">
        <f t="shared" si="3"/>
        <v>1</v>
      </c>
      <c r="AA17" t="str">
        <f>C17&amp;"を入力してください。"</f>
        <v>メイ（全角）を入力してください。</v>
      </c>
    </row>
    <row r="18" spans="2:32" x14ac:dyDescent="0.15">
      <c r="B18" s="5" t="s">
        <v>399</v>
      </c>
      <c r="C18" s="5" t="s">
        <v>44</v>
      </c>
      <c r="D18" s="4"/>
      <c r="E18" s="4"/>
      <c r="F18" s="301">
        <f>入力シート!$F76</f>
        <v>0</v>
      </c>
      <c r="U18" s="239">
        <v>39173</v>
      </c>
      <c r="V18" s="136" t="s">
        <v>407</v>
      </c>
      <c r="W18" s="117" t="str">
        <f t="shared" ca="1" si="0"/>
        <v>NG</v>
      </c>
      <c r="X18" t="str">
        <f t="shared" ca="1" si="2"/>
        <v>生年月日を入力してください。</v>
      </c>
      <c r="Y18">
        <f>IF(F18&lt;&gt;0,0,1)</f>
        <v>1</v>
      </c>
      <c r="Z18">
        <f>IFERROR(IF(AND(VALUE(F18)&lt;=$U$18,$U$17&lt;=VALUE(F18)),0,1),1)</f>
        <v>1</v>
      </c>
      <c r="AA18" t="str">
        <f>C18&amp;"を入力してください。"</f>
        <v>生年月日を入力してください。</v>
      </c>
      <c r="AB18" t="s">
        <v>408</v>
      </c>
    </row>
    <row r="19" spans="2:32" x14ac:dyDescent="0.15">
      <c r="B19" s="5" t="s">
        <v>399</v>
      </c>
      <c r="C19" s="5" t="s">
        <v>46</v>
      </c>
      <c r="D19" s="4"/>
      <c r="E19" s="4"/>
      <c r="F19" s="110" t="str">
        <f>TRIM(CLEAN(入力シート!$F78))&amp;""</f>
        <v/>
      </c>
      <c r="W19" s="117" t="str">
        <f t="shared" ca="1" si="0"/>
        <v>NG</v>
      </c>
      <c r="X19" t="str">
        <f t="shared" ca="1" si="2"/>
        <v>性別を選択してください。</v>
      </c>
      <c r="Y19">
        <f>IF(F19&lt;&gt;"",0,1)</f>
        <v>1</v>
      </c>
      <c r="AA19" t="str">
        <f>C19&amp;"を選択してください。"</f>
        <v>性別を選択してください。</v>
      </c>
    </row>
    <row r="20" spans="2:32" x14ac:dyDescent="0.15">
      <c r="B20" s="5" t="s">
        <v>409</v>
      </c>
      <c r="C20" s="5" t="s">
        <v>410</v>
      </c>
      <c r="D20" s="4"/>
      <c r="E20" s="4"/>
      <c r="F20" s="10">
        <f>入力シート!$Y183</f>
        <v>0</v>
      </c>
      <c r="U20">
        <v>44926</v>
      </c>
      <c r="W20" s="117"/>
    </row>
    <row r="21" spans="2:32" x14ac:dyDescent="0.15">
      <c r="B21" s="5" t="s">
        <v>409</v>
      </c>
      <c r="C21" s="5" t="s">
        <v>103</v>
      </c>
      <c r="D21" s="110" t="str">
        <f>DBCS(入力シート!$F185)</f>
        <v/>
      </c>
      <c r="E21" s="4"/>
      <c r="F21" s="17" t="str">
        <f>IF($F$20=1,"",D21)&amp;""</f>
        <v/>
      </c>
      <c r="W21" s="117"/>
    </row>
    <row r="22" spans="2:32" x14ac:dyDescent="0.15">
      <c r="B22" s="5" t="s">
        <v>409</v>
      </c>
      <c r="C22" s="5" t="s">
        <v>38</v>
      </c>
      <c r="D22" s="110" t="str">
        <f>DBCS(入力シート!$F187)</f>
        <v/>
      </c>
      <c r="E22" s="4"/>
      <c r="F22" s="15" t="str">
        <f>IF($F$20=1,$F13,D22)&amp;""</f>
        <v/>
      </c>
      <c r="W22" s="117"/>
    </row>
    <row r="23" spans="2:32" x14ac:dyDescent="0.15">
      <c r="B23" s="5" t="s">
        <v>409</v>
      </c>
      <c r="C23" s="5" t="s">
        <v>40</v>
      </c>
      <c r="D23" s="110" t="str">
        <f>DBCS(入力シート!$F189)</f>
        <v/>
      </c>
      <c r="E23" s="4"/>
      <c r="F23" s="15" t="str">
        <f>IF($F$20=1,$F14,D23)&amp;""</f>
        <v/>
      </c>
      <c r="W23" s="117" t="str">
        <f t="shared" ca="1" si="0"/>
        <v>NG</v>
      </c>
      <c r="X23" t="str">
        <f ca="1">IF(Y23=0,IF(Z23&lt;&gt;0,OFFSET(AA23,0,Z23),$V$1),AA23)</f>
        <v>担当者の姓を入力してください。</v>
      </c>
      <c r="Y23">
        <f>IF(F23&lt;&gt;"",0,1)</f>
        <v>1</v>
      </c>
      <c r="AA23" t="str">
        <f>"担当者の"&amp;C23&amp;"を入力してください。"</f>
        <v>担当者の姓を入力してください。</v>
      </c>
    </row>
    <row r="24" spans="2:32" x14ac:dyDescent="0.15">
      <c r="B24" s="5" t="s">
        <v>409</v>
      </c>
      <c r="C24" s="5" t="s">
        <v>41</v>
      </c>
      <c r="D24" s="110" t="str">
        <f>DBCS(入力シート!$F191)</f>
        <v/>
      </c>
      <c r="E24" s="4"/>
      <c r="F24" s="15" t="str">
        <f>IF($F$20=1,$F15,D24)&amp;""</f>
        <v/>
      </c>
      <c r="W24" s="117" t="str">
        <f t="shared" ca="1" si="0"/>
        <v>NG</v>
      </c>
      <c r="X24" t="str">
        <f ca="1">IF(Y24=0,IF(Z24&lt;&gt;0,OFFSET(AA24,0,Z24),$V$1),AA24)</f>
        <v>担当者の名を入力してください。</v>
      </c>
      <c r="Y24">
        <f>IF(F24&lt;&gt;"",0,1)</f>
        <v>1</v>
      </c>
      <c r="AA24" t="str">
        <f>"担当者の"&amp;C24&amp;"を入力してください。"</f>
        <v>担当者の名を入力してください。</v>
      </c>
    </row>
    <row r="25" spans="2:32" x14ac:dyDescent="0.15">
      <c r="B25" s="5" t="s">
        <v>409</v>
      </c>
      <c r="C25" s="5" t="s">
        <v>104</v>
      </c>
      <c r="D25" s="4"/>
      <c r="E25" s="4"/>
      <c r="F25" s="15" t="str">
        <f>入力シート!$F193&amp;""</f>
        <v/>
      </c>
      <c r="G25" s="15" t="str">
        <f>入力シート!$H193&amp;""</f>
        <v/>
      </c>
      <c r="H25" s="15" t="str">
        <f>入力シート!$J193&amp;""</f>
        <v/>
      </c>
      <c r="W25" s="117" t="str">
        <f t="shared" ca="1" si="0"/>
        <v>NG</v>
      </c>
      <c r="X25" t="str">
        <f ca="1">IF(Y25=0,IF(Z25&lt;&gt;0,OFFSET(AA25,0,Z25),$V$1),AA25)</f>
        <v>電話番号を入力してください。</v>
      </c>
      <c r="Y25">
        <f>IF(AND(F25&lt;&gt;"",G25&lt;&gt;"",H25&lt;&gt;""),0,1)</f>
        <v>1</v>
      </c>
      <c r="Z25">
        <f>IFERROR(IF(AND(0=VALUE(F25),0=VALUE(G25),0=VALUE(H25)),1,IF(OR(LEN(F25&amp;G25&amp;H25)&lt;10,11&lt;LEN(F25&amp;G25&amp;H25)),2,0)),1)</f>
        <v>1</v>
      </c>
      <c r="AA25" t="str">
        <f>C25&amp;"を入力してください。"</f>
        <v>電話番号を入力してください。</v>
      </c>
      <c r="AB25" t="str">
        <f>"正しい"&amp;C25&amp;"を入力してください。"</f>
        <v>正しい電話番号を入力してください。</v>
      </c>
      <c r="AC25" t="str">
        <f>LEN(F25&amp;G25&amp;H25)&amp;"桁入力されています。間違いないですか？"</f>
        <v>0桁入力されています。間違いないですか？</v>
      </c>
    </row>
    <row r="26" spans="2:32" x14ac:dyDescent="0.15">
      <c r="B26" s="105" t="s">
        <v>409</v>
      </c>
      <c r="C26" s="105" t="s">
        <v>106</v>
      </c>
      <c r="D26" s="130" t="s">
        <v>411</v>
      </c>
      <c r="E26" s="130"/>
      <c r="F26" s="128" t="str">
        <f>入力シート!$F195&amp;""</f>
        <v>01</v>
      </c>
      <c r="G26" s="128" t="str">
        <f>入力シート!$H195&amp;""</f>
        <v>2345</v>
      </c>
      <c r="H26" s="128" t="str">
        <f>入力シート!$J195&amp;""</f>
        <v>6789</v>
      </c>
      <c r="U26" s="13" t="s">
        <v>412</v>
      </c>
      <c r="V26" s="13"/>
      <c r="W26" s="117" t="str">
        <f t="shared" ca="1" si="0"/>
        <v>OK</v>
      </c>
      <c r="X26" t="str">
        <f ca="1">IF(Y26=0,IF(Z26&lt;&gt;0,OFFSET(AA26,0,Z26),$V$1),"")</f>
        <v>OK</v>
      </c>
      <c r="Y26">
        <f>IF(AND(F26&lt;&gt;"",G26&lt;&gt;"",H26&lt;&gt;""),0,1)</f>
        <v>0</v>
      </c>
      <c r="Z26">
        <f>IFERROR(IF(AND(0=VALUE(F26),0=VALUE(G26),0=VALUE(H26)),1,IF(OR(LEN(F26&amp;G26&amp;H26)&lt;10,11&lt;LEN(F26&amp;G26&amp;H26)),2,0)),1)</f>
        <v>0</v>
      </c>
      <c r="AB26" t="str">
        <f>"正しい"&amp;C26&amp;"を入力してください。"</f>
        <v>正しいFAX番号を入力してください。</v>
      </c>
      <c r="AC26" t="str">
        <f>LEN(F26&amp;G26&amp;H26)&amp;"桁入力されています。間違いないですか？"</f>
        <v>10桁入力されています。間違いないですか？</v>
      </c>
    </row>
    <row r="27" spans="2:32" x14ac:dyDescent="0.15">
      <c r="B27" s="5" t="s">
        <v>409</v>
      </c>
      <c r="C27" s="5" t="s">
        <v>110</v>
      </c>
      <c r="D27" s="110" t="str">
        <f>SUBSTITUTE(SUBSTITUTE(SUBSTITUTE(SUBSTITUTE(SUBSTITUTE(SUBSTITUTE(SUBSTITUTE(SUBSTITUTE(ASC(入力シート!$F197)," ",""),",","."),"｡","."),"､","."),"ｰ","-"),"—","-"),"‐","-"),"₋","-")&amp;""</f>
        <v/>
      </c>
      <c r="E27" s="110" t="str">
        <f>SUBSTITUTE(SUBSTITUTE(SUBSTITUTE(SUBSTITUTE(SUBSTITUTE(SUBSTITUTE(SUBSTITUTE(SUBSTITUTE(ASC(入力シート!$J197)," ",""),",","."),"｡","."),"､","."),"ｰ","-"),"—","-"),"‐","-"),"₋","-")&amp;""</f>
        <v/>
      </c>
      <c r="F27" s="15" t="str">
        <f>TRIM(CLEAN(D27))&amp;""</f>
        <v/>
      </c>
      <c r="G27" s="15" t="str">
        <f>TRIM(CLEAN(E27))&amp;""</f>
        <v/>
      </c>
      <c r="U27" s="5" cm="1">
        <f t="array" ref="U27">OR(INDEX(ISERR(FIND(MID(F27,ROW($1:$920),1),"+.-_abcdefghijklmnopqrstuvwxyzABCDEFGHIJKLMNOPQRSTUVWXYZ0123456789")),))*1</f>
        <v>0</v>
      </c>
      <c r="V27" s="5" cm="1">
        <f t="array" ref="V27">OR(INDEX(ISERR(FIND(MID(G27,ROW($1:$920),1),".-_abcdefghijklmnopqrstuvwxyzABCDEFGHIJKLMNOPQRSTUVWXYZ0123456789")),))*1</f>
        <v>0</v>
      </c>
      <c r="W27" s="117" t="str">
        <f t="shared" ca="1" si="0"/>
        <v>NG</v>
      </c>
      <c r="X27" t="str">
        <f ca="1">IF(Y27=0,IF(Z27&lt;&gt;0,OFFSET(AA27,0,Z27),$V$1),AA27)</f>
        <v>E-mailアドレスを入力してください。</v>
      </c>
      <c r="Y27">
        <f>IF(AND(F27&lt;&gt;"",G27&lt;&gt;""),0,1)</f>
        <v>1</v>
      </c>
      <c r="Z27">
        <f>IF(COUNTIF(F27:G27,"*@*")&lt;&gt;0,1,IF(OR(COUNTIF(F27,".*")&lt;&gt;0,COUNTIF(F27,"*.")&lt;&gt;0),2,IF(OR(COUNTIF(G27,".*")&lt;&gt;0,COUNTIF(G27,"*.")&lt;&gt;0),3,IF(COUNTIF(G27,"*.*")&lt;1,4,IF(U27=1,5,IF(V27=1,5,0))))))</f>
        <v>4</v>
      </c>
      <c r="AA27" t="str">
        <f>C27&amp;"を入力してください。"</f>
        <v>E-mailアドレスを入力してください。</v>
      </c>
      <c r="AB27" s="242" t="str">
        <f>"@が入力されています。"&amp;CHAR(10)&amp;"@以外を左右に分けて入力してください。"</f>
        <v>@が入力されています。
@以外を左右に分けて入力してください。</v>
      </c>
      <c r="AC27" s="243" t="s">
        <v>413</v>
      </c>
      <c r="AD27" s="243" t="s">
        <v>414</v>
      </c>
      <c r="AE27" s="243" t="str">
        <f>"ドメインにピリオドが含まれていません。"&amp;CHAR(10)&amp;"例）○○.ne.jp、 ○○.co.jp、 ○○.com"</f>
        <v>ドメインにピリオドが含まれていません。
例）○○.ne.jp、 ○○.co.jp、 ○○.com</v>
      </c>
      <c r="AF27" s="243" t="str">
        <f>"アカウントに使用できない文字が含まれています。"&amp;CHAR(10)&amp;"■使用可能な文字"&amp;CHAR(10)&amp;"　アルファベット・数字"&amp;CHAR(10)&amp;"　ピリオド「.」・ハイフン「-」・アンダーバー「_」"</f>
        <v>アカウントに使用できない文字が含まれています。
■使用可能な文字
　アルファベット・数字
　ピリオド「.」・ハイフン「-」・アンダーバー「_」</v>
      </c>
    </row>
    <row r="28" spans="2:32" x14ac:dyDescent="0.15">
      <c r="B28" s="105" t="s">
        <v>415</v>
      </c>
      <c r="C28" s="105" t="s">
        <v>118</v>
      </c>
      <c r="D28" s="4"/>
      <c r="E28" s="4"/>
      <c r="F28" s="128">
        <f>入力シート!$Y214</f>
        <v>3</v>
      </c>
      <c r="W28" s="117" t="str">
        <f t="shared" ca="1" si="0"/>
        <v>OK</v>
      </c>
      <c r="X28" t="str">
        <f t="shared" ref="X28:X32" ca="1" si="4">IF(Y28=0,IF(Z28&lt;&gt;0,OFFSET(AA28,0,Z28),$V$1),AA28)</f>
        <v>OK</v>
      </c>
      <c r="Y28">
        <f>IF(F28&lt;&gt;"",0,1)</f>
        <v>0</v>
      </c>
      <c r="AA28" t="str">
        <f>C28&amp;"を選択してください。"</f>
        <v>送付先住所を選択してください。</v>
      </c>
    </row>
    <row r="29" spans="2:32" x14ac:dyDescent="0.15">
      <c r="B29" s="105" t="s">
        <v>415</v>
      </c>
      <c r="C29" s="105" t="s">
        <v>24</v>
      </c>
      <c r="D29" s="4"/>
      <c r="E29" s="4"/>
      <c r="F29" s="128" t="str">
        <f>IF($F$28=1,F7,IF($F$28=2,G65,TRIM(CLEAN(ASC(入力シート!$F216)))))&amp;""</f>
        <v>999</v>
      </c>
      <c r="G29" s="128" t="str">
        <f>IF($F$28=1,G7,IF($F$28=2,H65,TRIM(CLEAN(ASC(入力シート!$H216)))))&amp;""</f>
        <v>8889</v>
      </c>
      <c r="W29" s="117" t="str">
        <f t="shared" ca="1" si="0"/>
        <v>OK</v>
      </c>
      <c r="X29" t="str">
        <f t="shared" ca="1" si="4"/>
        <v>OK</v>
      </c>
      <c r="Y29">
        <f>IF(AND(LEN(F29)=3,LEN(G29)=4)=TRUE,0,1)</f>
        <v>0</v>
      </c>
      <c r="Z29">
        <f>IFERROR(IF(0&lt;VALUE(F29),0,1),1)</f>
        <v>0</v>
      </c>
      <c r="AA29" t="str">
        <f>C29&amp;"を入力してください。"</f>
        <v>郵便番号を入力してください。</v>
      </c>
      <c r="AB29" t="str">
        <f>"正しい"&amp;C29&amp;"を入力してください。"</f>
        <v>正しい郵便番号を入力してください。</v>
      </c>
    </row>
    <row r="30" spans="2:32" x14ac:dyDescent="0.15">
      <c r="B30" s="105" t="s">
        <v>415</v>
      </c>
      <c r="C30" s="105" t="s">
        <v>26</v>
      </c>
      <c r="D30" s="4"/>
      <c r="E30" s="4"/>
      <c r="F30" s="128" t="str">
        <f>IF($F$28=1,F8,IF($F$28=2,G66,入力シート!$F218))</f>
        <v>神奈川県</v>
      </c>
      <c r="W30" s="117" t="str">
        <f t="shared" ca="1" si="0"/>
        <v>OK</v>
      </c>
      <c r="X30" t="str">
        <f t="shared" ca="1" si="4"/>
        <v>OK</v>
      </c>
      <c r="Y30">
        <f>IF(F30&lt;&gt;"",0,1)</f>
        <v>0</v>
      </c>
      <c r="AA30" t="str">
        <f>C30&amp;"を入力してください。"</f>
        <v>都道府県を入力してください。</v>
      </c>
    </row>
    <row r="31" spans="2:32" x14ac:dyDescent="0.15">
      <c r="B31" s="105" t="s">
        <v>415</v>
      </c>
      <c r="C31" s="105" t="s">
        <v>29</v>
      </c>
      <c r="D31" s="110" t="str">
        <f>DBCS(入力シート!$F220)</f>
        <v>ｄ００７ＵＵＵｓｏｕｈｕ</v>
      </c>
      <c r="E31" s="4"/>
      <c r="F31" s="128" t="str">
        <f>IF($F$28=1,F9,IF($F$28=2,G67,TRIM(CLEAN(D31))))&amp;""</f>
        <v>ｄ００７ＵＵＵｓｏｕｈｕ</v>
      </c>
      <c r="W31" s="117" t="str">
        <f t="shared" ca="1" si="0"/>
        <v>OK</v>
      </c>
      <c r="X31" t="str">
        <f t="shared" ca="1" si="4"/>
        <v>OK</v>
      </c>
      <c r="Y31">
        <f>IF(F31&lt;&gt;"",0,1)</f>
        <v>0</v>
      </c>
      <c r="AA31" t="str">
        <f>C31&amp;"を入力してください。"</f>
        <v>市区町村を入力してください。</v>
      </c>
    </row>
    <row r="32" spans="2:32" x14ac:dyDescent="0.15">
      <c r="B32" s="105" t="s">
        <v>415</v>
      </c>
      <c r="C32" s="105" t="s">
        <v>31</v>
      </c>
      <c r="D32" s="110" t="str">
        <f>DBCS(入力シート!$F222)</f>
        <v>ｄ００８ＵＵＵｓｏｕｈｕ</v>
      </c>
      <c r="E32" s="4"/>
      <c r="F32" s="128" t="str">
        <f>IF($F$28=1,F10,IF($F$28=2,G68,TRIM(CLEAN(D32))))&amp;""</f>
        <v>ｄ００８ＵＵＵｓｏｕｈｕ</v>
      </c>
      <c r="W32" s="117" t="str">
        <f t="shared" ca="1" si="0"/>
        <v>OK</v>
      </c>
      <c r="X32" t="str">
        <f t="shared" ca="1" si="4"/>
        <v>OK</v>
      </c>
      <c r="Y32">
        <f>IF(F32&lt;&gt;"",0,1)</f>
        <v>0</v>
      </c>
      <c r="AA32" t="str">
        <f>C32&amp;"を入力してください。"</f>
        <v>町名地番を入力してください。</v>
      </c>
    </row>
    <row r="33" spans="2:28" x14ac:dyDescent="0.15">
      <c r="B33" s="105" t="s">
        <v>415</v>
      </c>
      <c r="C33" s="105" t="s">
        <v>34</v>
      </c>
      <c r="D33" s="110" t="str">
        <f>DBCS(入力シート!$F224)</f>
        <v>ｄ００９ＵＵＵｓｏｕｈｕ</v>
      </c>
      <c r="E33" s="4"/>
      <c r="F33" s="128" t="str">
        <f>IF($F$28=1,F11,IF($F$28=2,G69,TRIM(CLEAN(D33))))&amp;""</f>
        <v>ｄ００９ＵＵＵｓｏｕｈｕ</v>
      </c>
      <c r="W33" s="117"/>
    </row>
    <row r="34" spans="2:28" x14ac:dyDescent="0.15">
      <c r="B34" s="105" t="s">
        <v>415</v>
      </c>
      <c r="C34" s="105" t="s">
        <v>129</v>
      </c>
      <c r="D34" s="110" t="str">
        <f>DBCS(入力シート!$F226)</f>
        <v>ｄ０１０ＵＵＵｓｏｕｈｕ</v>
      </c>
      <c r="E34" s="4" t="str">
        <f>SUBSTITUTE(SUBSTITUTE(SUBSTITUTE(SUBSTITUTE(D34,"　株式会社","株式会社"),"会社　","会社"),"　有限会社","有限会社"),"　合同会社","合同会社")</f>
        <v>ｄ０１０ＵＵＵｓｏｕｈｕ</v>
      </c>
      <c r="F34" s="128" t="str">
        <f>IF($F$28=1,F12,IF($F$28=2,G64,TRIM(CLEAN(D34))))&amp;""</f>
        <v>ｄ０１０ＵＵＵｓｏｕｈｕ</v>
      </c>
      <c r="W34" s="117"/>
    </row>
    <row r="35" spans="2:28" x14ac:dyDescent="0.15">
      <c r="B35" s="105" t="s">
        <v>415</v>
      </c>
      <c r="C35" s="105" t="s">
        <v>131</v>
      </c>
      <c r="D35" s="4"/>
      <c r="E35" s="4"/>
      <c r="F35" s="128">
        <f>入力シート!$Y229</f>
        <v>3</v>
      </c>
      <c r="W35" s="117" t="str">
        <f t="shared" ca="1" si="0"/>
        <v>OK</v>
      </c>
      <c r="X35" t="str">
        <f ca="1">IF(Y35=0,IF(Z35&lt;&gt;0,OFFSET(AA35,0,Z35),$V$1),AA35)</f>
        <v>OK</v>
      </c>
      <c r="Y35">
        <f>IF(F35&lt;&gt;"",0,1)</f>
        <v>0</v>
      </c>
      <c r="AA35" t="str">
        <f>C35&amp;"を選択してください。"</f>
        <v>送付先宛名を選択してください。</v>
      </c>
    </row>
    <row r="36" spans="2:28" x14ac:dyDescent="0.15">
      <c r="B36" s="105" t="s">
        <v>415</v>
      </c>
      <c r="C36" s="105" t="s">
        <v>103</v>
      </c>
      <c r="D36" s="4"/>
      <c r="E36" s="4"/>
      <c r="F36" s="128" t="str">
        <f>IF($F$35=1,"",IF($F$35=2,F21,入力シート!$F231))&amp;""</f>
        <v>送付先部署</v>
      </c>
      <c r="W36" s="117"/>
    </row>
    <row r="37" spans="2:28" x14ac:dyDescent="0.15">
      <c r="B37" s="105" t="s">
        <v>415</v>
      </c>
      <c r="C37" s="105" t="s">
        <v>38</v>
      </c>
      <c r="D37" s="4"/>
      <c r="E37" s="4"/>
      <c r="F37" s="128" t="str">
        <f>IF($F$35=1,F13,IF($F$35=2,F22,入力シート!$F233))&amp;""</f>
        <v>送付先役職</v>
      </c>
      <c r="W37" s="117"/>
    </row>
    <row r="38" spans="2:28" x14ac:dyDescent="0.15">
      <c r="B38" s="105" t="s">
        <v>415</v>
      </c>
      <c r="C38" s="105" t="s">
        <v>40</v>
      </c>
      <c r="D38" s="4"/>
      <c r="E38" s="4"/>
      <c r="F38" s="128" t="str">
        <f>IF($F$35=1,F14,IF($F$35=2,F23,入力シート!$F235))&amp;""</f>
        <v>送付先姓</v>
      </c>
      <c r="W38" s="117" t="str">
        <f t="shared" ca="1" si="0"/>
        <v>OK</v>
      </c>
      <c r="X38" t="str">
        <f ca="1">IF(Y38=0,IF(Z38&lt;&gt;0,OFFSET(AA38,0,Z38),$V$1),AA38)</f>
        <v>OK</v>
      </c>
      <c r="Y38">
        <f>IF(F38&lt;&gt;"",0,1)</f>
        <v>0</v>
      </c>
      <c r="AA38" t="str">
        <f>"送付先宛名の"&amp;C38&amp;"を入力してください。"</f>
        <v>送付先宛名の姓を入力してください。</v>
      </c>
    </row>
    <row r="39" spans="2:28" x14ac:dyDescent="0.15">
      <c r="B39" s="105" t="s">
        <v>415</v>
      </c>
      <c r="C39" s="105" t="s">
        <v>41</v>
      </c>
      <c r="D39" s="4"/>
      <c r="E39" s="4"/>
      <c r="F39" s="128" t="str">
        <f>IF($F$35=1,F15,IF($F$35=2,F24,入力シート!$F237))&amp;""</f>
        <v>送付先名</v>
      </c>
      <c r="W39" s="117" t="str">
        <f t="shared" ca="1" si="0"/>
        <v>OK</v>
      </c>
      <c r="X39" t="str">
        <f ca="1">IF(Y39=0,IF(Z39&lt;&gt;0,OFFSET(AA39,0,Z39),$V$1),AA39)</f>
        <v>OK</v>
      </c>
      <c r="Y39">
        <f>IF(F39&lt;&gt;"",0,1)</f>
        <v>0</v>
      </c>
      <c r="AA39" t="str">
        <f>"送付先宛名の"&amp;C39&amp;"を入力してください。"</f>
        <v>送付先宛名の名を入力してください。</v>
      </c>
    </row>
    <row r="40" spans="2:28" x14ac:dyDescent="0.15">
      <c r="W40" s="117"/>
    </row>
    <row r="41" spans="2:28" x14ac:dyDescent="0.15">
      <c r="B41" s="5" t="s">
        <v>416</v>
      </c>
      <c r="C41" s="5" t="s">
        <v>140</v>
      </c>
      <c r="D41" s="12">
        <f>IF(F3=2,1,入力シート!$F245)</f>
        <v>0</v>
      </c>
      <c r="W41" s="117" t="str">
        <f t="shared" ca="1" si="0"/>
        <v>NG</v>
      </c>
      <c r="X41" t="str">
        <f ca="1">IF(Y41=0,IF(Z41&lt;&gt;0,OFFSET(AA41,0,Z41),$V$1),AA41)</f>
        <v>役員の人数を選択してください。</v>
      </c>
      <c r="Y41">
        <f>IF(D41&lt;&gt;0,0,1)</f>
        <v>1</v>
      </c>
      <c r="AA41" t="str">
        <f>C41&amp;"を選択してください。"</f>
        <v>役員の人数を選択してください。</v>
      </c>
    </row>
    <row r="42" spans="2:28" x14ac:dyDescent="0.15">
      <c r="B42" s="5" t="s">
        <v>416</v>
      </c>
      <c r="C42" s="5" t="s">
        <v>417</v>
      </c>
      <c r="D42" s="5" t="s">
        <v>418</v>
      </c>
      <c r="E42" s="5" t="str">
        <f>入力シート!$D250</f>
        <v>役職</v>
      </c>
      <c r="F42" s="5" t="str">
        <f>入力シート!$F250</f>
        <v>姓</v>
      </c>
      <c r="G42" s="5" t="str">
        <f>入力シート!$H250</f>
        <v>名</v>
      </c>
      <c r="H42" s="5" t="str">
        <f>入力シート!$J250</f>
        <v>セイ（全角）</v>
      </c>
      <c r="I42" s="5" t="str">
        <f>入力シート!$L250</f>
        <v>メイ（全角）</v>
      </c>
      <c r="J42" s="5" t="str">
        <f>入力シート!$N250</f>
        <v>生年月日</v>
      </c>
      <c r="K42" s="5" t="str">
        <f>入力シート!$P250</f>
        <v>性別</v>
      </c>
      <c r="W42" s="117"/>
    </row>
    <row r="43" spans="2:28" x14ac:dyDescent="0.15">
      <c r="B43" s="5" t="s">
        <v>416</v>
      </c>
      <c r="C43" s="5">
        <v>1</v>
      </c>
      <c r="D43">
        <v>1</v>
      </c>
      <c r="E43" s="10" t="str">
        <f>入力シート!$D252</f>
        <v/>
      </c>
      <c r="F43" s="10" t="str">
        <f>入力シート!$F252</f>
        <v/>
      </c>
      <c r="G43" s="10" t="str">
        <f>入力シート!$H252</f>
        <v/>
      </c>
      <c r="H43" s="10" t="str">
        <f>入力シート!$J252</f>
        <v/>
      </c>
      <c r="I43" s="10" t="str">
        <f>入力シート!$L252</f>
        <v/>
      </c>
      <c r="J43" s="37" t="str">
        <f>入力シート!$N252</f>
        <v/>
      </c>
      <c r="K43" s="10" t="str">
        <f>入力シート!$P252</f>
        <v/>
      </c>
      <c r="W43" s="117" t="str">
        <f t="shared" ca="1" si="0"/>
        <v>NG</v>
      </c>
      <c r="X43" t="str">
        <f ca="1">IF(Y43=0,IF(Z43&lt;&gt;0,OFFSET(AA43,0,Z43),$V$1),AA43)</f>
        <v>3.代表者情報を入力すると自動で表示されます。</v>
      </c>
      <c r="Y43">
        <f>IF(F3=1,COUNTIF(Y13:Y19,1),COUNTIF(Y14:Y19,1))</f>
        <v>6</v>
      </c>
      <c r="AA43" t="s">
        <v>419</v>
      </c>
    </row>
    <row r="44" spans="2:28" x14ac:dyDescent="0.15">
      <c r="B44" s="5" t="s">
        <v>416</v>
      </c>
      <c r="C44" s="5">
        <v>2</v>
      </c>
      <c r="D44" s="4">
        <f t="shared" ref="D44:D57" si="5">IF(C44&lt;=$D$41,1,0)</f>
        <v>0</v>
      </c>
      <c r="E44" s="10" t="str">
        <f>IF($D44=0,"",入力シート!$D254)&amp;""</f>
        <v/>
      </c>
      <c r="F44" s="10" t="str">
        <f>IF($D44=0,"",入力シート!$F254)&amp;""</f>
        <v/>
      </c>
      <c r="G44" s="10" t="str">
        <f>IF($D44=0,"",入力シート!$H254)&amp;""</f>
        <v/>
      </c>
      <c r="H44" s="10" t="str">
        <f>IF($D44=0,"",入力シート!$J254)&amp;""</f>
        <v/>
      </c>
      <c r="I44" s="10" t="str">
        <f>IF($D44=0,"",入力シート!$L254)&amp;""</f>
        <v/>
      </c>
      <c r="J44" s="37">
        <f>IF($D44=0,0,入力シート!$N254)</f>
        <v>0</v>
      </c>
      <c r="K44" s="10" t="str">
        <f>IF($D44=0,"",入力シート!$P254)&amp;""</f>
        <v/>
      </c>
      <c r="W44" s="117" t="str">
        <f t="shared" ref="W44:W57" ca="1" si="6">IF(OR(X44="OK",X44=""),X44,"NG")</f>
        <v/>
      </c>
      <c r="X44" t="str">
        <f ca="1">IF(D44=1,IF(Y44=0,IF(Z44&lt;&gt;0,OFFSET(AA44,0,Z44),$V$1),AA44),"")</f>
        <v/>
      </c>
      <c r="Y44">
        <f>IF(AND(COUNTIF(E44:K44,"")=0,0&lt;J44),0,1)</f>
        <v>1</v>
      </c>
      <c r="Z44">
        <f>IFERROR(IF(AND(VALUE(J44)&lt;=$U$18,$U$17&lt;=VALUE(J44)),0,1),1)</f>
        <v>1</v>
      </c>
      <c r="AA44" t="s">
        <v>420</v>
      </c>
      <c r="AB44" t="s">
        <v>408</v>
      </c>
    </row>
    <row r="45" spans="2:28" x14ac:dyDescent="0.15">
      <c r="B45" s="5" t="s">
        <v>416</v>
      </c>
      <c r="C45" s="5">
        <v>3</v>
      </c>
      <c r="D45" s="4">
        <f t="shared" si="5"/>
        <v>0</v>
      </c>
      <c r="E45" s="10" t="str">
        <f>IF($D45=0,"",入力シート!$D256)&amp;""</f>
        <v/>
      </c>
      <c r="F45" s="10" t="str">
        <f>IF($D45=0,"",入力シート!$F256)&amp;""</f>
        <v/>
      </c>
      <c r="G45" s="10" t="str">
        <f>IF($D45=0,"",入力シート!$H256)&amp;""</f>
        <v/>
      </c>
      <c r="H45" s="10" t="str">
        <f>IF($D45=0,"",入力シート!$J256)&amp;""</f>
        <v/>
      </c>
      <c r="I45" s="10" t="str">
        <f>IF($D45=0,"",入力シート!$L256)&amp;""</f>
        <v/>
      </c>
      <c r="J45" s="37">
        <f>IF($D45=0,0,入力シート!$N256)</f>
        <v>0</v>
      </c>
      <c r="K45" s="10" t="str">
        <f>IF($D45=0,"",入力シート!$P256)&amp;""</f>
        <v/>
      </c>
      <c r="W45" s="117" t="str">
        <f t="shared" ca="1" si="6"/>
        <v/>
      </c>
      <c r="X45" t="str">
        <f t="shared" ref="X45:X57" ca="1" si="7">IF(D45=1,IF(Y45=0,IF(Z45&lt;&gt;0,OFFSET(AA45,0,Z45),$V$1),AA45),"")</f>
        <v/>
      </c>
      <c r="Y45">
        <f t="shared" ref="Y45:Y57" si="8">IF(AND(COUNTIF(E45:K45,"")=0,0&lt;J45),0,1)</f>
        <v>1</v>
      </c>
      <c r="Z45">
        <f t="shared" ref="Z45:Z57" si="9">IFERROR(IF(AND(VALUE(J45)&lt;=$U$18,$U$17&lt;=VALUE(J45)),0,1),1)</f>
        <v>1</v>
      </c>
      <c r="AA45" t="s">
        <v>420</v>
      </c>
      <c r="AB45" t="s">
        <v>408</v>
      </c>
    </row>
    <row r="46" spans="2:28" x14ac:dyDescent="0.15">
      <c r="B46" s="5" t="s">
        <v>416</v>
      </c>
      <c r="C46" s="5">
        <v>4</v>
      </c>
      <c r="D46" s="4">
        <f t="shared" si="5"/>
        <v>0</v>
      </c>
      <c r="E46" s="10" t="str">
        <f>IF($D46=0,"",入力シート!$D258)&amp;""</f>
        <v/>
      </c>
      <c r="F46" s="10" t="str">
        <f>IF($D46=0,"",入力シート!$F258)&amp;""</f>
        <v/>
      </c>
      <c r="G46" s="10" t="str">
        <f>IF($D46=0,"",入力シート!$H258)&amp;""</f>
        <v/>
      </c>
      <c r="H46" s="10" t="str">
        <f>IF($D46=0,"",入力シート!$J258)&amp;""</f>
        <v/>
      </c>
      <c r="I46" s="10" t="str">
        <f>IF($D46=0,"",入力シート!$L258)&amp;""</f>
        <v/>
      </c>
      <c r="J46" s="37">
        <f>IF($D46=0,0,入力シート!$N258)</f>
        <v>0</v>
      </c>
      <c r="K46" s="10" t="str">
        <f>IF($D46=0,"",入力シート!$P258)&amp;""</f>
        <v/>
      </c>
      <c r="W46" s="117" t="str">
        <f t="shared" ca="1" si="6"/>
        <v/>
      </c>
      <c r="X46" t="str">
        <f t="shared" ca="1" si="7"/>
        <v/>
      </c>
      <c r="Y46">
        <f t="shared" si="8"/>
        <v>1</v>
      </c>
      <c r="Z46">
        <f t="shared" si="9"/>
        <v>1</v>
      </c>
      <c r="AA46" t="s">
        <v>420</v>
      </c>
      <c r="AB46" t="s">
        <v>408</v>
      </c>
    </row>
    <row r="47" spans="2:28" x14ac:dyDescent="0.15">
      <c r="B47" s="5" t="s">
        <v>416</v>
      </c>
      <c r="C47" s="5">
        <v>5</v>
      </c>
      <c r="D47" s="4">
        <f t="shared" si="5"/>
        <v>0</v>
      </c>
      <c r="E47" s="10" t="str">
        <f>IF($D47=0,"",入力シート!$D260)&amp;""</f>
        <v/>
      </c>
      <c r="F47" s="10" t="str">
        <f>IF($D47=0,"",入力シート!$F260)&amp;""</f>
        <v/>
      </c>
      <c r="G47" s="10" t="str">
        <f>IF($D47=0,"",入力シート!$H260)&amp;""</f>
        <v/>
      </c>
      <c r="H47" s="10" t="str">
        <f>IF($D47=0,"",入力シート!$J260)&amp;""</f>
        <v/>
      </c>
      <c r="I47" s="10" t="str">
        <f>IF($D47=0,"",入力シート!$L260)&amp;""</f>
        <v/>
      </c>
      <c r="J47" s="37">
        <f>IF($D47=0,0,入力シート!$N260)</f>
        <v>0</v>
      </c>
      <c r="K47" s="10" t="str">
        <f>IF($D47=0,"",入力シート!$P260)&amp;""</f>
        <v/>
      </c>
      <c r="W47" s="117" t="str">
        <f t="shared" ca="1" si="6"/>
        <v/>
      </c>
      <c r="X47" t="str">
        <f t="shared" ca="1" si="7"/>
        <v/>
      </c>
      <c r="Y47">
        <f t="shared" si="8"/>
        <v>1</v>
      </c>
      <c r="Z47">
        <f t="shared" si="9"/>
        <v>1</v>
      </c>
      <c r="AA47" t="s">
        <v>420</v>
      </c>
      <c r="AB47" t="s">
        <v>408</v>
      </c>
    </row>
    <row r="48" spans="2:28" x14ac:dyDescent="0.15">
      <c r="B48" s="5" t="s">
        <v>416</v>
      </c>
      <c r="C48" s="5">
        <v>6</v>
      </c>
      <c r="D48" s="4">
        <f t="shared" si="5"/>
        <v>0</v>
      </c>
      <c r="E48" s="10" t="str">
        <f>IF($D48=0,"",入力シート!$D262)&amp;""</f>
        <v/>
      </c>
      <c r="F48" s="10" t="str">
        <f>IF($D48=0,"",入力シート!$F262)&amp;""</f>
        <v/>
      </c>
      <c r="G48" s="10" t="str">
        <f>IF($D48=0,"",入力シート!$H262)&amp;""</f>
        <v/>
      </c>
      <c r="H48" s="10" t="str">
        <f>IF($D48=0,"",入力シート!$J262)&amp;""</f>
        <v/>
      </c>
      <c r="I48" s="10" t="str">
        <f>IF($D48=0,"",入力シート!$L262)&amp;""</f>
        <v/>
      </c>
      <c r="J48" s="37">
        <f>IF($D48=0,0,入力シート!$N262)</f>
        <v>0</v>
      </c>
      <c r="K48" s="10" t="str">
        <f>IF($D48=0,"",入力シート!$P262)&amp;""</f>
        <v/>
      </c>
      <c r="W48" s="117" t="str">
        <f t="shared" ca="1" si="6"/>
        <v/>
      </c>
      <c r="X48" t="str">
        <f t="shared" ca="1" si="7"/>
        <v/>
      </c>
      <c r="Y48">
        <f t="shared" si="8"/>
        <v>1</v>
      </c>
      <c r="Z48">
        <f t="shared" si="9"/>
        <v>1</v>
      </c>
      <c r="AA48" t="s">
        <v>420</v>
      </c>
      <c r="AB48" t="s">
        <v>408</v>
      </c>
    </row>
    <row r="49" spans="2:28" x14ac:dyDescent="0.15">
      <c r="B49" s="5" t="s">
        <v>416</v>
      </c>
      <c r="C49" s="5">
        <v>7</v>
      </c>
      <c r="D49" s="4">
        <f>IF(C49&lt;=$D$41,1,0)</f>
        <v>0</v>
      </c>
      <c r="E49" s="10" t="str">
        <f>IF($D49=0,"",入力シート!$D264)&amp;""</f>
        <v/>
      </c>
      <c r="F49" s="10" t="str">
        <f>IF($D49=0,"",入力シート!$F264)&amp;""</f>
        <v/>
      </c>
      <c r="G49" s="10" t="str">
        <f>IF($D49=0,"",入力シート!$H264)&amp;""</f>
        <v/>
      </c>
      <c r="H49" s="10" t="str">
        <f>IF($D49=0,"",入力シート!$J264)&amp;""</f>
        <v/>
      </c>
      <c r="I49" s="10" t="str">
        <f>IF($D49=0,"",入力シート!$L264)&amp;""</f>
        <v/>
      </c>
      <c r="J49" s="37">
        <f>IF($D49=0,0,入力シート!$N264)</f>
        <v>0</v>
      </c>
      <c r="K49" s="10" t="str">
        <f>IF($D49=0,"",入力シート!$P264)&amp;""</f>
        <v/>
      </c>
      <c r="W49" s="117" t="str">
        <f t="shared" ca="1" si="6"/>
        <v/>
      </c>
      <c r="X49" t="str">
        <f t="shared" ca="1" si="7"/>
        <v/>
      </c>
      <c r="Y49">
        <f t="shared" si="8"/>
        <v>1</v>
      </c>
      <c r="Z49">
        <f t="shared" si="9"/>
        <v>1</v>
      </c>
      <c r="AA49" t="s">
        <v>420</v>
      </c>
      <c r="AB49" t="s">
        <v>408</v>
      </c>
    </row>
    <row r="50" spans="2:28" x14ac:dyDescent="0.15">
      <c r="B50" s="5" t="s">
        <v>416</v>
      </c>
      <c r="C50" s="5">
        <v>8</v>
      </c>
      <c r="D50" s="4">
        <f t="shared" si="5"/>
        <v>0</v>
      </c>
      <c r="E50" s="10" t="str">
        <f>IF($D50=0,"",入力シート!$D266)&amp;""</f>
        <v/>
      </c>
      <c r="F50" s="10" t="str">
        <f>IF($D50=0,"",入力シート!$F266)&amp;""</f>
        <v/>
      </c>
      <c r="G50" s="10" t="str">
        <f>IF($D50=0,"",入力シート!$H266)&amp;""</f>
        <v/>
      </c>
      <c r="H50" s="10" t="str">
        <f>IF($D50=0,"",入力シート!$J266)&amp;""</f>
        <v/>
      </c>
      <c r="I50" s="10" t="str">
        <f>IF($D50=0,"",入力シート!$L266)&amp;""</f>
        <v/>
      </c>
      <c r="J50" s="37">
        <f>IF($D50=0,0,入力シート!$N266)</f>
        <v>0</v>
      </c>
      <c r="K50" s="10" t="str">
        <f>IF($D50=0,"",入力シート!$P266)&amp;""</f>
        <v/>
      </c>
      <c r="W50" s="117" t="str">
        <f t="shared" ca="1" si="6"/>
        <v/>
      </c>
      <c r="X50" t="str">
        <f t="shared" ca="1" si="7"/>
        <v/>
      </c>
      <c r="Y50">
        <f t="shared" si="8"/>
        <v>1</v>
      </c>
      <c r="Z50">
        <f t="shared" si="9"/>
        <v>1</v>
      </c>
      <c r="AA50" t="s">
        <v>420</v>
      </c>
      <c r="AB50" t="s">
        <v>408</v>
      </c>
    </row>
    <row r="51" spans="2:28" x14ac:dyDescent="0.15">
      <c r="B51" s="5" t="s">
        <v>416</v>
      </c>
      <c r="C51" s="5">
        <v>9</v>
      </c>
      <c r="D51" s="4">
        <f t="shared" si="5"/>
        <v>0</v>
      </c>
      <c r="E51" s="10" t="str">
        <f>IF($D51=0,"",入力シート!$D268)&amp;""</f>
        <v/>
      </c>
      <c r="F51" s="10" t="str">
        <f>IF($D51=0,"",入力シート!$F268)&amp;""</f>
        <v/>
      </c>
      <c r="G51" s="10" t="str">
        <f>IF($D51=0,"",入力シート!$H268)&amp;""</f>
        <v/>
      </c>
      <c r="H51" s="10" t="str">
        <f>IF($D51=0,"",入力シート!$J268)&amp;""</f>
        <v/>
      </c>
      <c r="I51" s="10" t="str">
        <f>IF($D51=0,"",入力シート!$L268)&amp;""</f>
        <v/>
      </c>
      <c r="J51" s="37">
        <f>IF($D51=0,0,入力シート!$N268)</f>
        <v>0</v>
      </c>
      <c r="K51" s="10" t="str">
        <f>IF($D51=0,"",入力シート!$P268)&amp;""</f>
        <v/>
      </c>
      <c r="W51" s="117" t="str">
        <f t="shared" ca="1" si="6"/>
        <v/>
      </c>
      <c r="X51" t="str">
        <f t="shared" ca="1" si="7"/>
        <v/>
      </c>
      <c r="Y51">
        <f t="shared" si="8"/>
        <v>1</v>
      </c>
      <c r="Z51">
        <f t="shared" si="9"/>
        <v>1</v>
      </c>
      <c r="AA51" t="s">
        <v>420</v>
      </c>
      <c r="AB51" t="s">
        <v>408</v>
      </c>
    </row>
    <row r="52" spans="2:28" x14ac:dyDescent="0.15">
      <c r="B52" s="5" t="s">
        <v>416</v>
      </c>
      <c r="C52" s="5">
        <v>10</v>
      </c>
      <c r="D52" s="4">
        <f t="shared" si="5"/>
        <v>0</v>
      </c>
      <c r="E52" s="10" t="str">
        <f>IF($D52=0,"",入力シート!$D270)&amp;""</f>
        <v/>
      </c>
      <c r="F52" s="10" t="str">
        <f>IF($D52=0,"",入力シート!$F270)&amp;""</f>
        <v/>
      </c>
      <c r="G52" s="10" t="str">
        <f>IF($D52=0,"",入力シート!$H270)&amp;""</f>
        <v/>
      </c>
      <c r="H52" s="10" t="str">
        <f>IF($D52=0,"",入力シート!$J270)&amp;""</f>
        <v/>
      </c>
      <c r="I52" s="10" t="str">
        <f>IF($D52=0,"",入力シート!$L270)&amp;""</f>
        <v/>
      </c>
      <c r="J52" s="37">
        <f>IF($D52=0,0,入力シート!$N270)</f>
        <v>0</v>
      </c>
      <c r="K52" s="10" t="str">
        <f>IF($D52=0,"",入力シート!$P270)&amp;""</f>
        <v/>
      </c>
      <c r="W52" s="117" t="str">
        <f t="shared" ca="1" si="6"/>
        <v/>
      </c>
      <c r="X52" t="str">
        <f t="shared" ca="1" si="7"/>
        <v/>
      </c>
      <c r="Y52">
        <f t="shared" si="8"/>
        <v>1</v>
      </c>
      <c r="Z52">
        <f t="shared" si="9"/>
        <v>1</v>
      </c>
      <c r="AA52" t="s">
        <v>420</v>
      </c>
      <c r="AB52" t="s">
        <v>408</v>
      </c>
    </row>
    <row r="53" spans="2:28" x14ac:dyDescent="0.15">
      <c r="B53" s="5" t="s">
        <v>416</v>
      </c>
      <c r="C53" s="5">
        <v>11</v>
      </c>
      <c r="D53" s="4">
        <f t="shared" si="5"/>
        <v>0</v>
      </c>
      <c r="E53" s="10" t="str">
        <f>IF($D53=0,"",入力シート!$D272)&amp;""</f>
        <v/>
      </c>
      <c r="F53" s="10" t="str">
        <f>IF($D53=0,"",入力シート!$F272)&amp;""</f>
        <v/>
      </c>
      <c r="G53" s="10" t="str">
        <f>IF($D53=0,"",入力シート!$H272)&amp;""</f>
        <v/>
      </c>
      <c r="H53" s="10" t="str">
        <f>IF($D53=0,"",入力シート!$J272)&amp;""</f>
        <v/>
      </c>
      <c r="I53" s="10" t="str">
        <f>IF($D53=0,"",入力シート!$L272)&amp;""</f>
        <v/>
      </c>
      <c r="J53" s="37">
        <f>IF($D53=0,0,入力シート!$N272)</f>
        <v>0</v>
      </c>
      <c r="K53" s="10" t="str">
        <f>IF($D53=0,"",入力シート!$P272)&amp;""</f>
        <v/>
      </c>
      <c r="W53" s="117" t="str">
        <f t="shared" ca="1" si="6"/>
        <v/>
      </c>
      <c r="X53" t="str">
        <f t="shared" ca="1" si="7"/>
        <v/>
      </c>
      <c r="Y53">
        <f t="shared" si="8"/>
        <v>1</v>
      </c>
      <c r="Z53">
        <f t="shared" si="9"/>
        <v>1</v>
      </c>
      <c r="AA53" t="s">
        <v>420</v>
      </c>
      <c r="AB53" t="s">
        <v>408</v>
      </c>
    </row>
    <row r="54" spans="2:28" x14ac:dyDescent="0.15">
      <c r="B54" s="5" t="s">
        <v>416</v>
      </c>
      <c r="C54" s="5">
        <v>12</v>
      </c>
      <c r="D54" s="4">
        <f t="shared" si="5"/>
        <v>0</v>
      </c>
      <c r="E54" s="10" t="str">
        <f>IF($D54=0,"",入力シート!$D274)&amp;""</f>
        <v/>
      </c>
      <c r="F54" s="10" t="str">
        <f>IF($D54=0,"",入力シート!$F274)&amp;""</f>
        <v/>
      </c>
      <c r="G54" s="10" t="str">
        <f>IF($D54=0,"",入力シート!$H274)&amp;""</f>
        <v/>
      </c>
      <c r="H54" s="10" t="str">
        <f>IF($D54=0,"",入力シート!$J274)&amp;""</f>
        <v/>
      </c>
      <c r="I54" s="10" t="str">
        <f>IF($D54=0,"",入力シート!$L274)&amp;""</f>
        <v/>
      </c>
      <c r="J54" s="37">
        <f>IF($D54=0,0,入力シート!$N274)</f>
        <v>0</v>
      </c>
      <c r="K54" s="10" t="str">
        <f>IF($D54=0,"",入力シート!$P274)&amp;""</f>
        <v/>
      </c>
      <c r="W54" s="117" t="str">
        <f t="shared" ca="1" si="6"/>
        <v/>
      </c>
      <c r="X54" t="str">
        <f t="shared" ca="1" si="7"/>
        <v/>
      </c>
      <c r="Y54">
        <f t="shared" si="8"/>
        <v>1</v>
      </c>
      <c r="Z54">
        <f t="shared" si="9"/>
        <v>1</v>
      </c>
      <c r="AA54" t="s">
        <v>420</v>
      </c>
      <c r="AB54" t="s">
        <v>408</v>
      </c>
    </row>
    <row r="55" spans="2:28" x14ac:dyDescent="0.15">
      <c r="B55" s="5" t="s">
        <v>416</v>
      </c>
      <c r="C55" s="5">
        <v>13</v>
      </c>
      <c r="D55" s="4">
        <f t="shared" si="5"/>
        <v>0</v>
      </c>
      <c r="E55" s="10" t="str">
        <f>IF($D55=0,"",入力シート!$D276)&amp;""</f>
        <v/>
      </c>
      <c r="F55" s="10" t="str">
        <f>IF($D55=0,"",入力シート!$F276)&amp;""</f>
        <v/>
      </c>
      <c r="G55" s="10" t="str">
        <f>IF($D55=0,"",入力シート!$H276)&amp;""</f>
        <v/>
      </c>
      <c r="H55" s="10" t="str">
        <f>IF($D55=0,"",入力シート!$J276)&amp;""</f>
        <v/>
      </c>
      <c r="I55" s="10" t="str">
        <f>IF($D55=0,"",入力シート!$L276)&amp;""</f>
        <v/>
      </c>
      <c r="J55" s="37">
        <f>IF($D55=0,0,入力シート!$N276)</f>
        <v>0</v>
      </c>
      <c r="K55" s="10" t="str">
        <f>IF($D55=0,"",入力シート!$P276)&amp;""</f>
        <v/>
      </c>
      <c r="W55" s="117" t="str">
        <f t="shared" ca="1" si="6"/>
        <v/>
      </c>
      <c r="X55" t="str">
        <f t="shared" ca="1" si="7"/>
        <v/>
      </c>
      <c r="Y55">
        <f t="shared" si="8"/>
        <v>1</v>
      </c>
      <c r="Z55">
        <f t="shared" si="9"/>
        <v>1</v>
      </c>
      <c r="AA55" t="s">
        <v>420</v>
      </c>
      <c r="AB55" t="s">
        <v>408</v>
      </c>
    </row>
    <row r="56" spans="2:28" x14ac:dyDescent="0.15">
      <c r="B56" s="5" t="s">
        <v>416</v>
      </c>
      <c r="C56" s="5">
        <v>14</v>
      </c>
      <c r="D56" s="4">
        <f t="shared" si="5"/>
        <v>0</v>
      </c>
      <c r="E56" s="10" t="str">
        <f>IF($D56=0,"",入力シート!$D278)&amp;""</f>
        <v/>
      </c>
      <c r="F56" s="10" t="str">
        <f>IF($D56=0,"",入力シート!$F278)&amp;""</f>
        <v/>
      </c>
      <c r="G56" s="10" t="str">
        <f>IF($D56=0,"",入力シート!$H278)&amp;""</f>
        <v/>
      </c>
      <c r="H56" s="10" t="str">
        <f>IF($D56=0,"",入力シート!$J278)&amp;""</f>
        <v/>
      </c>
      <c r="I56" s="10" t="str">
        <f>IF($D56=0,"",入力シート!$L278)&amp;""</f>
        <v/>
      </c>
      <c r="J56" s="37">
        <f>IF($D56=0,0,入力シート!$N278)</f>
        <v>0</v>
      </c>
      <c r="K56" s="10" t="str">
        <f>IF($D56=0,"",入力シート!$P278)&amp;""</f>
        <v/>
      </c>
      <c r="W56" s="117" t="str">
        <f t="shared" ca="1" si="6"/>
        <v/>
      </c>
      <c r="X56" t="str">
        <f t="shared" ca="1" si="7"/>
        <v/>
      </c>
      <c r="Y56">
        <f t="shared" si="8"/>
        <v>1</v>
      </c>
      <c r="Z56">
        <f t="shared" si="9"/>
        <v>1</v>
      </c>
      <c r="AA56" t="s">
        <v>420</v>
      </c>
      <c r="AB56" t="s">
        <v>408</v>
      </c>
    </row>
    <row r="57" spans="2:28" x14ac:dyDescent="0.15">
      <c r="B57" s="5" t="s">
        <v>416</v>
      </c>
      <c r="C57" s="5">
        <v>15</v>
      </c>
      <c r="D57" s="4">
        <f t="shared" si="5"/>
        <v>0</v>
      </c>
      <c r="E57" s="10" t="str">
        <f>IF($D57=0,"",入力シート!$D280)&amp;""</f>
        <v/>
      </c>
      <c r="F57" s="10" t="str">
        <f>IF($D57=0,"",入力シート!$F280)&amp;""</f>
        <v/>
      </c>
      <c r="G57" s="10" t="str">
        <f>IF($D57=0,"",入力シート!$H280)&amp;""</f>
        <v/>
      </c>
      <c r="H57" s="10" t="str">
        <f>IF($D57=0,"",入力シート!$J280)&amp;""</f>
        <v/>
      </c>
      <c r="I57" s="10" t="str">
        <f>IF($D57=0,"",入力シート!$L280)&amp;""</f>
        <v/>
      </c>
      <c r="J57" s="37">
        <f>IF($D57=0,0,入力シート!$N280)</f>
        <v>0</v>
      </c>
      <c r="K57" s="10" t="str">
        <f>IF($D57=0,"",入力シート!$P280)&amp;""</f>
        <v/>
      </c>
      <c r="W57" s="117" t="str">
        <f t="shared" ca="1" si="6"/>
        <v/>
      </c>
      <c r="X57" t="str">
        <f t="shared" ca="1" si="7"/>
        <v/>
      </c>
      <c r="Y57">
        <f t="shared" si="8"/>
        <v>1</v>
      </c>
      <c r="Z57">
        <f t="shared" si="9"/>
        <v>1</v>
      </c>
      <c r="AA57" t="s">
        <v>420</v>
      </c>
      <c r="AB57" t="s">
        <v>408</v>
      </c>
    </row>
    <row r="58" spans="2:28" x14ac:dyDescent="0.15">
      <c r="H58" s="115"/>
      <c r="I58" s="115"/>
      <c r="J58" s="116"/>
      <c r="K58" s="115"/>
      <c r="W58" s="117"/>
    </row>
    <row r="59" spans="2:28" ht="27" x14ac:dyDescent="0.15">
      <c r="B59" s="5" t="s">
        <v>421</v>
      </c>
      <c r="C59" s="5" t="s">
        <v>380</v>
      </c>
      <c r="D59" s="9" t="s">
        <v>422</v>
      </c>
      <c r="E59" s="5" t="s">
        <v>381</v>
      </c>
      <c r="F59" s="5" t="s">
        <v>382</v>
      </c>
      <c r="G59" s="5" t="s">
        <v>383</v>
      </c>
      <c r="I59" s="115"/>
      <c r="J59" s="116"/>
      <c r="K59" s="115"/>
      <c r="W59" s="117"/>
      <c r="X59" s="11" t="s">
        <v>384</v>
      </c>
      <c r="Y59" s="127" t="s">
        <v>376</v>
      </c>
      <c r="Z59" s="76" t="s">
        <v>377</v>
      </c>
    </row>
    <row r="60" spans="2:28" x14ac:dyDescent="0.15">
      <c r="B60" s="5" t="s">
        <v>423</v>
      </c>
      <c r="C60" s="5" t="s">
        <v>49</v>
      </c>
      <c r="D60" s="4" t="s">
        <v>417</v>
      </c>
      <c r="E60" s="4"/>
      <c r="F60" s="4"/>
      <c r="G60" s="16">
        <f>IFERROR(VALUE(TRIM(CLEAN(入力シート!$F85))),0)</f>
        <v>0</v>
      </c>
      <c r="W60" s="117" t="str">
        <f t="shared" ref="W60:W68" ca="1" si="10">IF(X60="OK",X60,"NG")</f>
        <v>NG</v>
      </c>
      <c r="X60" t="str">
        <f t="shared" ref="X60:X68" ca="1" si="11">IF(Y60=0,IF(Z60&lt;&gt;0,OFFSET(AA60,0,Z60),$V$1),AA60)</f>
        <v>事業場数を選択してください。</v>
      </c>
      <c r="Y60">
        <f>IF(G60&lt;&gt;0,0,1)</f>
        <v>1</v>
      </c>
      <c r="AA60" t="str">
        <f>C60&amp;"を選択してください。"</f>
        <v>事業場数を選択してください。</v>
      </c>
    </row>
    <row r="61" spans="2:28" x14ac:dyDescent="0.15">
      <c r="B61" s="5">
        <v>1</v>
      </c>
      <c r="C61" s="5" t="s">
        <v>53</v>
      </c>
      <c r="D61" s="4">
        <v>1</v>
      </c>
      <c r="E61" s="4"/>
      <c r="F61" s="4"/>
      <c r="G61" s="16" t="str">
        <f>入力シート!$F94&amp;""</f>
        <v/>
      </c>
      <c r="W61" s="117" t="str">
        <f t="shared" ca="1" si="10"/>
        <v>NG</v>
      </c>
      <c r="X61" t="str">
        <f t="shared" ca="1" si="11"/>
        <v>書類の種類を選択してください。</v>
      </c>
      <c r="Y61">
        <f>IF(G61&lt;&gt;"",0,1)</f>
        <v>1</v>
      </c>
      <c r="AA61" t="str">
        <f>C61&amp;"を選択してください。"</f>
        <v>書類の種類を選択してください。</v>
      </c>
    </row>
    <row r="62" spans="2:28" x14ac:dyDescent="0.15">
      <c r="B62" s="5">
        <v>1</v>
      </c>
      <c r="C62" s="5" t="s">
        <v>424</v>
      </c>
      <c r="D62" s="4">
        <v>1</v>
      </c>
      <c r="E62" s="110" t="str">
        <f>SUBSTITUTE(SUBSTITUTE(SUBSTITUTE(SUBSTITUTE(SUBSTITUTE(SUBSTITUTE(SUBSTITUTE(SUBSTITUTE(SUBSTITUTE(SUBSTITUTE(SUBSTITUTE(入力シート!F96,"０","0"),"１","1"),"２","2"),"３","3"),"４","4"),"５","5"),"６","6"),"７","7"),"８","8"),"９","9"),"．",".")</f>
        <v/>
      </c>
      <c r="F62" s="4" t="str">
        <f>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62,"Ａ","A"),"Ｂ","B"),"Ｃ","C"),"Ｄ","D"),"Ｅ","E"),"Ｆ","F"),"Ｇ","G"),"Ｈ","H"),"Ｉ","I"),"Ｊ","J"),"Ｋ","K"),"Ｌ","L"),"Ｍ","M"),"Ｎ","N"),"Ｏ","O"),"Ｐ","P"),"Ｑ","Q"),"Ｒ","R"),"Ｓ","S"),"Ｔ","T"),"Ｕ","U"),"Ｖ","V"),"Ｗ","W"),"Ｘ","X"),"Ｙ","Y"),"Ｚ","Z"),"ａ","a"),"ｂ","b"),"ｃ","c"),"ｄ","d"),"ｅ","e"),"ｆ","f"),"ｇ","g"),"ｈ","h"),"ｉ","i"),"ｊ","j"),"ｋ","k"),"ｌ","l"),"ｍ","m"),"ｎ","n"),"ｏ","o"),"ｐ","p"),"ｑ","q"),"ｒ","r"),"ｓ","s"),"ｔ","t"),"ｕ","u"),"ｖ","v"),"ｗ","w"),"ｘ","x"),"ｙ","y"),"ｚ","z"),"＆","&amp;"),"－","-"),"．",".")</f>
        <v/>
      </c>
      <c r="G62" s="15" t="str">
        <f>TRIM(CLEAN(F62))&amp;""</f>
        <v/>
      </c>
      <c r="H62" t="str">
        <f>IF(G61&lt;&gt;"",IF(G61="自動車整備士である証明","整備士合格証書番号",LEFT(G61,2)&amp;"番号"),C62)</f>
        <v>認証・指定・認定番号または、整備士合格証書番号</v>
      </c>
      <c r="W62" s="117" t="str">
        <f t="shared" ca="1" si="10"/>
        <v>NG</v>
      </c>
      <c r="X62" t="str">
        <f t="shared" ca="1" si="11"/>
        <v>認証・指定・認定番号または、整備士合格証書番号を入力してください。</v>
      </c>
      <c r="Y62">
        <f>IF(G62&lt;&gt;"",0,1)</f>
        <v>1</v>
      </c>
      <c r="AA62" t="str">
        <f>H62&amp;"を入力してください。"</f>
        <v>認証・指定・認定番号または、整備士合格証書番号を入力してください。</v>
      </c>
    </row>
    <row r="63" spans="2:28" x14ac:dyDescent="0.15">
      <c r="B63" s="5">
        <v>1</v>
      </c>
      <c r="C63" s="5" t="s">
        <v>155</v>
      </c>
      <c r="D63" s="4">
        <v>1</v>
      </c>
      <c r="E63" s="4"/>
      <c r="F63" s="4" t="s">
        <v>402</v>
      </c>
      <c r="G63" s="16" t="str">
        <f>TRIM(CLEAN(入力シート!$F98))&amp;""</f>
        <v/>
      </c>
      <c r="W63" s="117" t="str">
        <f t="shared" ca="1" si="10"/>
        <v>NG</v>
      </c>
      <c r="X63" t="str">
        <f t="shared" ca="1" si="11"/>
        <v>管轄運輸局を入力してください。</v>
      </c>
      <c r="Y63">
        <f>IF(G61&lt;&gt;"自動車整備士である証明",IF(G63&lt;&gt;"",0,1),0)</f>
        <v>1</v>
      </c>
      <c r="AA63" t="str">
        <f>C63&amp;"を入力してください。"</f>
        <v>管轄運輸局を入力してください。</v>
      </c>
    </row>
    <row r="64" spans="2:28" x14ac:dyDescent="0.15">
      <c r="B64" s="5">
        <v>1</v>
      </c>
      <c r="C64" s="5" t="s">
        <v>56</v>
      </c>
      <c r="D64" s="4">
        <v>1</v>
      </c>
      <c r="E64" s="110" t="str">
        <f>DBCS(入力シート!$F100)</f>
        <v/>
      </c>
      <c r="F64" s="4" t="str">
        <f>SUBSTITUTE(SUBSTITUTE(SUBSTITUTE(SUBSTITUTE(E64,"　株式会社","株式会社"),"会社　","会社"),"　有限会社","有限会社"),"　合同会社","合同会社")</f>
        <v/>
      </c>
      <c r="G64" s="16" t="str">
        <f>TRIM(CLEAN(F64))&amp;""</f>
        <v/>
      </c>
      <c r="W64" s="117" t="str">
        <f t="shared" ca="1" si="10"/>
        <v>NG</v>
      </c>
      <c r="X64" t="str">
        <f t="shared" ca="1" si="11"/>
        <v>事業場名を入力してください。</v>
      </c>
      <c r="Y64">
        <f>IF(G64&lt;&gt;"",0,1)</f>
        <v>1</v>
      </c>
      <c r="AA64" t="str">
        <f>C64&amp;"を入力してください。"</f>
        <v>事業場名を入力してください。</v>
      </c>
    </row>
    <row r="65" spans="2:28" x14ac:dyDescent="0.15">
      <c r="B65" s="5">
        <v>1</v>
      </c>
      <c r="C65" s="5" t="s">
        <v>24</v>
      </c>
      <c r="D65" s="4">
        <v>1</v>
      </c>
      <c r="E65" s="4"/>
      <c r="F65" s="4"/>
      <c r="G65" s="16" t="str">
        <f>TRIM(CLEAN(ASC(入力シート!$F102)))&amp;""</f>
        <v/>
      </c>
      <c r="H65" s="111" t="str">
        <f>TRIM(CLEAN(ASC(入力シート!$H102)))&amp;""</f>
        <v/>
      </c>
      <c r="W65" s="117" t="str">
        <f t="shared" ca="1" si="10"/>
        <v>NG</v>
      </c>
      <c r="X65" t="str">
        <f t="shared" ca="1" si="11"/>
        <v>郵便番号を入力してください。</v>
      </c>
      <c r="Y65">
        <f>IF(AND(LEN(G65)=3,LEN(H65)=4)=TRUE,0,1)</f>
        <v>1</v>
      </c>
      <c r="Z65">
        <f>IFERROR(IF(0&lt;VALUE(G65),0,1),1)</f>
        <v>1</v>
      </c>
      <c r="AA65" t="str">
        <f>C65&amp;"を入力してください。"</f>
        <v>郵便番号を入力してください。</v>
      </c>
      <c r="AB65" t="str">
        <f>"正しい"&amp;C65&amp;"を入力してください。"</f>
        <v>正しい郵便番号を入力してください。</v>
      </c>
    </row>
    <row r="66" spans="2:28" x14ac:dyDescent="0.15">
      <c r="B66" s="5">
        <v>1</v>
      </c>
      <c r="C66" s="5" t="s">
        <v>26</v>
      </c>
      <c r="D66" s="4">
        <v>1</v>
      </c>
      <c r="E66" s="4"/>
      <c r="F66" s="4"/>
      <c r="G66" s="16" t="str">
        <f>TRIM(CLEAN(入力シート!$F104))&amp;""</f>
        <v/>
      </c>
      <c r="W66" s="117" t="str">
        <f t="shared" ca="1" si="10"/>
        <v>NG</v>
      </c>
      <c r="X66" t="str">
        <f t="shared" ca="1" si="11"/>
        <v>都道府県を選択してください。</v>
      </c>
      <c r="Y66">
        <f>IF(G66&lt;&gt;"",0,1)</f>
        <v>1</v>
      </c>
      <c r="AA66" t="str">
        <f>C66&amp;"を選択してください。"</f>
        <v>都道府県を選択してください。</v>
      </c>
    </row>
    <row r="67" spans="2:28" x14ac:dyDescent="0.15">
      <c r="B67" s="5">
        <v>1</v>
      </c>
      <c r="C67" s="5" t="s">
        <v>29</v>
      </c>
      <c r="D67" s="4">
        <v>1</v>
      </c>
      <c r="E67" s="110" t="str">
        <f>DBCS(入力シート!$F106)</f>
        <v/>
      </c>
      <c r="F67" s="4"/>
      <c r="G67" s="15" t="str">
        <f>TRIM(CLEAN(E67))&amp;""</f>
        <v/>
      </c>
      <c r="W67" s="117" t="str">
        <f t="shared" ca="1" si="10"/>
        <v>NG</v>
      </c>
      <c r="X67" t="str">
        <f t="shared" ca="1" si="11"/>
        <v>市区町村を入力してください。</v>
      </c>
      <c r="Y67">
        <f>IF(G67&lt;&gt;"",0,1)</f>
        <v>1</v>
      </c>
      <c r="AA67" t="str">
        <f>C67&amp;"を入力してください。"</f>
        <v>市区町村を入力してください。</v>
      </c>
    </row>
    <row r="68" spans="2:28" x14ac:dyDescent="0.15">
      <c r="B68" s="5">
        <v>1</v>
      </c>
      <c r="C68" s="5" t="s">
        <v>31</v>
      </c>
      <c r="D68" s="4">
        <v>1</v>
      </c>
      <c r="E68" s="110" t="str">
        <f>DBCS(入力シート!$F108)</f>
        <v/>
      </c>
      <c r="F68" s="4"/>
      <c r="G68" s="15" t="str">
        <f t="shared" ref="G68:G69" si="12">TRIM(CLEAN(E68))&amp;""</f>
        <v/>
      </c>
      <c r="W68" s="117" t="str">
        <f t="shared" ca="1" si="10"/>
        <v>NG</v>
      </c>
      <c r="X68" t="str">
        <f t="shared" ca="1" si="11"/>
        <v>町名地番を入力してください。</v>
      </c>
      <c r="Y68">
        <f>IF(G68&lt;&gt;"",0,1)</f>
        <v>1</v>
      </c>
      <c r="AA68" t="str">
        <f>C68&amp;"を入力してください。"</f>
        <v>町名地番を入力してください。</v>
      </c>
    </row>
    <row r="69" spans="2:28" x14ac:dyDescent="0.15">
      <c r="B69" s="5">
        <v>1</v>
      </c>
      <c r="C69" s="5" t="s">
        <v>34</v>
      </c>
      <c r="D69" s="4">
        <v>1</v>
      </c>
      <c r="E69" s="110" t="str">
        <f>DBCS(入力シート!$F110)</f>
        <v/>
      </c>
      <c r="F69" s="4"/>
      <c r="G69" s="15" t="str">
        <f t="shared" si="12"/>
        <v/>
      </c>
      <c r="W69" s="117"/>
    </row>
    <row r="70" spans="2:28" x14ac:dyDescent="0.15">
      <c r="B70" s="5">
        <v>2</v>
      </c>
      <c r="C70" s="5" t="s">
        <v>53</v>
      </c>
      <c r="D70" s="4">
        <f>IF(AND(B70&lt;=$G$60),1,0)</f>
        <v>0</v>
      </c>
      <c r="E70" s="4"/>
      <c r="F70" s="4"/>
      <c r="G70" s="16" t="str">
        <f>IF($D70=1,'入力シート（2事業場以降）'!F23,"")&amp;""</f>
        <v/>
      </c>
      <c r="W70" s="117" t="str">
        <f>IF(B70&lt;=$G$60,IF(X70="OK",X70,"NG"),"OK")</f>
        <v>OK</v>
      </c>
      <c r="X70" t="str">
        <f t="shared" ref="X70:X77" ca="1" si="13">IF(Y70=0,IF(Z70&lt;&gt;0,OFFSET(AA70,0,Z70),$V$1),AA70)</f>
        <v>書類の種類を選択してください。</v>
      </c>
      <c r="Y70">
        <f>IF(G70&lt;&gt;"",0,1)</f>
        <v>1</v>
      </c>
      <c r="AA70" t="str">
        <f>C70&amp;"を選択してください。"</f>
        <v>書類の種類を選択してください。</v>
      </c>
    </row>
    <row r="71" spans="2:28" x14ac:dyDescent="0.15">
      <c r="B71" s="5">
        <v>2</v>
      </c>
      <c r="C71" s="5" t="s">
        <v>424</v>
      </c>
      <c r="D71" s="4">
        <f t="shared" ref="D71:D134" si="14">IF(AND(B71&lt;=$G$60),1,0)</f>
        <v>0</v>
      </c>
      <c r="E71" s="110" t="str">
        <f>SUBSTITUTE(SUBSTITUTE(SUBSTITUTE(SUBSTITUTE(SUBSTITUTE(SUBSTITUTE(SUBSTITUTE(SUBSTITUTE(SUBSTITUTE(SUBSTITUTE(SUBSTITUTE('入力シート（2事業場以降）'!J23,"０","0"),"１","1"),"２","2"),"３","3"),"４","4"),"５","5"),"６","6"),"７","7"),"８","8"),"９","9"),"．",".")</f>
        <v/>
      </c>
      <c r="F71" s="4" t="str">
        <f t="shared" ref="F71" si="1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71,"Ａ","A"),"Ｂ","B"),"Ｃ","C"),"Ｄ","D"),"Ｅ","E"),"Ｆ","F"),"Ｇ","G"),"Ｈ","H"),"Ｉ","I"),"Ｊ","J"),"Ｋ","K"),"Ｌ","L"),"Ｍ","M"),"Ｎ","N"),"Ｏ","O"),"Ｐ","P"),"Ｑ","Q"),"Ｒ","R"),"Ｓ","S"),"Ｔ","T"),"Ｕ","U"),"Ｖ","V"),"Ｗ","W"),"Ｘ","X"),"Ｙ","Y"),"Ｚ","Z"),"ａ","a"),"ｂ","b"),"ｃ","c"),"ｄ","d"),"ｅ","e"),"ｆ","f"),"ｇ","g"),"ｈ","h"),"ｉ","i"),"ｊ","j"),"ｋ","k"),"ｌ","l"),"ｍ","m"),"ｎ","n"),"ｏ","o"),"ｐ","p"),"ｑ","q"),"ｒ","r"),"ｓ","s"),"ｔ","t"),"ｕ","u"),"ｖ","v"),"ｗ","w"),"ｘ","x"),"ｙ","y"),"ｚ","z"),"＆","&amp;"),"－","-"),"．",".")</f>
        <v/>
      </c>
      <c r="G71" s="15" t="str">
        <f>IF($D71=1,TRIM(CLEAN(F71)),"")&amp;""</f>
        <v/>
      </c>
      <c r="H71" t="str">
        <f>IF(G70&lt;&gt;"",IF(G70="自動車整備士である証明","整備士合格証書番号",LEFT(G70,2)&amp;"番号"),C71)</f>
        <v>認証・指定・認定番号または、整備士合格証書番号</v>
      </c>
      <c r="W71" s="117" t="str">
        <f t="shared" ref="W71:W134" si="16">IF(B71&lt;=$G$60,IF(X71="OK",X71,"NG"),"OK")</f>
        <v>OK</v>
      </c>
      <c r="X71" t="str">
        <f t="shared" ca="1" si="13"/>
        <v>認証・指定・認定番号または、整備士合格証書番号を入力してください。</v>
      </c>
      <c r="Y71">
        <f>IF(G71&lt;&gt;"",0,1)</f>
        <v>1</v>
      </c>
      <c r="AA71" t="str">
        <f>H71&amp;"を入力してください。"</f>
        <v>認証・指定・認定番号または、整備士合格証書番号を入力してください。</v>
      </c>
    </row>
    <row r="72" spans="2:28" x14ac:dyDescent="0.15">
      <c r="B72" s="5">
        <v>2</v>
      </c>
      <c r="C72" s="5" t="s">
        <v>54</v>
      </c>
      <c r="D72" s="4">
        <f t="shared" si="14"/>
        <v>0</v>
      </c>
      <c r="E72" s="4"/>
      <c r="F72" s="4" t="s">
        <v>402</v>
      </c>
      <c r="G72" s="15" t="str">
        <f>IF($D72=1,TRIM(CLEAN('入力シート（2事業場以降）'!N23)),"")&amp;""</f>
        <v/>
      </c>
      <c r="W72" s="117" t="str">
        <f t="shared" si="16"/>
        <v>OK</v>
      </c>
      <c r="X72" t="str">
        <f t="shared" ca="1" si="13"/>
        <v>管轄運輸局を入力してください。</v>
      </c>
      <c r="Y72">
        <f>IF(G70&lt;&gt;"自動車整備士である証明",IF(G72&lt;&gt;"",0,1),0)</f>
        <v>1</v>
      </c>
      <c r="AA72" t="str">
        <f>C72&amp;"を入力してください。"</f>
        <v>管轄運輸局を入力してください。</v>
      </c>
    </row>
    <row r="73" spans="2:28" x14ac:dyDescent="0.15">
      <c r="B73" s="5">
        <v>2</v>
      </c>
      <c r="C73" s="5" t="s">
        <v>56</v>
      </c>
      <c r="D73" s="4">
        <f t="shared" si="14"/>
        <v>0</v>
      </c>
      <c r="E73" s="110" t="str">
        <f>DBCS('入力シート（2事業場以降）'!R23)</f>
        <v/>
      </c>
      <c r="F73" s="4" t="str">
        <f>SUBSTITUTE(SUBSTITUTE(SUBSTITUTE(SUBSTITUTE(E73,"　株式会社","株式会社"),"会社　","会社"),"　有限会社","有限会社"),"　合同会社","合同会社")</f>
        <v/>
      </c>
      <c r="G73" s="16" t="str">
        <f>IF($D73=1,TRIM(CLEAN(F73)),"")&amp;""</f>
        <v/>
      </c>
      <c r="W73" s="117" t="str">
        <f t="shared" si="16"/>
        <v>OK</v>
      </c>
      <c r="X73" t="str">
        <f t="shared" ca="1" si="13"/>
        <v>事業場名を入力してください。</v>
      </c>
      <c r="Y73">
        <f>IF(G73&lt;&gt;"",0,1)</f>
        <v>1</v>
      </c>
      <c r="AA73" t="str">
        <f>C73&amp;"を入力してください。"</f>
        <v>事業場名を入力してください。</v>
      </c>
    </row>
    <row r="74" spans="2:28" x14ac:dyDescent="0.15">
      <c r="B74" s="5">
        <v>2</v>
      </c>
      <c r="C74" s="5" t="s">
        <v>24</v>
      </c>
      <c r="D74" s="4">
        <f t="shared" si="14"/>
        <v>0</v>
      </c>
      <c r="E74" s="4"/>
      <c r="F74" s="4"/>
      <c r="G74" s="15" t="str">
        <f>IF($D74=1,TRIM(CLEAN(ASC('入力シート（2事業場以降）'!X23))),"")&amp;""</f>
        <v/>
      </c>
      <c r="H74" s="15" t="str">
        <f>IF($D74=1,TRIM(CLEAN(ASC('入力シート（2事業場以降）'!Z23))),"")&amp;""</f>
        <v/>
      </c>
      <c r="W74" s="117" t="str">
        <f t="shared" si="16"/>
        <v>OK</v>
      </c>
      <c r="X74" t="str">
        <f t="shared" ca="1" si="13"/>
        <v>郵便番号を入力してください。</v>
      </c>
      <c r="Y74">
        <f>IF(AND(LEN(G74)=3,LEN(H74)=4)=TRUE,0,1)</f>
        <v>1</v>
      </c>
      <c r="Z74">
        <f>IFERROR(IF(0&lt;VALUE(G74),0,1),1)</f>
        <v>1</v>
      </c>
      <c r="AA74" t="str">
        <f>C74&amp;"を入力してください。"</f>
        <v>郵便番号を入力してください。</v>
      </c>
      <c r="AB74" t="str">
        <f>"正しい"&amp;C74&amp;"を入力してください。"</f>
        <v>正しい郵便番号を入力してください。</v>
      </c>
    </row>
    <row r="75" spans="2:28" x14ac:dyDescent="0.15">
      <c r="B75" s="5">
        <v>2</v>
      </c>
      <c r="C75" s="5" t="s">
        <v>26</v>
      </c>
      <c r="D75" s="4">
        <f t="shared" si="14"/>
        <v>0</v>
      </c>
      <c r="E75" s="4"/>
      <c r="F75" s="4"/>
      <c r="G75" s="15" t="str">
        <f>IF($D75=1,TRIM(CLEAN('入力シート（2事業場以降）'!AB23)),"")&amp;""</f>
        <v/>
      </c>
      <c r="W75" s="117" t="str">
        <f t="shared" si="16"/>
        <v>OK</v>
      </c>
      <c r="X75" t="str">
        <f t="shared" ca="1" si="13"/>
        <v>都道府県を選択してください。</v>
      </c>
      <c r="Y75">
        <f>IF(G75&lt;&gt;"",0,1)</f>
        <v>1</v>
      </c>
      <c r="AA75" t="str">
        <f>C75&amp;"を選択してください。"</f>
        <v>都道府県を選択してください。</v>
      </c>
    </row>
    <row r="76" spans="2:28" x14ac:dyDescent="0.15">
      <c r="B76" s="5">
        <v>2</v>
      </c>
      <c r="C76" s="5" t="s">
        <v>29</v>
      </c>
      <c r="D76" s="4">
        <f t="shared" si="14"/>
        <v>0</v>
      </c>
      <c r="E76" s="110" t="str">
        <f>DBCS('入力シート（2事業場以降）'!AD23)</f>
        <v/>
      </c>
      <c r="F76" s="4"/>
      <c r="G76" s="15" t="str">
        <f>IF($D76=1,TRIM(CLEAN('入力シート（2事業場以降）'!AD23)),"")&amp;""</f>
        <v/>
      </c>
      <c r="W76" s="117" t="str">
        <f t="shared" si="16"/>
        <v>OK</v>
      </c>
      <c r="X76" t="str">
        <f t="shared" ca="1" si="13"/>
        <v>市区町村を入力してください。</v>
      </c>
      <c r="Y76">
        <f>IF(G76&lt;&gt;"",0,1)</f>
        <v>1</v>
      </c>
      <c r="AA76" t="str">
        <f>C76&amp;"を入力してください。"</f>
        <v>市区町村を入力してください。</v>
      </c>
    </row>
    <row r="77" spans="2:28" x14ac:dyDescent="0.15">
      <c r="B77" s="5">
        <v>2</v>
      </c>
      <c r="C77" s="5" t="s">
        <v>31</v>
      </c>
      <c r="D77" s="4">
        <f t="shared" si="14"/>
        <v>0</v>
      </c>
      <c r="E77" s="110" t="str">
        <f>DBCS('入力シート（2事業場以降）'!AH23)</f>
        <v/>
      </c>
      <c r="F77" s="4"/>
      <c r="G77" s="15" t="str">
        <f>IF($D77=1,TRIM(CLEAN('入力シート（2事業場以降）'!AH23)),"")&amp;""</f>
        <v/>
      </c>
      <c r="W77" s="117" t="str">
        <f t="shared" si="16"/>
        <v>OK</v>
      </c>
      <c r="X77" t="str">
        <f t="shared" ca="1" si="13"/>
        <v>町名地番を入力してください。</v>
      </c>
      <c r="Y77">
        <f>IF(G77&lt;&gt;"",0,1)</f>
        <v>1</v>
      </c>
      <c r="AA77" t="str">
        <f>C77&amp;"を入力してください。"</f>
        <v>町名地番を入力してください。</v>
      </c>
    </row>
    <row r="78" spans="2:28" x14ac:dyDescent="0.15">
      <c r="B78" s="5">
        <v>2</v>
      </c>
      <c r="C78" s="5" t="s">
        <v>34</v>
      </c>
      <c r="D78" s="4">
        <f t="shared" si="14"/>
        <v>0</v>
      </c>
      <c r="E78" s="110" t="str">
        <f>DBCS('入力シート（2事業場以降）'!AL23)</f>
        <v/>
      </c>
      <c r="F78" s="4"/>
      <c r="G78" s="15" t="str">
        <f>IF($D78=1,TRIM(CLEAN('入力シート（2事業場以降）'!AL23)),"")&amp;""</f>
        <v/>
      </c>
      <c r="W78" s="117" t="str">
        <f t="shared" si="16"/>
        <v>OK</v>
      </c>
    </row>
    <row r="79" spans="2:28" x14ac:dyDescent="0.15">
      <c r="B79" s="5">
        <v>3</v>
      </c>
      <c r="C79" s="5" t="s">
        <v>53</v>
      </c>
      <c r="D79" s="4">
        <f t="shared" si="14"/>
        <v>0</v>
      </c>
      <c r="E79" s="4"/>
      <c r="F79" s="4"/>
      <c r="G79" s="16" t="str">
        <f>IF($D79=1,'入力シート（2事業場以降）'!F25,"")&amp;""</f>
        <v/>
      </c>
      <c r="W79" s="117" t="str">
        <f t="shared" si="16"/>
        <v>OK</v>
      </c>
      <c r="X79" t="str">
        <f t="shared" ref="X79:X86" ca="1" si="17">IF(Y79=0,IF(Z79&lt;&gt;0,OFFSET(AA79,0,Z79),$V$1),AA79)</f>
        <v>書類の種類を選択してください。</v>
      </c>
      <c r="Y79">
        <f>IF(G79&lt;&gt;"",0,1)</f>
        <v>1</v>
      </c>
      <c r="AA79" t="str">
        <f>C79&amp;"を選択してください。"</f>
        <v>書類の種類を選択してください。</v>
      </c>
    </row>
    <row r="80" spans="2:28" x14ac:dyDescent="0.15">
      <c r="B80" s="5">
        <v>3</v>
      </c>
      <c r="C80" s="5" t="s">
        <v>424</v>
      </c>
      <c r="D80" s="4">
        <f t="shared" si="14"/>
        <v>0</v>
      </c>
      <c r="E80" s="110" t="str">
        <f>SUBSTITUTE(SUBSTITUTE(SUBSTITUTE(SUBSTITUTE(SUBSTITUTE(SUBSTITUTE(SUBSTITUTE(SUBSTITUTE(SUBSTITUTE(SUBSTITUTE(SUBSTITUTE('入力シート（2事業場以降）'!J25,"０","0"),"１","1"),"２","2"),"３","3"),"４","4"),"５","5"),"６","6"),"７","7"),"８","8"),"９","9"),"．",".")</f>
        <v/>
      </c>
      <c r="F80" s="4" t="str">
        <f t="shared" ref="F80" si="18">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80,"Ａ","A"),"Ｂ","B"),"Ｃ","C"),"Ｄ","D"),"Ｅ","E"),"Ｆ","F"),"Ｇ","G"),"Ｈ","H"),"Ｉ","I"),"Ｊ","J"),"Ｋ","K"),"Ｌ","L"),"Ｍ","M"),"Ｎ","N"),"Ｏ","O"),"Ｐ","P"),"Ｑ","Q"),"Ｒ","R"),"Ｓ","S"),"Ｔ","T"),"Ｕ","U"),"Ｖ","V"),"Ｗ","W"),"Ｘ","X"),"Ｙ","Y"),"Ｚ","Z"),"ａ","a"),"ｂ","b"),"ｃ","c"),"ｄ","d"),"ｅ","e"),"ｆ","f"),"ｇ","g"),"ｈ","h"),"ｉ","i"),"ｊ","j"),"ｋ","k"),"ｌ","l"),"ｍ","m"),"ｎ","n"),"ｏ","o"),"ｐ","p"),"ｑ","q"),"ｒ","r"),"ｓ","s"),"ｔ","t"),"ｕ","u"),"ｖ","v"),"ｗ","w"),"ｘ","x"),"ｙ","y"),"ｚ","z"),"＆","&amp;"),"－","-"),"．",".")</f>
        <v/>
      </c>
      <c r="G80" s="15" t="str">
        <f>IF($D80=1,TRIM(CLEAN(F80)),"")&amp;""</f>
        <v/>
      </c>
      <c r="H80" t="str">
        <f>IF(G79&lt;&gt;"",IF(G79="自動車整備士である証明","整備士合格証書番号",LEFT(G79,2)&amp;"番号"),C80)</f>
        <v>認証・指定・認定番号または、整備士合格証書番号</v>
      </c>
      <c r="W80" s="117" t="str">
        <f t="shared" si="16"/>
        <v>OK</v>
      </c>
      <c r="X80" t="str">
        <f t="shared" ca="1" si="17"/>
        <v>認証・指定・認定番号または、整備士合格証書番号を入力してください。</v>
      </c>
      <c r="Y80">
        <f>IF(G80&lt;&gt;"",0,1)</f>
        <v>1</v>
      </c>
      <c r="AA80" t="str">
        <f>H80&amp;"を入力してください。"</f>
        <v>認証・指定・認定番号または、整備士合格証書番号を入力してください。</v>
      </c>
    </row>
    <row r="81" spans="2:28" x14ac:dyDescent="0.15">
      <c r="B81" s="5">
        <v>3</v>
      </c>
      <c r="C81" s="5" t="s">
        <v>54</v>
      </c>
      <c r="D81" s="4">
        <f t="shared" si="14"/>
        <v>0</v>
      </c>
      <c r="E81" s="4"/>
      <c r="F81" s="4" t="s">
        <v>402</v>
      </c>
      <c r="G81" s="15" t="str">
        <f>IF($D81=1,TRIM(CLEAN('入力シート（2事業場以降）'!N25)),"")&amp;""</f>
        <v/>
      </c>
      <c r="W81" s="117" t="str">
        <f t="shared" si="16"/>
        <v>OK</v>
      </c>
      <c r="X81" t="str">
        <f t="shared" ca="1" si="17"/>
        <v>管轄運輸局を入力してください。</v>
      </c>
      <c r="Y81">
        <f>IF(G79&lt;&gt;"自動車整備士である証明",IF(G81&lt;&gt;"",0,1),0)</f>
        <v>1</v>
      </c>
      <c r="AA81" t="str">
        <f>C81&amp;"を入力してください。"</f>
        <v>管轄運輸局を入力してください。</v>
      </c>
    </row>
    <row r="82" spans="2:28" x14ac:dyDescent="0.15">
      <c r="B82" s="5">
        <v>3</v>
      </c>
      <c r="C82" s="5" t="s">
        <v>56</v>
      </c>
      <c r="D82" s="4">
        <f t="shared" si="14"/>
        <v>0</v>
      </c>
      <c r="E82" s="110" t="str">
        <f>DBCS('入力シート（2事業場以降）'!R25)</f>
        <v/>
      </c>
      <c r="F82" s="4" t="str">
        <f>SUBSTITUTE(SUBSTITUTE(SUBSTITUTE(SUBSTITUTE(E82,"　株式会社","株式会社"),"会社　","会社"),"　有限会社","有限会社"),"　合同会社","合同会社")</f>
        <v/>
      </c>
      <c r="G82" s="16" t="str">
        <f>IF($D82=1,TRIM(CLEAN(F82)),"")&amp;""</f>
        <v/>
      </c>
      <c r="W82" s="117" t="str">
        <f t="shared" si="16"/>
        <v>OK</v>
      </c>
      <c r="X82" t="str">
        <f t="shared" ca="1" si="17"/>
        <v>事業場名を入力してください。</v>
      </c>
      <c r="Y82">
        <f>IF(G82&lt;&gt;"",0,1)</f>
        <v>1</v>
      </c>
      <c r="AA82" t="str">
        <f>C82&amp;"を入力してください。"</f>
        <v>事業場名を入力してください。</v>
      </c>
    </row>
    <row r="83" spans="2:28" x14ac:dyDescent="0.15">
      <c r="B83" s="5">
        <v>3</v>
      </c>
      <c r="C83" s="5" t="s">
        <v>24</v>
      </c>
      <c r="D83" s="4">
        <f t="shared" si="14"/>
        <v>0</v>
      </c>
      <c r="E83" s="4"/>
      <c r="F83" s="4"/>
      <c r="G83" s="15" t="str">
        <f>IF($D83=1,TRIM(CLEAN(ASC('入力シート（2事業場以降）'!X25))),"")&amp;""</f>
        <v/>
      </c>
      <c r="H83" s="15" t="str">
        <f>IF($D83=1,TRIM(CLEAN(ASC('入力シート（2事業場以降）'!Z25))),"")&amp;""</f>
        <v/>
      </c>
      <c r="W83" s="117" t="str">
        <f t="shared" si="16"/>
        <v>OK</v>
      </c>
      <c r="X83" t="str">
        <f t="shared" ca="1" si="17"/>
        <v>郵便番号を入力してください。</v>
      </c>
      <c r="Y83">
        <f>IF(AND(LEN(G83)=3,LEN(H83)=4)=TRUE,0,1)</f>
        <v>1</v>
      </c>
      <c r="Z83">
        <f>IFERROR(IF(0&lt;VALUE(G83),0,1),1)</f>
        <v>1</v>
      </c>
      <c r="AA83" t="str">
        <f>C83&amp;"を入力してください。"</f>
        <v>郵便番号を入力してください。</v>
      </c>
      <c r="AB83" t="str">
        <f>"正しい"&amp;C83&amp;"を入力してください。"</f>
        <v>正しい郵便番号を入力してください。</v>
      </c>
    </row>
    <row r="84" spans="2:28" x14ac:dyDescent="0.15">
      <c r="B84" s="5">
        <v>3</v>
      </c>
      <c r="C84" s="5" t="s">
        <v>26</v>
      </c>
      <c r="D84" s="4">
        <f t="shared" si="14"/>
        <v>0</v>
      </c>
      <c r="E84" s="4"/>
      <c r="F84" s="4"/>
      <c r="G84" s="15" t="str">
        <f>IF($D84=1,TRIM(CLEAN('入力シート（2事業場以降）'!AB25)),"")&amp;""</f>
        <v/>
      </c>
      <c r="W84" s="117" t="str">
        <f t="shared" si="16"/>
        <v>OK</v>
      </c>
      <c r="X84" t="str">
        <f t="shared" ca="1" si="17"/>
        <v>都道府県を選択してください。</v>
      </c>
      <c r="Y84">
        <f>IF(G84&lt;&gt;"",0,1)</f>
        <v>1</v>
      </c>
      <c r="AA84" t="str">
        <f>C84&amp;"を選択してください。"</f>
        <v>都道府県を選択してください。</v>
      </c>
    </row>
    <row r="85" spans="2:28" x14ac:dyDescent="0.15">
      <c r="B85" s="5">
        <v>3</v>
      </c>
      <c r="C85" s="5" t="s">
        <v>29</v>
      </c>
      <c r="D85" s="4">
        <f t="shared" si="14"/>
        <v>0</v>
      </c>
      <c r="E85" s="110" t="str">
        <f>DBCS('入力シート（2事業場以降）'!AD25)</f>
        <v/>
      </c>
      <c r="F85" s="4"/>
      <c r="G85" s="15" t="str">
        <f>IF($D85=1,TRIM(CLEAN('入力シート（2事業場以降）'!AD25)),"")&amp;""</f>
        <v/>
      </c>
      <c r="W85" s="117" t="str">
        <f t="shared" si="16"/>
        <v>OK</v>
      </c>
      <c r="X85" t="str">
        <f t="shared" ca="1" si="17"/>
        <v>市区町村を入力してください。</v>
      </c>
      <c r="Y85">
        <f>IF(G85&lt;&gt;"",0,1)</f>
        <v>1</v>
      </c>
      <c r="AA85" t="str">
        <f>C85&amp;"を入力してください。"</f>
        <v>市区町村を入力してください。</v>
      </c>
    </row>
    <row r="86" spans="2:28" x14ac:dyDescent="0.15">
      <c r="B86" s="5">
        <v>3</v>
      </c>
      <c r="C86" s="5" t="s">
        <v>31</v>
      </c>
      <c r="D86" s="4">
        <f t="shared" si="14"/>
        <v>0</v>
      </c>
      <c r="E86" s="110" t="str">
        <f>DBCS('入力シート（2事業場以降）'!AH25)</f>
        <v/>
      </c>
      <c r="F86" s="4"/>
      <c r="G86" s="15" t="str">
        <f>IF($D86=1,TRIM(CLEAN('入力シート（2事業場以降）'!AH25)),"")&amp;""</f>
        <v/>
      </c>
      <c r="W86" s="117" t="str">
        <f t="shared" si="16"/>
        <v>OK</v>
      </c>
      <c r="X86" t="str">
        <f t="shared" ca="1" si="17"/>
        <v>町名地番を入力してください。</v>
      </c>
      <c r="Y86">
        <f>IF(G86&lt;&gt;"",0,1)</f>
        <v>1</v>
      </c>
      <c r="AA86" t="str">
        <f>C86&amp;"を入力してください。"</f>
        <v>町名地番を入力してください。</v>
      </c>
    </row>
    <row r="87" spans="2:28" x14ac:dyDescent="0.15">
      <c r="B87" s="5">
        <v>3</v>
      </c>
      <c r="C87" s="5" t="s">
        <v>34</v>
      </c>
      <c r="D87" s="4">
        <f t="shared" si="14"/>
        <v>0</v>
      </c>
      <c r="E87" s="110" t="str">
        <f>DBCS('入力シート（2事業場以降）'!AL25)</f>
        <v/>
      </c>
      <c r="F87" s="4"/>
      <c r="G87" s="15" t="str">
        <f>IF($D87=1,TRIM(CLEAN('入力シート（2事業場以降）'!AL25)),"")&amp;""</f>
        <v/>
      </c>
      <c r="W87" s="117" t="str">
        <f t="shared" si="16"/>
        <v>OK</v>
      </c>
    </row>
    <row r="88" spans="2:28" x14ac:dyDescent="0.15">
      <c r="B88" s="5">
        <v>4</v>
      </c>
      <c r="C88" s="5" t="s">
        <v>53</v>
      </c>
      <c r="D88" s="4">
        <f t="shared" si="14"/>
        <v>0</v>
      </c>
      <c r="E88" s="4"/>
      <c r="F88" s="4"/>
      <c r="G88" s="16" t="str">
        <f>IF($D88=1,'入力シート（2事業場以降）'!F27,"")&amp;""</f>
        <v/>
      </c>
      <c r="W88" s="117" t="str">
        <f t="shared" si="16"/>
        <v>OK</v>
      </c>
      <c r="X88" t="str">
        <f t="shared" ref="X88:X95" ca="1" si="19">IF(Y88=0,IF(Z88&lt;&gt;0,OFFSET(AA88,0,Z88),$V$1),AA88)</f>
        <v>書類の種類を選択してください。</v>
      </c>
      <c r="Y88">
        <f>IF(G88&lt;&gt;"",0,1)</f>
        <v>1</v>
      </c>
      <c r="AA88" t="str">
        <f>C88&amp;"を選択してください。"</f>
        <v>書類の種類を選択してください。</v>
      </c>
    </row>
    <row r="89" spans="2:28" x14ac:dyDescent="0.15">
      <c r="B89" s="5">
        <v>4</v>
      </c>
      <c r="C89" s="5" t="s">
        <v>424</v>
      </c>
      <c r="D89" s="4">
        <f t="shared" si="14"/>
        <v>0</v>
      </c>
      <c r="E89" s="110" t="str">
        <f>SUBSTITUTE(SUBSTITUTE(SUBSTITUTE(SUBSTITUTE(SUBSTITUTE(SUBSTITUTE(SUBSTITUTE(SUBSTITUTE(SUBSTITUTE(SUBSTITUTE(SUBSTITUTE('入力シート（2事業場以降）'!J27,"０","0"),"１","1"),"２","2"),"３","3"),"４","4"),"５","5"),"６","6"),"７","7"),"８","8"),"９","9"),"．",".")</f>
        <v/>
      </c>
      <c r="F89" s="4" t="str">
        <f t="shared" ref="F89" si="20">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89,"Ａ","A"),"Ｂ","B"),"Ｃ","C"),"Ｄ","D"),"Ｅ","E"),"Ｆ","F"),"Ｇ","G"),"Ｈ","H"),"Ｉ","I"),"Ｊ","J"),"Ｋ","K"),"Ｌ","L"),"Ｍ","M"),"Ｎ","N"),"Ｏ","O"),"Ｐ","P"),"Ｑ","Q"),"Ｒ","R"),"Ｓ","S"),"Ｔ","T"),"Ｕ","U"),"Ｖ","V"),"Ｗ","W"),"Ｘ","X"),"Ｙ","Y"),"Ｚ","Z"),"ａ","a"),"ｂ","b"),"ｃ","c"),"ｄ","d"),"ｅ","e"),"ｆ","f"),"ｇ","g"),"ｈ","h"),"ｉ","i"),"ｊ","j"),"ｋ","k"),"ｌ","l"),"ｍ","m"),"ｎ","n"),"ｏ","o"),"ｐ","p"),"ｑ","q"),"ｒ","r"),"ｓ","s"),"ｔ","t"),"ｕ","u"),"ｖ","v"),"ｗ","w"),"ｘ","x"),"ｙ","y"),"ｚ","z"),"＆","&amp;"),"－","-"),"．",".")</f>
        <v/>
      </c>
      <c r="G89" s="15" t="str">
        <f>IF($D89=1,TRIM(CLEAN(F89)),"")&amp;""</f>
        <v/>
      </c>
      <c r="H89" t="str">
        <f>IF(G88&lt;&gt;"",IF(G88="自動車整備士である証明","整備士合格証書番号",LEFT(G88,2)&amp;"番号"),C89)</f>
        <v>認証・指定・認定番号または、整備士合格証書番号</v>
      </c>
      <c r="W89" s="117" t="str">
        <f t="shared" si="16"/>
        <v>OK</v>
      </c>
      <c r="X89" t="str">
        <f t="shared" ca="1" si="19"/>
        <v>認証・指定・認定番号または、整備士合格証書番号を入力してください。</v>
      </c>
      <c r="Y89">
        <f>IF(G89&lt;&gt;"",0,1)</f>
        <v>1</v>
      </c>
      <c r="AA89" t="str">
        <f>H89&amp;"を入力してください。"</f>
        <v>認証・指定・認定番号または、整備士合格証書番号を入力してください。</v>
      </c>
    </row>
    <row r="90" spans="2:28" x14ac:dyDescent="0.15">
      <c r="B90" s="5">
        <v>4</v>
      </c>
      <c r="C90" s="5" t="s">
        <v>54</v>
      </c>
      <c r="D90" s="4">
        <f t="shared" si="14"/>
        <v>0</v>
      </c>
      <c r="E90" s="4"/>
      <c r="F90" s="4" t="s">
        <v>402</v>
      </c>
      <c r="G90" s="15" t="str">
        <f>IF($D90=1,TRIM(CLEAN('入力シート（2事業場以降）'!N27)),"")&amp;""</f>
        <v/>
      </c>
      <c r="W90" s="117" t="str">
        <f t="shared" si="16"/>
        <v>OK</v>
      </c>
      <c r="X90" t="str">
        <f t="shared" ca="1" si="19"/>
        <v>管轄運輸局を入力してください。</v>
      </c>
      <c r="Y90">
        <f>IF(G88&lt;&gt;"自動車整備士である証明",IF(G90&lt;&gt;"",0,1),0)</f>
        <v>1</v>
      </c>
      <c r="AA90" t="str">
        <f>C90&amp;"を入力してください。"</f>
        <v>管轄運輸局を入力してください。</v>
      </c>
    </row>
    <row r="91" spans="2:28" x14ac:dyDescent="0.15">
      <c r="B91" s="5">
        <v>4</v>
      </c>
      <c r="C91" s="5" t="s">
        <v>56</v>
      </c>
      <c r="D91" s="4">
        <f t="shared" si="14"/>
        <v>0</v>
      </c>
      <c r="E91" s="110" t="str">
        <f>DBCS('入力シート（2事業場以降）'!R27)</f>
        <v/>
      </c>
      <c r="F91" s="4" t="str">
        <f>SUBSTITUTE(SUBSTITUTE(SUBSTITUTE(SUBSTITUTE(E91,"　株式会社","株式会社"),"会社　","会社"),"　有限会社","有限会社"),"　合同会社","合同会社")</f>
        <v/>
      </c>
      <c r="G91" s="16" t="str">
        <f>IF($D91=1,TRIM(CLEAN(F91)),"")&amp;""</f>
        <v/>
      </c>
      <c r="W91" s="117" t="str">
        <f t="shared" si="16"/>
        <v>OK</v>
      </c>
      <c r="X91" t="str">
        <f t="shared" ca="1" si="19"/>
        <v>事業場名を入力してください。</v>
      </c>
      <c r="Y91">
        <f>IF(G91&lt;&gt;"",0,1)</f>
        <v>1</v>
      </c>
      <c r="AA91" t="str">
        <f>C91&amp;"を入力してください。"</f>
        <v>事業場名を入力してください。</v>
      </c>
    </row>
    <row r="92" spans="2:28" x14ac:dyDescent="0.15">
      <c r="B92" s="5">
        <v>4</v>
      </c>
      <c r="C92" s="5" t="s">
        <v>24</v>
      </c>
      <c r="D92" s="4">
        <f t="shared" si="14"/>
        <v>0</v>
      </c>
      <c r="E92" s="4"/>
      <c r="F92" s="4"/>
      <c r="G92" s="15" t="str">
        <f>IF($D92=1,TRIM(CLEAN(ASC('入力シート（2事業場以降）'!X27))),"")&amp;""</f>
        <v/>
      </c>
      <c r="H92" s="15" t="str">
        <f>IF($D92=1,TRIM(CLEAN(ASC('入力シート（2事業場以降）'!Z27))),"")&amp;""</f>
        <v/>
      </c>
      <c r="W92" s="117" t="str">
        <f t="shared" si="16"/>
        <v>OK</v>
      </c>
      <c r="X92" t="str">
        <f t="shared" ca="1" si="19"/>
        <v>郵便番号を入力してください。</v>
      </c>
      <c r="Y92">
        <f>IF(AND(LEN(G92)=3,LEN(H92)=4)=TRUE,0,1)</f>
        <v>1</v>
      </c>
      <c r="Z92">
        <f>IFERROR(IF(0&lt;VALUE(G92),0,1),1)</f>
        <v>1</v>
      </c>
      <c r="AA92" t="str">
        <f>C92&amp;"を入力してください。"</f>
        <v>郵便番号を入力してください。</v>
      </c>
      <c r="AB92" t="str">
        <f>"正しい"&amp;C92&amp;"を入力してください。"</f>
        <v>正しい郵便番号を入力してください。</v>
      </c>
    </row>
    <row r="93" spans="2:28" x14ac:dyDescent="0.15">
      <c r="B93" s="5">
        <v>4</v>
      </c>
      <c r="C93" s="5" t="s">
        <v>26</v>
      </c>
      <c r="D93" s="4">
        <f t="shared" si="14"/>
        <v>0</v>
      </c>
      <c r="E93" s="4"/>
      <c r="F93" s="4"/>
      <c r="G93" s="15" t="str">
        <f>IF($D93=1,TRIM(CLEAN('入力シート（2事業場以降）'!AB27)),"")&amp;""</f>
        <v/>
      </c>
      <c r="W93" s="117" t="str">
        <f t="shared" si="16"/>
        <v>OK</v>
      </c>
      <c r="X93" t="str">
        <f t="shared" ca="1" si="19"/>
        <v>都道府県を選択してください。</v>
      </c>
      <c r="Y93">
        <f>IF(G93&lt;&gt;"",0,1)</f>
        <v>1</v>
      </c>
      <c r="AA93" t="str">
        <f>C93&amp;"を選択してください。"</f>
        <v>都道府県を選択してください。</v>
      </c>
    </row>
    <row r="94" spans="2:28" x14ac:dyDescent="0.15">
      <c r="B94" s="5">
        <v>4</v>
      </c>
      <c r="C94" s="5" t="s">
        <v>29</v>
      </c>
      <c r="D94" s="4">
        <f t="shared" si="14"/>
        <v>0</v>
      </c>
      <c r="E94" s="110" t="str">
        <f>DBCS('入力シート（2事業場以降）'!AD27)</f>
        <v/>
      </c>
      <c r="F94" s="4"/>
      <c r="G94" s="15" t="str">
        <f>IF($D94=1,TRIM(CLEAN('入力シート（2事業場以降）'!AD27)),"")&amp;""</f>
        <v/>
      </c>
      <c r="W94" s="117" t="str">
        <f t="shared" si="16"/>
        <v>OK</v>
      </c>
      <c r="X94" t="str">
        <f t="shared" ca="1" si="19"/>
        <v>市区町村を入力してください。</v>
      </c>
      <c r="Y94">
        <f>IF(G94&lt;&gt;"",0,1)</f>
        <v>1</v>
      </c>
      <c r="AA94" t="str">
        <f>C94&amp;"を入力してください。"</f>
        <v>市区町村を入力してください。</v>
      </c>
    </row>
    <row r="95" spans="2:28" x14ac:dyDescent="0.15">
      <c r="B95" s="5">
        <v>4</v>
      </c>
      <c r="C95" s="5" t="s">
        <v>31</v>
      </c>
      <c r="D95" s="4">
        <f t="shared" si="14"/>
        <v>0</v>
      </c>
      <c r="E95" s="110" t="str">
        <f>DBCS('入力シート（2事業場以降）'!AH27)</f>
        <v/>
      </c>
      <c r="F95" s="4"/>
      <c r="G95" s="15" t="str">
        <f>IF($D95=1,TRIM(CLEAN('入力シート（2事業場以降）'!AH27)),"")&amp;""</f>
        <v/>
      </c>
      <c r="W95" s="117" t="str">
        <f t="shared" si="16"/>
        <v>OK</v>
      </c>
      <c r="X95" t="str">
        <f t="shared" ca="1" si="19"/>
        <v>町名地番を入力してください。</v>
      </c>
      <c r="Y95">
        <f>IF(G95&lt;&gt;"",0,1)</f>
        <v>1</v>
      </c>
      <c r="AA95" t="str">
        <f>C95&amp;"を入力してください。"</f>
        <v>町名地番を入力してください。</v>
      </c>
    </row>
    <row r="96" spans="2:28" x14ac:dyDescent="0.15">
      <c r="B96" s="5">
        <v>4</v>
      </c>
      <c r="C96" s="5" t="s">
        <v>34</v>
      </c>
      <c r="D96" s="4">
        <f t="shared" si="14"/>
        <v>0</v>
      </c>
      <c r="E96" s="110" t="str">
        <f>DBCS('入力シート（2事業場以降）'!AL27)</f>
        <v/>
      </c>
      <c r="F96" s="4"/>
      <c r="G96" s="15" t="str">
        <f>IF($D96=1,TRIM(CLEAN('入力シート（2事業場以降）'!AL27)),"")&amp;""</f>
        <v/>
      </c>
      <c r="W96" s="117" t="str">
        <f t="shared" si="16"/>
        <v>OK</v>
      </c>
    </row>
    <row r="97" spans="2:28" x14ac:dyDescent="0.15">
      <c r="B97" s="5">
        <v>5</v>
      </c>
      <c r="C97" s="5" t="s">
        <v>53</v>
      </c>
      <c r="D97" s="4">
        <f t="shared" si="14"/>
        <v>0</v>
      </c>
      <c r="E97" s="4"/>
      <c r="F97" s="4"/>
      <c r="G97" s="16" t="str">
        <f>IF($D97=1,'入力シート（2事業場以降）'!F29,"")&amp;""</f>
        <v/>
      </c>
      <c r="W97" s="117" t="str">
        <f t="shared" si="16"/>
        <v>OK</v>
      </c>
      <c r="X97" t="str">
        <f t="shared" ref="X97:X104" ca="1" si="21">IF(Y97=0,IF(Z97&lt;&gt;0,OFFSET(AA97,0,Z97),$V$1),AA97)</f>
        <v>書類の種類を選択してください。</v>
      </c>
      <c r="Y97">
        <f>IF(G97&lt;&gt;"",0,1)</f>
        <v>1</v>
      </c>
      <c r="AA97" t="str">
        <f>C97&amp;"を選択してください。"</f>
        <v>書類の種類を選択してください。</v>
      </c>
    </row>
    <row r="98" spans="2:28" x14ac:dyDescent="0.15">
      <c r="B98" s="5">
        <v>5</v>
      </c>
      <c r="C98" s="5" t="s">
        <v>424</v>
      </c>
      <c r="D98" s="4">
        <f t="shared" si="14"/>
        <v>0</v>
      </c>
      <c r="E98" s="110" t="str">
        <f>SUBSTITUTE(SUBSTITUTE(SUBSTITUTE(SUBSTITUTE(SUBSTITUTE(SUBSTITUTE(SUBSTITUTE(SUBSTITUTE(SUBSTITUTE(SUBSTITUTE(SUBSTITUTE('入力シート（2事業場以降）'!J29,"０","0"),"１","1"),"２","2"),"３","3"),"４","4"),"５","5"),"６","6"),"７","7"),"８","8"),"９","9"),"．",".")</f>
        <v/>
      </c>
      <c r="F98" s="4" t="str">
        <f t="shared" ref="F98" si="22">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98,"Ａ","A"),"Ｂ","B"),"Ｃ","C"),"Ｄ","D"),"Ｅ","E"),"Ｆ","F"),"Ｇ","G"),"Ｈ","H"),"Ｉ","I"),"Ｊ","J"),"Ｋ","K"),"Ｌ","L"),"Ｍ","M"),"Ｎ","N"),"Ｏ","O"),"Ｐ","P"),"Ｑ","Q"),"Ｒ","R"),"Ｓ","S"),"Ｔ","T"),"Ｕ","U"),"Ｖ","V"),"Ｗ","W"),"Ｘ","X"),"Ｙ","Y"),"Ｚ","Z"),"ａ","a"),"ｂ","b"),"ｃ","c"),"ｄ","d"),"ｅ","e"),"ｆ","f"),"ｇ","g"),"ｈ","h"),"ｉ","i"),"ｊ","j"),"ｋ","k"),"ｌ","l"),"ｍ","m"),"ｎ","n"),"ｏ","o"),"ｐ","p"),"ｑ","q"),"ｒ","r"),"ｓ","s"),"ｔ","t"),"ｕ","u"),"ｖ","v"),"ｗ","w"),"ｘ","x"),"ｙ","y"),"ｚ","z"),"＆","&amp;"),"－","-"),"．",".")</f>
        <v/>
      </c>
      <c r="G98" s="15" t="str">
        <f>IF($D98=1,TRIM(CLEAN(F98)),"")&amp;""</f>
        <v/>
      </c>
      <c r="H98" t="str">
        <f>IF(G97&lt;&gt;"",IF(G97="自動車整備士である証明","整備士合格証書番号",LEFT(G97,2)&amp;"番号"),C98)</f>
        <v>認証・指定・認定番号または、整備士合格証書番号</v>
      </c>
      <c r="W98" s="117" t="str">
        <f t="shared" si="16"/>
        <v>OK</v>
      </c>
      <c r="X98" t="str">
        <f t="shared" ca="1" si="21"/>
        <v>認証・指定・認定番号または、整備士合格証書番号を入力してください。</v>
      </c>
      <c r="Y98">
        <f>IF(G98&lt;&gt;"",0,1)</f>
        <v>1</v>
      </c>
      <c r="AA98" t="str">
        <f>H98&amp;"を入力してください。"</f>
        <v>認証・指定・認定番号または、整備士合格証書番号を入力してください。</v>
      </c>
    </row>
    <row r="99" spans="2:28" x14ac:dyDescent="0.15">
      <c r="B99" s="5">
        <v>5</v>
      </c>
      <c r="C99" s="5" t="s">
        <v>54</v>
      </c>
      <c r="D99" s="4">
        <f t="shared" si="14"/>
        <v>0</v>
      </c>
      <c r="E99" s="4"/>
      <c r="F99" s="4" t="s">
        <v>402</v>
      </c>
      <c r="G99" s="15" t="str">
        <f>IF($D99=1,TRIM(CLEAN('入力シート（2事業場以降）'!N29)),"")&amp;""</f>
        <v/>
      </c>
      <c r="W99" s="117" t="str">
        <f t="shared" si="16"/>
        <v>OK</v>
      </c>
      <c r="X99" t="str">
        <f t="shared" ca="1" si="21"/>
        <v>管轄運輸局を入力してください。</v>
      </c>
      <c r="Y99">
        <f>IF(G97&lt;&gt;"自動車整備士である証明",IF(G99&lt;&gt;"",0,1),0)</f>
        <v>1</v>
      </c>
      <c r="AA99" t="str">
        <f>C99&amp;"を入力してください。"</f>
        <v>管轄運輸局を入力してください。</v>
      </c>
    </row>
    <row r="100" spans="2:28" x14ac:dyDescent="0.15">
      <c r="B100" s="5">
        <v>5</v>
      </c>
      <c r="C100" s="5" t="s">
        <v>56</v>
      </c>
      <c r="D100" s="4">
        <f t="shared" si="14"/>
        <v>0</v>
      </c>
      <c r="E100" s="110" t="str">
        <f>DBCS('入力シート（2事業場以降）'!R29)</f>
        <v/>
      </c>
      <c r="F100" s="4" t="str">
        <f>SUBSTITUTE(SUBSTITUTE(SUBSTITUTE(SUBSTITUTE(E100,"　株式会社","株式会社"),"会社　","会社"),"　有限会社","有限会社"),"　合同会社","合同会社")</f>
        <v/>
      </c>
      <c r="G100" s="16" t="str">
        <f>IF($D100=1,TRIM(CLEAN(F100)),"")&amp;""</f>
        <v/>
      </c>
      <c r="W100" s="117" t="str">
        <f t="shared" si="16"/>
        <v>OK</v>
      </c>
      <c r="X100" t="str">
        <f t="shared" ca="1" si="21"/>
        <v>事業場名を入力してください。</v>
      </c>
      <c r="Y100">
        <f>IF(G100&lt;&gt;"",0,1)</f>
        <v>1</v>
      </c>
      <c r="AA100" t="str">
        <f>C100&amp;"を入力してください。"</f>
        <v>事業場名を入力してください。</v>
      </c>
    </row>
    <row r="101" spans="2:28" x14ac:dyDescent="0.15">
      <c r="B101" s="5">
        <v>5</v>
      </c>
      <c r="C101" s="5" t="s">
        <v>24</v>
      </c>
      <c r="D101" s="4">
        <f t="shared" si="14"/>
        <v>0</v>
      </c>
      <c r="E101" s="4"/>
      <c r="F101" s="4"/>
      <c r="G101" s="15" t="str">
        <f>IF($D101=1,TRIM(CLEAN(ASC('入力シート（2事業場以降）'!X29))),"")&amp;""</f>
        <v/>
      </c>
      <c r="H101" s="15" t="str">
        <f>IF($D101=1,TRIM(CLEAN(ASC('入力シート（2事業場以降）'!Z29))),"")&amp;""</f>
        <v/>
      </c>
      <c r="W101" s="117" t="str">
        <f t="shared" si="16"/>
        <v>OK</v>
      </c>
      <c r="X101" t="str">
        <f t="shared" ca="1" si="21"/>
        <v>郵便番号を入力してください。</v>
      </c>
      <c r="Y101">
        <f>IF(AND(LEN(G101)=3,LEN(H101)=4)=TRUE,0,1)</f>
        <v>1</v>
      </c>
      <c r="Z101">
        <f>IFERROR(IF(0&lt;VALUE(G101),0,1),1)</f>
        <v>1</v>
      </c>
      <c r="AA101" t="str">
        <f>C101&amp;"を入力してください。"</f>
        <v>郵便番号を入力してください。</v>
      </c>
      <c r="AB101" t="str">
        <f>"正しい"&amp;C101&amp;"を入力してください。"</f>
        <v>正しい郵便番号を入力してください。</v>
      </c>
    </row>
    <row r="102" spans="2:28" x14ac:dyDescent="0.15">
      <c r="B102" s="5">
        <v>5</v>
      </c>
      <c r="C102" s="5" t="s">
        <v>26</v>
      </c>
      <c r="D102" s="4">
        <f t="shared" si="14"/>
        <v>0</v>
      </c>
      <c r="E102" s="4"/>
      <c r="F102" s="4"/>
      <c r="G102" s="15" t="str">
        <f>IF($D102=1,TRIM(CLEAN('入力シート（2事業場以降）'!AB29)),"")&amp;""</f>
        <v/>
      </c>
      <c r="W102" s="117" t="str">
        <f t="shared" si="16"/>
        <v>OK</v>
      </c>
      <c r="X102" t="str">
        <f t="shared" ca="1" si="21"/>
        <v>都道府県を選択してください。</v>
      </c>
      <c r="Y102">
        <f>IF(G102&lt;&gt;"",0,1)</f>
        <v>1</v>
      </c>
      <c r="AA102" t="str">
        <f>C102&amp;"を選択してください。"</f>
        <v>都道府県を選択してください。</v>
      </c>
    </row>
    <row r="103" spans="2:28" x14ac:dyDescent="0.15">
      <c r="B103" s="5">
        <v>5</v>
      </c>
      <c r="C103" s="5" t="s">
        <v>29</v>
      </c>
      <c r="D103" s="4">
        <f t="shared" si="14"/>
        <v>0</v>
      </c>
      <c r="E103" s="110" t="str">
        <f>DBCS('入力シート（2事業場以降）'!AD29)</f>
        <v/>
      </c>
      <c r="F103" s="4"/>
      <c r="G103" s="15" t="str">
        <f>IF($D103=1,TRIM(CLEAN('入力シート（2事業場以降）'!AD29)),"")&amp;""</f>
        <v/>
      </c>
      <c r="W103" s="117" t="str">
        <f t="shared" si="16"/>
        <v>OK</v>
      </c>
      <c r="X103" t="str">
        <f t="shared" ca="1" si="21"/>
        <v>市区町村を入力してください。</v>
      </c>
      <c r="Y103">
        <f>IF(G103&lt;&gt;"",0,1)</f>
        <v>1</v>
      </c>
      <c r="AA103" t="str">
        <f>C103&amp;"を入力してください。"</f>
        <v>市区町村を入力してください。</v>
      </c>
    </row>
    <row r="104" spans="2:28" x14ac:dyDescent="0.15">
      <c r="B104" s="5">
        <v>5</v>
      </c>
      <c r="C104" s="5" t="s">
        <v>31</v>
      </c>
      <c r="D104" s="4">
        <f t="shared" si="14"/>
        <v>0</v>
      </c>
      <c r="E104" s="110" t="str">
        <f>DBCS('入力シート（2事業場以降）'!AH29)</f>
        <v/>
      </c>
      <c r="F104" s="4"/>
      <c r="G104" s="15" t="str">
        <f>IF($D104=1,TRIM(CLEAN('入力シート（2事業場以降）'!AH29)),"")&amp;""</f>
        <v/>
      </c>
      <c r="W104" s="117" t="str">
        <f t="shared" si="16"/>
        <v>OK</v>
      </c>
      <c r="X104" t="str">
        <f t="shared" ca="1" si="21"/>
        <v>町名地番を入力してください。</v>
      </c>
      <c r="Y104">
        <f>IF(G104&lt;&gt;"",0,1)</f>
        <v>1</v>
      </c>
      <c r="AA104" t="str">
        <f>C104&amp;"を入力してください。"</f>
        <v>町名地番を入力してください。</v>
      </c>
    </row>
    <row r="105" spans="2:28" x14ac:dyDescent="0.15">
      <c r="B105" s="5">
        <v>5</v>
      </c>
      <c r="C105" s="5" t="s">
        <v>34</v>
      </c>
      <c r="D105" s="4">
        <f t="shared" si="14"/>
        <v>0</v>
      </c>
      <c r="E105" s="110" t="str">
        <f>DBCS('入力シート（2事業場以降）'!AL29)</f>
        <v/>
      </c>
      <c r="F105" s="4"/>
      <c r="G105" s="15" t="str">
        <f>IF($D105=1,TRIM(CLEAN('入力シート（2事業場以降）'!AL29)),"")&amp;""</f>
        <v/>
      </c>
      <c r="W105" s="117" t="str">
        <f t="shared" si="16"/>
        <v>OK</v>
      </c>
    </row>
    <row r="106" spans="2:28" x14ac:dyDescent="0.15">
      <c r="B106" s="5">
        <v>6</v>
      </c>
      <c r="C106" s="5" t="s">
        <v>53</v>
      </c>
      <c r="D106" s="4">
        <f t="shared" si="14"/>
        <v>0</v>
      </c>
      <c r="E106" s="4"/>
      <c r="F106" s="4"/>
      <c r="G106" s="16" t="str">
        <f>IF($D106=1,'入力シート（2事業場以降）'!F31,"")&amp;""</f>
        <v/>
      </c>
      <c r="W106" s="117" t="str">
        <f t="shared" si="16"/>
        <v>OK</v>
      </c>
      <c r="X106" t="str">
        <f t="shared" ref="X106:X113" ca="1" si="23">IF(Y106=0,IF(Z106&lt;&gt;0,OFFSET(AA106,0,Z106),$V$1),AA106)</f>
        <v>書類の種類を選択してください。</v>
      </c>
      <c r="Y106">
        <f>IF(G106&lt;&gt;"",0,1)</f>
        <v>1</v>
      </c>
      <c r="AA106" t="str">
        <f>C106&amp;"を選択してください。"</f>
        <v>書類の種類を選択してください。</v>
      </c>
    </row>
    <row r="107" spans="2:28" x14ac:dyDescent="0.15">
      <c r="B107" s="5">
        <v>6</v>
      </c>
      <c r="C107" s="5" t="s">
        <v>424</v>
      </c>
      <c r="D107" s="4">
        <f t="shared" si="14"/>
        <v>0</v>
      </c>
      <c r="E107" s="110" t="str">
        <f>SUBSTITUTE(SUBSTITUTE(SUBSTITUTE(SUBSTITUTE(SUBSTITUTE(SUBSTITUTE(SUBSTITUTE(SUBSTITUTE(SUBSTITUTE(SUBSTITUTE(SUBSTITUTE('入力シート（2事業場以降）'!J31,"０","0"),"１","1"),"２","2"),"３","3"),"４","4"),"５","5"),"６","6"),"７","7"),"８","8"),"９","9"),"．",".")</f>
        <v/>
      </c>
      <c r="F107" s="4" t="str">
        <f t="shared" ref="F107" si="24">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107,"Ａ","A"),"Ｂ","B"),"Ｃ","C"),"Ｄ","D"),"Ｅ","E"),"Ｆ","F"),"Ｇ","G"),"Ｈ","H"),"Ｉ","I"),"Ｊ","J"),"Ｋ","K"),"Ｌ","L"),"Ｍ","M"),"Ｎ","N"),"Ｏ","O"),"Ｐ","P"),"Ｑ","Q"),"Ｒ","R"),"Ｓ","S"),"Ｔ","T"),"Ｕ","U"),"Ｖ","V"),"Ｗ","W"),"Ｘ","X"),"Ｙ","Y"),"Ｚ","Z"),"ａ","a"),"ｂ","b"),"ｃ","c"),"ｄ","d"),"ｅ","e"),"ｆ","f"),"ｇ","g"),"ｈ","h"),"ｉ","i"),"ｊ","j"),"ｋ","k"),"ｌ","l"),"ｍ","m"),"ｎ","n"),"ｏ","o"),"ｐ","p"),"ｑ","q"),"ｒ","r"),"ｓ","s"),"ｔ","t"),"ｕ","u"),"ｖ","v"),"ｗ","w"),"ｘ","x"),"ｙ","y"),"ｚ","z"),"＆","&amp;"),"－","-"),"．",".")</f>
        <v/>
      </c>
      <c r="G107" s="15" t="str">
        <f>IF($D107=1,TRIM(CLEAN(F107)),"")&amp;""</f>
        <v/>
      </c>
      <c r="H107" t="str">
        <f>IF(G106&lt;&gt;"",IF(G106="自動車整備士である証明","整備士合格証書番号",LEFT(G106,2)&amp;"番号"),C107)</f>
        <v>認証・指定・認定番号または、整備士合格証書番号</v>
      </c>
      <c r="W107" s="117" t="str">
        <f t="shared" si="16"/>
        <v>OK</v>
      </c>
      <c r="X107" t="str">
        <f t="shared" ca="1" si="23"/>
        <v>認証・指定・認定番号または、整備士合格証書番号を入力してください。</v>
      </c>
      <c r="Y107">
        <f>IF(G107&lt;&gt;"",0,1)</f>
        <v>1</v>
      </c>
      <c r="AA107" t="str">
        <f>H107&amp;"を入力してください。"</f>
        <v>認証・指定・認定番号または、整備士合格証書番号を入力してください。</v>
      </c>
    </row>
    <row r="108" spans="2:28" x14ac:dyDescent="0.15">
      <c r="B108" s="5">
        <v>6</v>
      </c>
      <c r="C108" s="5" t="s">
        <v>54</v>
      </c>
      <c r="D108" s="4">
        <f t="shared" si="14"/>
        <v>0</v>
      </c>
      <c r="E108" s="4"/>
      <c r="F108" s="4" t="s">
        <v>402</v>
      </c>
      <c r="G108" s="15" t="str">
        <f>IF($D108=1,TRIM(CLEAN('入力シート（2事業場以降）'!N31)),"")&amp;""</f>
        <v/>
      </c>
      <c r="W108" s="117" t="str">
        <f t="shared" si="16"/>
        <v>OK</v>
      </c>
      <c r="X108" t="str">
        <f t="shared" ca="1" si="23"/>
        <v>管轄運輸局を入力してください。</v>
      </c>
      <c r="Y108">
        <f>IF(G106&lt;&gt;"自動車整備士である証明",IF(G108&lt;&gt;"",0,1),0)</f>
        <v>1</v>
      </c>
      <c r="AA108" t="str">
        <f>C108&amp;"を入力してください。"</f>
        <v>管轄運輸局を入力してください。</v>
      </c>
    </row>
    <row r="109" spans="2:28" x14ac:dyDescent="0.15">
      <c r="B109" s="5">
        <v>6</v>
      </c>
      <c r="C109" s="5" t="s">
        <v>56</v>
      </c>
      <c r="D109" s="4">
        <f t="shared" si="14"/>
        <v>0</v>
      </c>
      <c r="E109" s="110" t="str">
        <f>DBCS('入力シート（2事業場以降）'!R31)</f>
        <v/>
      </c>
      <c r="F109" s="4" t="str">
        <f>SUBSTITUTE(SUBSTITUTE(SUBSTITUTE(SUBSTITUTE(E109,"　株式会社","株式会社"),"会社　","会社"),"　有限会社","有限会社"),"　合同会社","合同会社")</f>
        <v/>
      </c>
      <c r="G109" s="16" t="str">
        <f>IF($D109=1,TRIM(CLEAN(F109)),"")&amp;""</f>
        <v/>
      </c>
      <c r="W109" s="117" t="str">
        <f t="shared" si="16"/>
        <v>OK</v>
      </c>
      <c r="X109" t="str">
        <f t="shared" ca="1" si="23"/>
        <v>事業場名を入力してください。</v>
      </c>
      <c r="Y109">
        <f>IF(G109&lt;&gt;"",0,1)</f>
        <v>1</v>
      </c>
      <c r="AA109" t="str">
        <f>C109&amp;"を入力してください。"</f>
        <v>事業場名を入力してください。</v>
      </c>
    </row>
    <row r="110" spans="2:28" x14ac:dyDescent="0.15">
      <c r="B110" s="5">
        <v>6</v>
      </c>
      <c r="C110" s="5" t="s">
        <v>24</v>
      </c>
      <c r="D110" s="4">
        <f t="shared" si="14"/>
        <v>0</v>
      </c>
      <c r="E110" s="4"/>
      <c r="F110" s="4"/>
      <c r="G110" s="15" t="str">
        <f>IF($D110=1,TRIM(CLEAN(ASC('入力シート（2事業場以降）'!X31))),"")&amp;""</f>
        <v/>
      </c>
      <c r="H110" s="15" t="str">
        <f>IF($D110=1,TRIM(CLEAN(ASC('入力シート（2事業場以降）'!Z31))),"")&amp;""</f>
        <v/>
      </c>
      <c r="W110" s="117" t="str">
        <f t="shared" si="16"/>
        <v>OK</v>
      </c>
      <c r="X110" t="str">
        <f t="shared" ca="1" si="23"/>
        <v>郵便番号を入力してください。</v>
      </c>
      <c r="Y110">
        <f>IF(AND(LEN(G110)=3,LEN(H110)=4)=TRUE,0,1)</f>
        <v>1</v>
      </c>
      <c r="Z110">
        <f>IFERROR(IF(0&lt;VALUE(G110),0,1),1)</f>
        <v>1</v>
      </c>
      <c r="AA110" t="str">
        <f>C110&amp;"を入力してください。"</f>
        <v>郵便番号を入力してください。</v>
      </c>
      <c r="AB110" t="str">
        <f>"正しい"&amp;C110&amp;"を入力してください。"</f>
        <v>正しい郵便番号を入力してください。</v>
      </c>
    </row>
    <row r="111" spans="2:28" x14ac:dyDescent="0.15">
      <c r="B111" s="5">
        <v>6</v>
      </c>
      <c r="C111" s="5" t="s">
        <v>26</v>
      </c>
      <c r="D111" s="4">
        <f t="shared" si="14"/>
        <v>0</v>
      </c>
      <c r="E111" s="4"/>
      <c r="F111" s="4"/>
      <c r="G111" s="15" t="str">
        <f>IF($D111=1,TRIM(CLEAN('入力シート（2事業場以降）'!AB31)),"")&amp;""</f>
        <v/>
      </c>
      <c r="W111" s="117" t="str">
        <f t="shared" si="16"/>
        <v>OK</v>
      </c>
      <c r="X111" t="str">
        <f t="shared" ca="1" si="23"/>
        <v>都道府県を選択してください。</v>
      </c>
      <c r="Y111">
        <f>IF(G111&lt;&gt;"",0,1)</f>
        <v>1</v>
      </c>
      <c r="AA111" t="str">
        <f>C111&amp;"を選択してください。"</f>
        <v>都道府県を選択してください。</v>
      </c>
    </row>
    <row r="112" spans="2:28" x14ac:dyDescent="0.15">
      <c r="B112" s="5">
        <v>6</v>
      </c>
      <c r="C112" s="5" t="s">
        <v>29</v>
      </c>
      <c r="D112" s="4">
        <f t="shared" si="14"/>
        <v>0</v>
      </c>
      <c r="E112" s="110" t="str">
        <f>DBCS('入力シート（2事業場以降）'!AD31)</f>
        <v/>
      </c>
      <c r="F112" s="4"/>
      <c r="G112" s="15" t="str">
        <f>IF($D112=1,TRIM(CLEAN('入力シート（2事業場以降）'!AD31)),"")&amp;""</f>
        <v/>
      </c>
      <c r="W112" s="117" t="str">
        <f t="shared" si="16"/>
        <v>OK</v>
      </c>
      <c r="X112" t="str">
        <f t="shared" ca="1" si="23"/>
        <v>市区町村を入力してください。</v>
      </c>
      <c r="Y112">
        <f>IF(G112&lt;&gt;"",0,1)</f>
        <v>1</v>
      </c>
      <c r="AA112" t="str">
        <f>C112&amp;"を入力してください。"</f>
        <v>市区町村を入力してください。</v>
      </c>
    </row>
    <row r="113" spans="2:28" x14ac:dyDescent="0.15">
      <c r="B113" s="5">
        <v>6</v>
      </c>
      <c r="C113" s="5" t="s">
        <v>31</v>
      </c>
      <c r="D113" s="4">
        <f t="shared" si="14"/>
        <v>0</v>
      </c>
      <c r="E113" s="110" t="str">
        <f>DBCS('入力シート（2事業場以降）'!AH31)</f>
        <v/>
      </c>
      <c r="F113" s="4"/>
      <c r="G113" s="15" t="str">
        <f>IF($D113=1,TRIM(CLEAN('入力シート（2事業場以降）'!AH31)),"")&amp;""</f>
        <v/>
      </c>
      <c r="W113" s="117" t="str">
        <f t="shared" si="16"/>
        <v>OK</v>
      </c>
      <c r="X113" t="str">
        <f t="shared" ca="1" si="23"/>
        <v>町名地番を入力してください。</v>
      </c>
      <c r="Y113">
        <f>IF(G113&lt;&gt;"",0,1)</f>
        <v>1</v>
      </c>
      <c r="AA113" t="str">
        <f>C113&amp;"を入力してください。"</f>
        <v>町名地番を入力してください。</v>
      </c>
    </row>
    <row r="114" spans="2:28" x14ac:dyDescent="0.15">
      <c r="B114" s="5">
        <v>6</v>
      </c>
      <c r="C114" s="5" t="s">
        <v>34</v>
      </c>
      <c r="D114" s="4">
        <f t="shared" si="14"/>
        <v>0</v>
      </c>
      <c r="E114" s="110" t="str">
        <f>DBCS('入力シート（2事業場以降）'!AL31)</f>
        <v/>
      </c>
      <c r="F114" s="4"/>
      <c r="G114" s="15" t="str">
        <f>IF($D114=1,TRIM(CLEAN('入力シート（2事業場以降）'!AL31)),"")&amp;""</f>
        <v/>
      </c>
      <c r="W114" s="117" t="str">
        <f t="shared" si="16"/>
        <v>OK</v>
      </c>
    </row>
    <row r="115" spans="2:28" x14ac:dyDescent="0.15">
      <c r="B115" s="5">
        <v>7</v>
      </c>
      <c r="C115" s="5" t="s">
        <v>53</v>
      </c>
      <c r="D115" s="4">
        <f t="shared" si="14"/>
        <v>0</v>
      </c>
      <c r="E115" s="4"/>
      <c r="F115" s="4"/>
      <c r="G115" s="16" t="str">
        <f>IF($D115=1,'入力シート（2事業場以降）'!F33,"")&amp;""</f>
        <v/>
      </c>
      <c r="W115" s="117" t="str">
        <f t="shared" si="16"/>
        <v>OK</v>
      </c>
      <c r="X115" t="str">
        <f t="shared" ref="X115:X122" ca="1" si="25">IF(Y115=0,IF(Z115&lt;&gt;0,OFFSET(AA115,0,Z115),$V$1),AA115)</f>
        <v>書類の種類を選択してください。</v>
      </c>
      <c r="Y115">
        <f>IF(G115&lt;&gt;"",0,1)</f>
        <v>1</v>
      </c>
      <c r="AA115" t="str">
        <f>C115&amp;"を選択してください。"</f>
        <v>書類の種類を選択してください。</v>
      </c>
    </row>
    <row r="116" spans="2:28" x14ac:dyDescent="0.15">
      <c r="B116" s="5">
        <v>7</v>
      </c>
      <c r="C116" s="5" t="s">
        <v>424</v>
      </c>
      <c r="D116" s="4">
        <f t="shared" si="14"/>
        <v>0</v>
      </c>
      <c r="E116" s="110" t="str">
        <f>SUBSTITUTE(SUBSTITUTE(SUBSTITUTE(SUBSTITUTE(SUBSTITUTE(SUBSTITUTE(SUBSTITUTE(SUBSTITUTE(SUBSTITUTE(SUBSTITUTE(SUBSTITUTE('入力シート（2事業場以降）'!J33,"０","0"),"１","1"),"２","2"),"３","3"),"４","4"),"５","5"),"６","6"),"７","7"),"８","8"),"９","9"),"．",".")</f>
        <v/>
      </c>
      <c r="F116" s="4" t="str">
        <f t="shared" ref="F116" si="26">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116,"Ａ","A"),"Ｂ","B"),"Ｃ","C"),"Ｄ","D"),"Ｅ","E"),"Ｆ","F"),"Ｇ","G"),"Ｈ","H"),"Ｉ","I"),"Ｊ","J"),"Ｋ","K"),"Ｌ","L"),"Ｍ","M"),"Ｎ","N"),"Ｏ","O"),"Ｐ","P"),"Ｑ","Q"),"Ｒ","R"),"Ｓ","S"),"Ｔ","T"),"Ｕ","U"),"Ｖ","V"),"Ｗ","W"),"Ｘ","X"),"Ｙ","Y"),"Ｚ","Z"),"ａ","a"),"ｂ","b"),"ｃ","c"),"ｄ","d"),"ｅ","e"),"ｆ","f"),"ｇ","g"),"ｈ","h"),"ｉ","i"),"ｊ","j"),"ｋ","k"),"ｌ","l"),"ｍ","m"),"ｎ","n"),"ｏ","o"),"ｐ","p"),"ｑ","q"),"ｒ","r"),"ｓ","s"),"ｔ","t"),"ｕ","u"),"ｖ","v"),"ｗ","w"),"ｘ","x"),"ｙ","y"),"ｚ","z"),"＆","&amp;"),"－","-"),"．",".")</f>
        <v/>
      </c>
      <c r="G116" s="15" t="str">
        <f>IF($D116=1,TRIM(CLEAN(F116)),"")&amp;""</f>
        <v/>
      </c>
      <c r="H116" t="str">
        <f>IF(G115&lt;&gt;"",IF(G115="自動車整備士である証明","整備士合格証書番号",LEFT(G115,2)&amp;"番号"),C116)</f>
        <v>認証・指定・認定番号または、整備士合格証書番号</v>
      </c>
      <c r="W116" s="117" t="str">
        <f t="shared" si="16"/>
        <v>OK</v>
      </c>
      <c r="X116" t="str">
        <f t="shared" ca="1" si="25"/>
        <v>認証・指定・認定番号または、整備士合格証書番号を入力してください。</v>
      </c>
      <c r="Y116">
        <f>IF(G116&lt;&gt;"",0,1)</f>
        <v>1</v>
      </c>
      <c r="AA116" t="str">
        <f>H116&amp;"を入力してください。"</f>
        <v>認証・指定・認定番号または、整備士合格証書番号を入力してください。</v>
      </c>
    </row>
    <row r="117" spans="2:28" x14ac:dyDescent="0.15">
      <c r="B117" s="5">
        <v>7</v>
      </c>
      <c r="C117" s="5" t="s">
        <v>54</v>
      </c>
      <c r="D117" s="4">
        <f t="shared" si="14"/>
        <v>0</v>
      </c>
      <c r="E117" s="4"/>
      <c r="F117" s="4" t="s">
        <v>402</v>
      </c>
      <c r="G117" s="15" t="str">
        <f>IF($D117=1,TRIM(CLEAN('入力シート（2事業場以降）'!N33)),"")&amp;""</f>
        <v/>
      </c>
      <c r="W117" s="117" t="str">
        <f t="shared" si="16"/>
        <v>OK</v>
      </c>
      <c r="X117" t="str">
        <f t="shared" ca="1" si="25"/>
        <v>管轄運輸局を入力してください。</v>
      </c>
      <c r="Y117">
        <f>IF(G115&lt;&gt;"自動車整備士である証明",IF(G117&lt;&gt;"",0,1),0)</f>
        <v>1</v>
      </c>
      <c r="AA117" t="str">
        <f>C117&amp;"を入力してください。"</f>
        <v>管轄運輸局を入力してください。</v>
      </c>
    </row>
    <row r="118" spans="2:28" x14ac:dyDescent="0.15">
      <c r="B118" s="5">
        <v>7</v>
      </c>
      <c r="C118" s="5" t="s">
        <v>56</v>
      </c>
      <c r="D118" s="4">
        <f t="shared" si="14"/>
        <v>0</v>
      </c>
      <c r="E118" s="110" t="str">
        <f>DBCS('入力シート（2事業場以降）'!R33)</f>
        <v/>
      </c>
      <c r="F118" s="4" t="str">
        <f>SUBSTITUTE(SUBSTITUTE(SUBSTITUTE(SUBSTITUTE(E118,"　株式会社","株式会社"),"会社　","会社"),"　有限会社","有限会社"),"　合同会社","合同会社")</f>
        <v/>
      </c>
      <c r="G118" s="16" t="str">
        <f>IF($D118=1,TRIM(CLEAN(F118)),"")&amp;""</f>
        <v/>
      </c>
      <c r="W118" s="117" t="str">
        <f t="shared" si="16"/>
        <v>OK</v>
      </c>
      <c r="X118" t="str">
        <f t="shared" ca="1" si="25"/>
        <v>事業場名を入力してください。</v>
      </c>
      <c r="Y118">
        <f>IF(G118&lt;&gt;"",0,1)</f>
        <v>1</v>
      </c>
      <c r="AA118" t="str">
        <f>C118&amp;"を入力してください。"</f>
        <v>事業場名を入力してください。</v>
      </c>
    </row>
    <row r="119" spans="2:28" x14ac:dyDescent="0.15">
      <c r="B119" s="5">
        <v>7</v>
      </c>
      <c r="C119" s="5" t="s">
        <v>24</v>
      </c>
      <c r="D119" s="4">
        <f t="shared" si="14"/>
        <v>0</v>
      </c>
      <c r="E119" s="4"/>
      <c r="F119" s="4"/>
      <c r="G119" s="15" t="str">
        <f>IF($D119=1,TRIM(CLEAN(ASC('入力シート（2事業場以降）'!X33))),"")&amp;""</f>
        <v/>
      </c>
      <c r="H119" s="15" t="str">
        <f>IF($D119=1,TRIM(CLEAN(ASC('入力シート（2事業場以降）'!Z33))),"")&amp;""</f>
        <v/>
      </c>
      <c r="W119" s="117" t="str">
        <f t="shared" si="16"/>
        <v>OK</v>
      </c>
      <c r="X119" t="str">
        <f t="shared" ca="1" si="25"/>
        <v>郵便番号を入力してください。</v>
      </c>
      <c r="Y119">
        <f>IF(AND(LEN(G119)=3,LEN(H119)=4)=TRUE,0,1)</f>
        <v>1</v>
      </c>
      <c r="Z119">
        <f>IFERROR(IF(0&lt;VALUE(G119),0,1),1)</f>
        <v>1</v>
      </c>
      <c r="AA119" t="str">
        <f>C119&amp;"を入力してください。"</f>
        <v>郵便番号を入力してください。</v>
      </c>
      <c r="AB119" t="str">
        <f>"正しい"&amp;C119&amp;"を入力してください。"</f>
        <v>正しい郵便番号を入力してください。</v>
      </c>
    </row>
    <row r="120" spans="2:28" x14ac:dyDescent="0.15">
      <c r="B120" s="5">
        <v>7</v>
      </c>
      <c r="C120" s="5" t="s">
        <v>26</v>
      </c>
      <c r="D120" s="4">
        <f t="shared" si="14"/>
        <v>0</v>
      </c>
      <c r="E120" s="4"/>
      <c r="F120" s="4"/>
      <c r="G120" s="15" t="str">
        <f>IF($D120=1,TRIM(CLEAN('入力シート（2事業場以降）'!AB33)),"")&amp;""</f>
        <v/>
      </c>
      <c r="W120" s="117" t="str">
        <f t="shared" si="16"/>
        <v>OK</v>
      </c>
      <c r="X120" t="str">
        <f t="shared" ca="1" si="25"/>
        <v>都道府県を選択してください。</v>
      </c>
      <c r="Y120">
        <f>IF(G120&lt;&gt;"",0,1)</f>
        <v>1</v>
      </c>
      <c r="AA120" t="str">
        <f>C120&amp;"を選択してください。"</f>
        <v>都道府県を選択してください。</v>
      </c>
    </row>
    <row r="121" spans="2:28" x14ac:dyDescent="0.15">
      <c r="B121" s="5">
        <v>7</v>
      </c>
      <c r="C121" s="5" t="s">
        <v>29</v>
      </c>
      <c r="D121" s="4">
        <f t="shared" si="14"/>
        <v>0</v>
      </c>
      <c r="E121" s="110" t="str">
        <f>DBCS('入力シート（2事業場以降）'!AD33)</f>
        <v/>
      </c>
      <c r="F121" s="4"/>
      <c r="G121" s="15" t="str">
        <f>IF($D121=1,TRIM(CLEAN('入力シート（2事業場以降）'!AD33)),"")&amp;""</f>
        <v/>
      </c>
      <c r="W121" s="117" t="str">
        <f t="shared" si="16"/>
        <v>OK</v>
      </c>
      <c r="X121" t="str">
        <f t="shared" ca="1" si="25"/>
        <v>市区町村を入力してください。</v>
      </c>
      <c r="Y121">
        <f>IF(G121&lt;&gt;"",0,1)</f>
        <v>1</v>
      </c>
      <c r="AA121" t="str">
        <f>C121&amp;"を入力してください。"</f>
        <v>市区町村を入力してください。</v>
      </c>
    </row>
    <row r="122" spans="2:28" x14ac:dyDescent="0.15">
      <c r="B122" s="5">
        <v>7</v>
      </c>
      <c r="C122" s="5" t="s">
        <v>31</v>
      </c>
      <c r="D122" s="4">
        <f t="shared" si="14"/>
        <v>0</v>
      </c>
      <c r="E122" s="110" t="str">
        <f>DBCS('入力シート（2事業場以降）'!AH33)</f>
        <v/>
      </c>
      <c r="F122" s="4"/>
      <c r="G122" s="15" t="str">
        <f>IF($D122=1,TRIM(CLEAN('入力シート（2事業場以降）'!AH33)),"")&amp;""</f>
        <v/>
      </c>
      <c r="W122" s="117" t="str">
        <f t="shared" si="16"/>
        <v>OK</v>
      </c>
      <c r="X122" t="str">
        <f t="shared" ca="1" si="25"/>
        <v>町名地番を入力してください。</v>
      </c>
      <c r="Y122">
        <f>IF(G122&lt;&gt;"",0,1)</f>
        <v>1</v>
      </c>
      <c r="AA122" t="str">
        <f>C122&amp;"を入力してください。"</f>
        <v>町名地番を入力してください。</v>
      </c>
    </row>
    <row r="123" spans="2:28" x14ac:dyDescent="0.15">
      <c r="B123" s="5">
        <v>7</v>
      </c>
      <c r="C123" s="5" t="s">
        <v>34</v>
      </c>
      <c r="D123" s="4">
        <f t="shared" si="14"/>
        <v>0</v>
      </c>
      <c r="E123" s="110" t="str">
        <f>DBCS('入力シート（2事業場以降）'!AL33)</f>
        <v/>
      </c>
      <c r="F123" s="4"/>
      <c r="G123" s="15" t="str">
        <f>IF($D123=1,TRIM(CLEAN('入力シート（2事業場以降）'!AL33)),"")&amp;""</f>
        <v/>
      </c>
      <c r="W123" s="117" t="str">
        <f t="shared" si="16"/>
        <v>OK</v>
      </c>
    </row>
    <row r="124" spans="2:28" x14ac:dyDescent="0.15">
      <c r="B124" s="5">
        <v>8</v>
      </c>
      <c r="C124" s="5" t="s">
        <v>53</v>
      </c>
      <c r="D124" s="4">
        <f t="shared" si="14"/>
        <v>0</v>
      </c>
      <c r="E124" s="4"/>
      <c r="F124" s="4"/>
      <c r="G124" s="16" t="str">
        <f>IF($D124=1,'入力シート（2事業場以降）'!F35,"")&amp;""</f>
        <v/>
      </c>
      <c r="W124" s="117" t="str">
        <f t="shared" si="16"/>
        <v>OK</v>
      </c>
      <c r="X124" t="str">
        <f t="shared" ref="X124:X131" ca="1" si="27">IF(Y124=0,IF(Z124&lt;&gt;0,OFFSET(AA124,0,Z124),$V$1),AA124)</f>
        <v>書類の種類を選択してください。</v>
      </c>
      <c r="Y124">
        <f>IF(G124&lt;&gt;"",0,1)</f>
        <v>1</v>
      </c>
      <c r="AA124" t="str">
        <f>C124&amp;"を選択してください。"</f>
        <v>書類の種類を選択してください。</v>
      </c>
    </row>
    <row r="125" spans="2:28" x14ac:dyDescent="0.15">
      <c r="B125" s="5">
        <v>8</v>
      </c>
      <c r="C125" s="5" t="s">
        <v>424</v>
      </c>
      <c r="D125" s="4">
        <f t="shared" si="14"/>
        <v>0</v>
      </c>
      <c r="E125" s="110" t="str">
        <f>SUBSTITUTE(SUBSTITUTE(SUBSTITUTE(SUBSTITUTE(SUBSTITUTE(SUBSTITUTE(SUBSTITUTE(SUBSTITUTE(SUBSTITUTE(SUBSTITUTE(SUBSTITUTE('入力シート（2事業場以降）'!J35,"０","0"),"１","1"),"２","2"),"３","3"),"４","4"),"５","5"),"６","6"),"７","7"),"８","8"),"９","9"),"．",".")</f>
        <v/>
      </c>
      <c r="F125" s="4" t="str">
        <f t="shared" ref="F125" si="28">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125,"Ａ","A"),"Ｂ","B"),"Ｃ","C"),"Ｄ","D"),"Ｅ","E"),"Ｆ","F"),"Ｇ","G"),"Ｈ","H"),"Ｉ","I"),"Ｊ","J"),"Ｋ","K"),"Ｌ","L"),"Ｍ","M"),"Ｎ","N"),"Ｏ","O"),"Ｐ","P"),"Ｑ","Q"),"Ｒ","R"),"Ｓ","S"),"Ｔ","T"),"Ｕ","U"),"Ｖ","V"),"Ｗ","W"),"Ｘ","X"),"Ｙ","Y"),"Ｚ","Z"),"ａ","a"),"ｂ","b"),"ｃ","c"),"ｄ","d"),"ｅ","e"),"ｆ","f"),"ｇ","g"),"ｈ","h"),"ｉ","i"),"ｊ","j"),"ｋ","k"),"ｌ","l"),"ｍ","m"),"ｎ","n"),"ｏ","o"),"ｐ","p"),"ｑ","q"),"ｒ","r"),"ｓ","s"),"ｔ","t"),"ｕ","u"),"ｖ","v"),"ｗ","w"),"ｘ","x"),"ｙ","y"),"ｚ","z"),"＆","&amp;"),"－","-"),"．",".")</f>
        <v/>
      </c>
      <c r="G125" s="15" t="str">
        <f>IF($D125=1,TRIM(CLEAN(F125)),"")&amp;""</f>
        <v/>
      </c>
      <c r="H125" t="str">
        <f>IF(G124&lt;&gt;"",IF(G124="自動車整備士である証明","整備士合格証書番号",LEFT(G124,2)&amp;"番号"),C125)</f>
        <v>認証・指定・認定番号または、整備士合格証書番号</v>
      </c>
      <c r="W125" s="117" t="str">
        <f t="shared" si="16"/>
        <v>OK</v>
      </c>
      <c r="X125" t="str">
        <f t="shared" ca="1" si="27"/>
        <v>認証・指定・認定番号または、整備士合格証書番号を入力してください。</v>
      </c>
      <c r="Y125">
        <f>IF(G125&lt;&gt;"",0,1)</f>
        <v>1</v>
      </c>
      <c r="AA125" t="str">
        <f>H125&amp;"を入力してください。"</f>
        <v>認証・指定・認定番号または、整備士合格証書番号を入力してください。</v>
      </c>
    </row>
    <row r="126" spans="2:28" x14ac:dyDescent="0.15">
      <c r="B126" s="5">
        <v>8</v>
      </c>
      <c r="C126" s="5" t="s">
        <v>54</v>
      </c>
      <c r="D126" s="4">
        <f t="shared" si="14"/>
        <v>0</v>
      </c>
      <c r="E126" s="4"/>
      <c r="F126" s="4" t="s">
        <v>402</v>
      </c>
      <c r="G126" s="15" t="str">
        <f>IF($D126=1,TRIM(CLEAN('入力シート（2事業場以降）'!N35)),"")&amp;""</f>
        <v/>
      </c>
      <c r="W126" s="117" t="str">
        <f t="shared" si="16"/>
        <v>OK</v>
      </c>
      <c r="X126" t="str">
        <f t="shared" ca="1" si="27"/>
        <v>管轄運輸局を入力してください。</v>
      </c>
      <c r="Y126">
        <f>IF(G124&lt;&gt;"自動車整備士である証明",IF(G126&lt;&gt;"",0,1),0)</f>
        <v>1</v>
      </c>
      <c r="AA126" t="str">
        <f>C126&amp;"を入力してください。"</f>
        <v>管轄運輸局を入力してください。</v>
      </c>
    </row>
    <row r="127" spans="2:28" x14ac:dyDescent="0.15">
      <c r="B127" s="5">
        <v>8</v>
      </c>
      <c r="C127" s="5" t="s">
        <v>56</v>
      </c>
      <c r="D127" s="4">
        <f t="shared" si="14"/>
        <v>0</v>
      </c>
      <c r="E127" s="110" t="str">
        <f>DBCS('入力シート（2事業場以降）'!R35)</f>
        <v/>
      </c>
      <c r="F127" s="4" t="str">
        <f>SUBSTITUTE(SUBSTITUTE(SUBSTITUTE(SUBSTITUTE(E127,"　株式会社","株式会社"),"会社　","会社"),"　有限会社","有限会社"),"　合同会社","合同会社")</f>
        <v/>
      </c>
      <c r="G127" s="16" t="str">
        <f>IF($D127=1,TRIM(CLEAN(F127)),"")&amp;""</f>
        <v/>
      </c>
      <c r="W127" s="117" t="str">
        <f t="shared" si="16"/>
        <v>OK</v>
      </c>
      <c r="X127" t="str">
        <f t="shared" ca="1" si="27"/>
        <v>事業場名を入力してください。</v>
      </c>
      <c r="Y127">
        <f>IF(G127&lt;&gt;"",0,1)</f>
        <v>1</v>
      </c>
      <c r="AA127" t="str">
        <f>C127&amp;"を入力してください。"</f>
        <v>事業場名を入力してください。</v>
      </c>
    </row>
    <row r="128" spans="2:28" x14ac:dyDescent="0.15">
      <c r="B128" s="5">
        <v>8</v>
      </c>
      <c r="C128" s="5" t="s">
        <v>24</v>
      </c>
      <c r="D128" s="4">
        <f t="shared" si="14"/>
        <v>0</v>
      </c>
      <c r="E128" s="4"/>
      <c r="F128" s="4"/>
      <c r="G128" s="15" t="str">
        <f>IF($D128=1,TRIM(CLEAN(ASC('入力シート（2事業場以降）'!X35))),"")&amp;""</f>
        <v/>
      </c>
      <c r="H128" s="15" t="str">
        <f>IF($D128=1,TRIM(CLEAN(ASC('入力シート（2事業場以降）'!Z35))),"")&amp;""</f>
        <v/>
      </c>
      <c r="W128" s="117" t="str">
        <f t="shared" si="16"/>
        <v>OK</v>
      </c>
      <c r="X128" t="str">
        <f t="shared" ca="1" si="27"/>
        <v>郵便番号を入力してください。</v>
      </c>
      <c r="Y128">
        <f>IF(AND(LEN(G128)=3,LEN(H128)=4)=TRUE,0,1)</f>
        <v>1</v>
      </c>
      <c r="Z128">
        <f>IFERROR(IF(0&lt;VALUE(G128),0,1),1)</f>
        <v>1</v>
      </c>
      <c r="AA128" t="str">
        <f>C128&amp;"を入力してください。"</f>
        <v>郵便番号を入力してください。</v>
      </c>
      <c r="AB128" t="str">
        <f>"正しい"&amp;C128&amp;"を入力してください。"</f>
        <v>正しい郵便番号を入力してください。</v>
      </c>
    </row>
    <row r="129" spans="2:28" x14ac:dyDescent="0.15">
      <c r="B129" s="5">
        <v>8</v>
      </c>
      <c r="C129" s="5" t="s">
        <v>26</v>
      </c>
      <c r="D129" s="4">
        <f t="shared" si="14"/>
        <v>0</v>
      </c>
      <c r="E129" s="4"/>
      <c r="F129" s="4"/>
      <c r="G129" s="15" t="str">
        <f>IF($D129=1,TRIM(CLEAN('入力シート（2事業場以降）'!AB35)),"")&amp;""</f>
        <v/>
      </c>
      <c r="W129" s="117" t="str">
        <f t="shared" si="16"/>
        <v>OK</v>
      </c>
      <c r="X129" t="str">
        <f t="shared" ca="1" si="27"/>
        <v>都道府県を選択してください。</v>
      </c>
      <c r="Y129">
        <f>IF(G129&lt;&gt;"",0,1)</f>
        <v>1</v>
      </c>
      <c r="AA129" t="str">
        <f>C129&amp;"を選択してください。"</f>
        <v>都道府県を選択してください。</v>
      </c>
    </row>
    <row r="130" spans="2:28" x14ac:dyDescent="0.15">
      <c r="B130" s="5">
        <v>8</v>
      </c>
      <c r="C130" s="5" t="s">
        <v>29</v>
      </c>
      <c r="D130" s="4">
        <f t="shared" si="14"/>
        <v>0</v>
      </c>
      <c r="E130" s="110" t="str">
        <f>DBCS('入力シート（2事業場以降）'!AD35)</f>
        <v/>
      </c>
      <c r="F130" s="4"/>
      <c r="G130" s="15" t="str">
        <f>IF($D130=1,TRIM(CLEAN('入力シート（2事業場以降）'!AD35)),"")&amp;""</f>
        <v/>
      </c>
      <c r="W130" s="117" t="str">
        <f t="shared" si="16"/>
        <v>OK</v>
      </c>
      <c r="X130" t="str">
        <f t="shared" ca="1" si="27"/>
        <v>市区町村を入力してください。</v>
      </c>
      <c r="Y130">
        <f>IF(G130&lt;&gt;"",0,1)</f>
        <v>1</v>
      </c>
      <c r="AA130" t="str">
        <f>C130&amp;"を入力してください。"</f>
        <v>市区町村を入力してください。</v>
      </c>
    </row>
    <row r="131" spans="2:28" x14ac:dyDescent="0.15">
      <c r="B131" s="5">
        <v>8</v>
      </c>
      <c r="C131" s="5" t="s">
        <v>31</v>
      </c>
      <c r="D131" s="4">
        <f t="shared" si="14"/>
        <v>0</v>
      </c>
      <c r="E131" s="110" t="str">
        <f>DBCS('入力シート（2事業場以降）'!AH35)</f>
        <v/>
      </c>
      <c r="F131" s="4"/>
      <c r="G131" s="15" t="str">
        <f>IF($D131=1,TRIM(CLEAN('入力シート（2事業場以降）'!AH35)),"")&amp;""</f>
        <v/>
      </c>
      <c r="W131" s="117" t="str">
        <f t="shared" si="16"/>
        <v>OK</v>
      </c>
      <c r="X131" t="str">
        <f t="shared" ca="1" si="27"/>
        <v>町名地番を入力してください。</v>
      </c>
      <c r="Y131">
        <f>IF(G131&lt;&gt;"",0,1)</f>
        <v>1</v>
      </c>
      <c r="AA131" t="str">
        <f>C131&amp;"を入力してください。"</f>
        <v>町名地番を入力してください。</v>
      </c>
    </row>
    <row r="132" spans="2:28" x14ac:dyDescent="0.15">
      <c r="B132" s="5">
        <v>8</v>
      </c>
      <c r="C132" s="5" t="s">
        <v>34</v>
      </c>
      <c r="D132" s="4">
        <f t="shared" si="14"/>
        <v>0</v>
      </c>
      <c r="E132" s="110" t="str">
        <f>DBCS('入力シート（2事業場以降）'!AL35)</f>
        <v/>
      </c>
      <c r="F132" s="4"/>
      <c r="G132" s="15" t="str">
        <f>IF($D132=1,TRIM(CLEAN('入力シート（2事業場以降）'!AL35)),"")&amp;""</f>
        <v/>
      </c>
      <c r="W132" s="117" t="str">
        <f t="shared" si="16"/>
        <v>OK</v>
      </c>
    </row>
    <row r="133" spans="2:28" x14ac:dyDescent="0.15">
      <c r="B133" s="5">
        <v>9</v>
      </c>
      <c r="C133" s="5" t="s">
        <v>53</v>
      </c>
      <c r="D133" s="4">
        <f t="shared" si="14"/>
        <v>0</v>
      </c>
      <c r="E133" s="4"/>
      <c r="F133" s="4"/>
      <c r="G133" s="16" t="str">
        <f>IF($D133=1,'入力シート（2事業場以降）'!F37,"")&amp;""</f>
        <v/>
      </c>
      <c r="W133" s="117" t="str">
        <f t="shared" si="16"/>
        <v>OK</v>
      </c>
      <c r="X133" t="str">
        <f t="shared" ref="X133:X140" ca="1" si="29">IF(Y133=0,IF(Z133&lt;&gt;0,OFFSET(AA133,0,Z133),$V$1),AA133)</f>
        <v>書類の種類を選択してください。</v>
      </c>
      <c r="Y133">
        <f>IF(G133&lt;&gt;"",0,1)</f>
        <v>1</v>
      </c>
      <c r="AA133" t="str">
        <f>C133&amp;"を選択してください。"</f>
        <v>書類の種類を選択してください。</v>
      </c>
    </row>
    <row r="134" spans="2:28" x14ac:dyDescent="0.15">
      <c r="B134" s="5">
        <v>9</v>
      </c>
      <c r="C134" s="5" t="s">
        <v>424</v>
      </c>
      <c r="D134" s="4">
        <f t="shared" si="14"/>
        <v>0</v>
      </c>
      <c r="E134" s="110" t="str">
        <f>SUBSTITUTE(SUBSTITUTE(SUBSTITUTE(SUBSTITUTE(SUBSTITUTE(SUBSTITUTE(SUBSTITUTE(SUBSTITUTE(SUBSTITUTE(SUBSTITUTE(SUBSTITUTE('入力シート（2事業場以降）'!J37,"０","0"),"１","1"),"２","2"),"３","3"),"４","4"),"５","5"),"６","6"),"７","7"),"８","8"),"９","9"),"．",".")</f>
        <v/>
      </c>
      <c r="F134" s="4" t="str">
        <f t="shared" ref="F134" si="30">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134,"Ａ","A"),"Ｂ","B"),"Ｃ","C"),"Ｄ","D"),"Ｅ","E"),"Ｆ","F"),"Ｇ","G"),"Ｈ","H"),"Ｉ","I"),"Ｊ","J"),"Ｋ","K"),"Ｌ","L"),"Ｍ","M"),"Ｎ","N"),"Ｏ","O"),"Ｐ","P"),"Ｑ","Q"),"Ｒ","R"),"Ｓ","S"),"Ｔ","T"),"Ｕ","U"),"Ｖ","V"),"Ｗ","W"),"Ｘ","X"),"Ｙ","Y"),"Ｚ","Z"),"ａ","a"),"ｂ","b"),"ｃ","c"),"ｄ","d"),"ｅ","e"),"ｆ","f"),"ｇ","g"),"ｈ","h"),"ｉ","i"),"ｊ","j"),"ｋ","k"),"ｌ","l"),"ｍ","m"),"ｎ","n"),"ｏ","o"),"ｐ","p"),"ｑ","q"),"ｒ","r"),"ｓ","s"),"ｔ","t"),"ｕ","u"),"ｖ","v"),"ｗ","w"),"ｘ","x"),"ｙ","y"),"ｚ","z"),"＆","&amp;"),"－","-"),"．",".")</f>
        <v/>
      </c>
      <c r="G134" s="15" t="str">
        <f>IF($D134=1,TRIM(CLEAN(F134)),"")&amp;""</f>
        <v/>
      </c>
      <c r="H134" t="str">
        <f>IF(G133&lt;&gt;"",IF(G133="自動車整備士である証明","整備士合格証書番号",LEFT(G133,2)&amp;"番号"),C134)</f>
        <v>認証・指定・認定番号または、整備士合格証書番号</v>
      </c>
      <c r="W134" s="117" t="str">
        <f t="shared" si="16"/>
        <v>OK</v>
      </c>
      <c r="X134" t="str">
        <f t="shared" ca="1" si="29"/>
        <v>認証・指定・認定番号または、整備士合格証書番号を入力してください。</v>
      </c>
      <c r="Y134">
        <f>IF(G134&lt;&gt;"",0,1)</f>
        <v>1</v>
      </c>
      <c r="AA134" t="str">
        <f>H134&amp;"を入力してください。"</f>
        <v>認証・指定・認定番号または、整備士合格証書番号を入力してください。</v>
      </c>
    </row>
    <row r="135" spans="2:28" x14ac:dyDescent="0.15">
      <c r="B135" s="5">
        <v>9</v>
      </c>
      <c r="C135" s="5" t="s">
        <v>54</v>
      </c>
      <c r="D135" s="4">
        <f t="shared" ref="D135:D198" si="31">IF(AND(B135&lt;=$G$60),1,0)</f>
        <v>0</v>
      </c>
      <c r="E135" s="4"/>
      <c r="F135" s="4" t="s">
        <v>402</v>
      </c>
      <c r="G135" s="15" t="str">
        <f>IF($D135=1,TRIM(CLEAN('入力シート（2事業場以降）'!N37)),"")&amp;""</f>
        <v/>
      </c>
      <c r="W135" s="117" t="str">
        <f t="shared" ref="W135:W198" si="32">IF(B135&lt;=$G$60,IF(X135="OK",X135,"NG"),"OK")</f>
        <v>OK</v>
      </c>
      <c r="X135" t="str">
        <f t="shared" ca="1" si="29"/>
        <v>管轄運輸局を入力してください。</v>
      </c>
      <c r="Y135">
        <f>IF(G133&lt;&gt;"自動車整備士である証明",IF(G135&lt;&gt;"",0,1),0)</f>
        <v>1</v>
      </c>
      <c r="AA135" t="str">
        <f>C135&amp;"を入力してください。"</f>
        <v>管轄運輸局を入力してください。</v>
      </c>
    </row>
    <row r="136" spans="2:28" x14ac:dyDescent="0.15">
      <c r="B136" s="5">
        <v>9</v>
      </c>
      <c r="C136" s="5" t="s">
        <v>56</v>
      </c>
      <c r="D136" s="4">
        <f t="shared" si="31"/>
        <v>0</v>
      </c>
      <c r="E136" s="110" t="str">
        <f>DBCS('入力シート（2事業場以降）'!R37)</f>
        <v/>
      </c>
      <c r="F136" s="4" t="str">
        <f>SUBSTITUTE(SUBSTITUTE(SUBSTITUTE(SUBSTITUTE(E136,"　株式会社","株式会社"),"会社　","会社"),"　有限会社","有限会社"),"　合同会社","合同会社")</f>
        <v/>
      </c>
      <c r="G136" s="16" t="str">
        <f>IF($D136=1,TRIM(CLEAN(F136)),"")&amp;""</f>
        <v/>
      </c>
      <c r="W136" s="117" t="str">
        <f t="shared" si="32"/>
        <v>OK</v>
      </c>
      <c r="X136" t="str">
        <f t="shared" ca="1" si="29"/>
        <v>事業場名を入力してください。</v>
      </c>
      <c r="Y136">
        <f>IF(G136&lt;&gt;"",0,1)</f>
        <v>1</v>
      </c>
      <c r="AA136" t="str">
        <f>C136&amp;"を入力してください。"</f>
        <v>事業場名を入力してください。</v>
      </c>
    </row>
    <row r="137" spans="2:28" x14ac:dyDescent="0.15">
      <c r="B137" s="5">
        <v>9</v>
      </c>
      <c r="C137" s="5" t="s">
        <v>24</v>
      </c>
      <c r="D137" s="4">
        <f t="shared" si="31"/>
        <v>0</v>
      </c>
      <c r="E137" s="4"/>
      <c r="F137" s="4"/>
      <c r="G137" s="15" t="str">
        <f>IF($D137=1,TRIM(CLEAN(ASC('入力シート（2事業場以降）'!X37))),"")&amp;""</f>
        <v/>
      </c>
      <c r="H137" s="15" t="str">
        <f>IF($D137=1,TRIM(CLEAN(ASC('入力シート（2事業場以降）'!Z37))),"")&amp;""</f>
        <v/>
      </c>
      <c r="W137" s="117" t="str">
        <f t="shared" si="32"/>
        <v>OK</v>
      </c>
      <c r="X137" t="str">
        <f t="shared" ca="1" si="29"/>
        <v>郵便番号を入力してください。</v>
      </c>
      <c r="Y137">
        <f>IF(AND(LEN(G137)=3,LEN(H137)=4)=TRUE,0,1)</f>
        <v>1</v>
      </c>
      <c r="Z137">
        <f>IFERROR(IF(0&lt;VALUE(G137),0,1),1)</f>
        <v>1</v>
      </c>
      <c r="AA137" t="str">
        <f>C137&amp;"を入力してください。"</f>
        <v>郵便番号を入力してください。</v>
      </c>
      <c r="AB137" t="str">
        <f>"正しい"&amp;C137&amp;"を入力してください。"</f>
        <v>正しい郵便番号を入力してください。</v>
      </c>
    </row>
    <row r="138" spans="2:28" x14ac:dyDescent="0.15">
      <c r="B138" s="5">
        <v>9</v>
      </c>
      <c r="C138" s="5" t="s">
        <v>26</v>
      </c>
      <c r="D138" s="4">
        <f t="shared" si="31"/>
        <v>0</v>
      </c>
      <c r="E138" s="4"/>
      <c r="F138" s="4"/>
      <c r="G138" s="15" t="str">
        <f>IF($D138=1,TRIM(CLEAN('入力シート（2事業場以降）'!AB37)),"")&amp;""</f>
        <v/>
      </c>
      <c r="W138" s="117" t="str">
        <f t="shared" si="32"/>
        <v>OK</v>
      </c>
      <c r="X138" t="str">
        <f t="shared" ca="1" si="29"/>
        <v>都道府県を選択してください。</v>
      </c>
      <c r="Y138">
        <f>IF(G138&lt;&gt;"",0,1)</f>
        <v>1</v>
      </c>
      <c r="AA138" t="str">
        <f>C138&amp;"を選択してください。"</f>
        <v>都道府県を選択してください。</v>
      </c>
    </row>
    <row r="139" spans="2:28" x14ac:dyDescent="0.15">
      <c r="B139" s="5">
        <v>9</v>
      </c>
      <c r="C139" s="5" t="s">
        <v>29</v>
      </c>
      <c r="D139" s="4">
        <f t="shared" si="31"/>
        <v>0</v>
      </c>
      <c r="E139" s="110" t="str">
        <f>DBCS('入力シート（2事業場以降）'!AD37)</f>
        <v/>
      </c>
      <c r="F139" s="4"/>
      <c r="G139" s="15" t="str">
        <f>IF($D139=1,TRIM(CLEAN('入力シート（2事業場以降）'!AD37)),"")&amp;""</f>
        <v/>
      </c>
      <c r="W139" s="117" t="str">
        <f t="shared" si="32"/>
        <v>OK</v>
      </c>
      <c r="X139" t="str">
        <f t="shared" ca="1" si="29"/>
        <v>市区町村を入力してください。</v>
      </c>
      <c r="Y139">
        <f>IF(G139&lt;&gt;"",0,1)</f>
        <v>1</v>
      </c>
      <c r="AA139" t="str">
        <f>C139&amp;"を入力してください。"</f>
        <v>市区町村を入力してください。</v>
      </c>
    </row>
    <row r="140" spans="2:28" x14ac:dyDescent="0.15">
      <c r="B140" s="5">
        <v>9</v>
      </c>
      <c r="C140" s="5" t="s">
        <v>31</v>
      </c>
      <c r="D140" s="4">
        <f t="shared" si="31"/>
        <v>0</v>
      </c>
      <c r="E140" s="110" t="str">
        <f>DBCS('入力シート（2事業場以降）'!AH37)</f>
        <v/>
      </c>
      <c r="F140" s="4"/>
      <c r="G140" s="15" t="str">
        <f>IF($D140=1,TRIM(CLEAN('入力シート（2事業場以降）'!AH37)),"")&amp;""</f>
        <v/>
      </c>
      <c r="W140" s="117" t="str">
        <f t="shared" si="32"/>
        <v>OK</v>
      </c>
      <c r="X140" t="str">
        <f t="shared" ca="1" si="29"/>
        <v>町名地番を入力してください。</v>
      </c>
      <c r="Y140">
        <f>IF(G140&lt;&gt;"",0,1)</f>
        <v>1</v>
      </c>
      <c r="AA140" t="str">
        <f>C140&amp;"を入力してください。"</f>
        <v>町名地番を入力してください。</v>
      </c>
    </row>
    <row r="141" spans="2:28" x14ac:dyDescent="0.15">
      <c r="B141" s="5">
        <v>9</v>
      </c>
      <c r="C141" s="5" t="s">
        <v>34</v>
      </c>
      <c r="D141" s="4">
        <f t="shared" si="31"/>
        <v>0</v>
      </c>
      <c r="E141" s="110" t="str">
        <f>DBCS('入力シート（2事業場以降）'!AL37)</f>
        <v/>
      </c>
      <c r="F141" s="4"/>
      <c r="G141" s="15" t="str">
        <f>IF($D141=1,TRIM(CLEAN('入力シート（2事業場以降）'!AL37)),"")&amp;""</f>
        <v/>
      </c>
      <c r="W141" s="117" t="str">
        <f t="shared" si="32"/>
        <v>OK</v>
      </c>
    </row>
    <row r="142" spans="2:28" x14ac:dyDescent="0.15">
      <c r="B142" s="5">
        <v>10</v>
      </c>
      <c r="C142" s="5" t="s">
        <v>53</v>
      </c>
      <c r="D142" s="4">
        <f t="shared" si="31"/>
        <v>0</v>
      </c>
      <c r="E142" s="4"/>
      <c r="F142" s="4"/>
      <c r="G142" s="16" t="str">
        <f>IF($D142=1,'入力シート（2事業場以降）'!F39,"")&amp;""</f>
        <v/>
      </c>
      <c r="W142" s="117" t="str">
        <f t="shared" si="32"/>
        <v>OK</v>
      </c>
      <c r="X142" t="str">
        <f t="shared" ref="X142:X149" ca="1" si="33">IF(Y142=0,IF(Z142&lt;&gt;0,OFFSET(AA142,0,Z142),$V$1),AA142)</f>
        <v>書類の種類を選択してください。</v>
      </c>
      <c r="Y142">
        <f>IF(G142&lt;&gt;"",0,1)</f>
        <v>1</v>
      </c>
      <c r="AA142" t="str">
        <f>C142&amp;"を選択してください。"</f>
        <v>書類の種類を選択してください。</v>
      </c>
    </row>
    <row r="143" spans="2:28" x14ac:dyDescent="0.15">
      <c r="B143" s="5">
        <v>10</v>
      </c>
      <c r="C143" s="5" t="s">
        <v>424</v>
      </c>
      <c r="D143" s="4">
        <f t="shared" si="31"/>
        <v>0</v>
      </c>
      <c r="E143" s="110" t="str">
        <f>SUBSTITUTE(SUBSTITUTE(SUBSTITUTE(SUBSTITUTE(SUBSTITUTE(SUBSTITUTE(SUBSTITUTE(SUBSTITUTE(SUBSTITUTE(SUBSTITUTE(SUBSTITUTE('入力シート（2事業場以降）'!J39,"０","0"),"１","1"),"２","2"),"３","3"),"４","4"),"５","5"),"６","6"),"７","7"),"８","8"),"９","9"),"．",".")</f>
        <v/>
      </c>
      <c r="F143" s="4" t="str">
        <f t="shared" ref="F143" si="34">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143,"Ａ","A"),"Ｂ","B"),"Ｃ","C"),"Ｄ","D"),"Ｅ","E"),"Ｆ","F"),"Ｇ","G"),"Ｈ","H"),"Ｉ","I"),"Ｊ","J"),"Ｋ","K"),"Ｌ","L"),"Ｍ","M"),"Ｎ","N"),"Ｏ","O"),"Ｐ","P"),"Ｑ","Q"),"Ｒ","R"),"Ｓ","S"),"Ｔ","T"),"Ｕ","U"),"Ｖ","V"),"Ｗ","W"),"Ｘ","X"),"Ｙ","Y"),"Ｚ","Z"),"ａ","a"),"ｂ","b"),"ｃ","c"),"ｄ","d"),"ｅ","e"),"ｆ","f"),"ｇ","g"),"ｈ","h"),"ｉ","i"),"ｊ","j"),"ｋ","k"),"ｌ","l"),"ｍ","m"),"ｎ","n"),"ｏ","o"),"ｐ","p"),"ｑ","q"),"ｒ","r"),"ｓ","s"),"ｔ","t"),"ｕ","u"),"ｖ","v"),"ｗ","w"),"ｘ","x"),"ｙ","y"),"ｚ","z"),"＆","&amp;"),"－","-"),"．",".")</f>
        <v/>
      </c>
      <c r="G143" s="15" t="str">
        <f>IF($D143=1,TRIM(CLEAN(F143)),"")&amp;""</f>
        <v/>
      </c>
      <c r="H143" t="str">
        <f>IF(G142&lt;&gt;"",IF(G142="自動車整備士である証明","整備士合格証書番号",LEFT(G142,2)&amp;"番号"),C143)</f>
        <v>認証・指定・認定番号または、整備士合格証書番号</v>
      </c>
      <c r="W143" s="117" t="str">
        <f t="shared" si="32"/>
        <v>OK</v>
      </c>
      <c r="X143" t="str">
        <f t="shared" ca="1" si="33"/>
        <v>認証・指定・認定番号または、整備士合格証書番号を入力してください。</v>
      </c>
      <c r="Y143">
        <f>IF(G143&lt;&gt;"",0,1)</f>
        <v>1</v>
      </c>
      <c r="AA143" t="str">
        <f>H143&amp;"を入力してください。"</f>
        <v>認証・指定・認定番号または、整備士合格証書番号を入力してください。</v>
      </c>
    </row>
    <row r="144" spans="2:28" x14ac:dyDescent="0.15">
      <c r="B144" s="5">
        <v>10</v>
      </c>
      <c r="C144" s="5" t="s">
        <v>54</v>
      </c>
      <c r="D144" s="4">
        <f t="shared" si="31"/>
        <v>0</v>
      </c>
      <c r="E144" s="4"/>
      <c r="F144" s="4" t="s">
        <v>402</v>
      </c>
      <c r="G144" s="15" t="str">
        <f>IF($D144=1,TRIM(CLEAN('入力シート（2事業場以降）'!N39)),"")&amp;""</f>
        <v/>
      </c>
      <c r="W144" s="117" t="str">
        <f t="shared" si="32"/>
        <v>OK</v>
      </c>
      <c r="X144" t="str">
        <f t="shared" ca="1" si="33"/>
        <v>管轄運輸局を入力してください。</v>
      </c>
      <c r="Y144">
        <f>IF(G142&lt;&gt;"自動車整備士である証明",IF(G144&lt;&gt;"",0,1),0)</f>
        <v>1</v>
      </c>
      <c r="AA144" t="str">
        <f>C144&amp;"を入力してください。"</f>
        <v>管轄運輸局を入力してください。</v>
      </c>
    </row>
    <row r="145" spans="2:28" x14ac:dyDescent="0.15">
      <c r="B145" s="5">
        <v>10</v>
      </c>
      <c r="C145" s="5" t="s">
        <v>56</v>
      </c>
      <c r="D145" s="4">
        <f t="shared" si="31"/>
        <v>0</v>
      </c>
      <c r="E145" s="110" t="str">
        <f>DBCS('入力シート（2事業場以降）'!R39)</f>
        <v/>
      </c>
      <c r="F145" s="4" t="str">
        <f>SUBSTITUTE(SUBSTITUTE(SUBSTITUTE(SUBSTITUTE(E145,"　株式会社","株式会社"),"会社　","会社"),"　有限会社","有限会社"),"　合同会社","合同会社")</f>
        <v/>
      </c>
      <c r="G145" s="16" t="str">
        <f>IF($D145=1,TRIM(CLEAN(F145)),"")&amp;""</f>
        <v/>
      </c>
      <c r="W145" s="117" t="str">
        <f t="shared" si="32"/>
        <v>OK</v>
      </c>
      <c r="X145" t="str">
        <f t="shared" ca="1" si="33"/>
        <v>事業場名を入力してください。</v>
      </c>
      <c r="Y145">
        <f>IF(G145&lt;&gt;"",0,1)</f>
        <v>1</v>
      </c>
      <c r="AA145" t="str">
        <f>C145&amp;"を入力してください。"</f>
        <v>事業場名を入力してください。</v>
      </c>
    </row>
    <row r="146" spans="2:28" x14ac:dyDescent="0.15">
      <c r="B146" s="5">
        <v>10</v>
      </c>
      <c r="C146" s="5" t="s">
        <v>24</v>
      </c>
      <c r="D146" s="4">
        <f t="shared" si="31"/>
        <v>0</v>
      </c>
      <c r="E146" s="4"/>
      <c r="F146" s="4"/>
      <c r="G146" s="15" t="str">
        <f>IF($D146=1,TRIM(CLEAN(ASC('入力シート（2事業場以降）'!X39))),"")&amp;""</f>
        <v/>
      </c>
      <c r="H146" s="15" t="str">
        <f>IF($D146=1,TRIM(CLEAN(ASC('入力シート（2事業場以降）'!Z39))),"")&amp;""</f>
        <v/>
      </c>
      <c r="W146" s="117" t="str">
        <f t="shared" si="32"/>
        <v>OK</v>
      </c>
      <c r="X146" t="str">
        <f t="shared" ca="1" si="33"/>
        <v>郵便番号を入力してください。</v>
      </c>
      <c r="Y146">
        <f>IF(AND(LEN(G146)=3,LEN(H146)=4)=TRUE,0,1)</f>
        <v>1</v>
      </c>
      <c r="Z146">
        <f>IFERROR(IF(0&lt;VALUE(G146),0,1),1)</f>
        <v>1</v>
      </c>
      <c r="AA146" t="str">
        <f>C146&amp;"を入力してください。"</f>
        <v>郵便番号を入力してください。</v>
      </c>
      <c r="AB146" t="str">
        <f>"正しい"&amp;C146&amp;"を入力してください。"</f>
        <v>正しい郵便番号を入力してください。</v>
      </c>
    </row>
    <row r="147" spans="2:28" x14ac:dyDescent="0.15">
      <c r="B147" s="5">
        <v>10</v>
      </c>
      <c r="C147" s="5" t="s">
        <v>26</v>
      </c>
      <c r="D147" s="4">
        <f t="shared" si="31"/>
        <v>0</v>
      </c>
      <c r="E147" s="4"/>
      <c r="F147" s="4"/>
      <c r="G147" s="15" t="str">
        <f>IF($D147=1,TRIM(CLEAN('入力シート（2事業場以降）'!AB39)),"")&amp;""</f>
        <v/>
      </c>
      <c r="W147" s="117" t="str">
        <f t="shared" si="32"/>
        <v>OK</v>
      </c>
      <c r="X147" t="str">
        <f t="shared" ca="1" si="33"/>
        <v>都道府県を選択してください。</v>
      </c>
      <c r="Y147">
        <f>IF(G147&lt;&gt;"",0,1)</f>
        <v>1</v>
      </c>
      <c r="AA147" t="str">
        <f>C147&amp;"を選択してください。"</f>
        <v>都道府県を選択してください。</v>
      </c>
    </row>
    <row r="148" spans="2:28" x14ac:dyDescent="0.15">
      <c r="B148" s="5">
        <v>10</v>
      </c>
      <c r="C148" s="5" t="s">
        <v>29</v>
      </c>
      <c r="D148" s="4">
        <f t="shared" si="31"/>
        <v>0</v>
      </c>
      <c r="E148" s="110" t="str">
        <f>DBCS('入力シート（2事業場以降）'!AD39)</f>
        <v/>
      </c>
      <c r="F148" s="4"/>
      <c r="G148" s="15" t="str">
        <f>IF($D148=1,TRIM(CLEAN('入力シート（2事業場以降）'!AD39)),"")&amp;""</f>
        <v/>
      </c>
      <c r="W148" s="117" t="str">
        <f t="shared" si="32"/>
        <v>OK</v>
      </c>
      <c r="X148" t="str">
        <f t="shared" ca="1" si="33"/>
        <v>市区町村を入力してください。</v>
      </c>
      <c r="Y148">
        <f>IF(G148&lt;&gt;"",0,1)</f>
        <v>1</v>
      </c>
      <c r="AA148" t="str">
        <f>C148&amp;"を入力してください。"</f>
        <v>市区町村を入力してください。</v>
      </c>
    </row>
    <row r="149" spans="2:28" x14ac:dyDescent="0.15">
      <c r="B149" s="5">
        <v>10</v>
      </c>
      <c r="C149" s="5" t="s">
        <v>31</v>
      </c>
      <c r="D149" s="4">
        <f t="shared" si="31"/>
        <v>0</v>
      </c>
      <c r="E149" s="110" t="str">
        <f>DBCS('入力シート（2事業場以降）'!AH39)</f>
        <v/>
      </c>
      <c r="F149" s="4"/>
      <c r="G149" s="15" t="str">
        <f>IF($D149=1,TRIM(CLEAN('入力シート（2事業場以降）'!AH39)),"")&amp;""</f>
        <v/>
      </c>
      <c r="W149" s="117" t="str">
        <f t="shared" si="32"/>
        <v>OK</v>
      </c>
      <c r="X149" t="str">
        <f t="shared" ca="1" si="33"/>
        <v>町名地番を入力してください。</v>
      </c>
      <c r="Y149">
        <f>IF(G149&lt;&gt;"",0,1)</f>
        <v>1</v>
      </c>
      <c r="AA149" t="str">
        <f>C149&amp;"を入力してください。"</f>
        <v>町名地番を入力してください。</v>
      </c>
    </row>
    <row r="150" spans="2:28" x14ac:dyDescent="0.15">
      <c r="B150" s="5">
        <v>10</v>
      </c>
      <c r="C150" s="5" t="s">
        <v>34</v>
      </c>
      <c r="D150" s="4">
        <f t="shared" si="31"/>
        <v>0</v>
      </c>
      <c r="E150" s="110" t="str">
        <f>DBCS('入力シート（2事業場以降）'!AL39)</f>
        <v/>
      </c>
      <c r="F150" s="4"/>
      <c r="G150" s="15" t="str">
        <f>IF($D150=1,TRIM(CLEAN('入力シート（2事業場以降）'!AL39)),"")&amp;""</f>
        <v/>
      </c>
      <c r="W150" s="117" t="str">
        <f t="shared" si="32"/>
        <v>OK</v>
      </c>
    </row>
    <row r="151" spans="2:28" x14ac:dyDescent="0.15">
      <c r="B151" s="5">
        <v>11</v>
      </c>
      <c r="C151" s="5" t="s">
        <v>53</v>
      </c>
      <c r="D151" s="4">
        <f t="shared" si="31"/>
        <v>0</v>
      </c>
      <c r="E151" s="4"/>
      <c r="F151" s="4"/>
      <c r="G151" s="16" t="str">
        <f>IF($D151=1,'入力シート（2事業場以降）'!F41,"")&amp;""</f>
        <v/>
      </c>
      <c r="W151" s="117" t="str">
        <f t="shared" si="32"/>
        <v>OK</v>
      </c>
      <c r="X151" t="str">
        <f t="shared" ref="X151:X158" ca="1" si="35">IF(Y151=0,IF(Z151&lt;&gt;0,OFFSET(AA151,0,Z151),$V$1),AA151)</f>
        <v>書類の種類を選択してください。</v>
      </c>
      <c r="Y151">
        <f>IF(G151&lt;&gt;"",0,1)</f>
        <v>1</v>
      </c>
      <c r="AA151" t="str">
        <f>C151&amp;"を選択してください。"</f>
        <v>書類の種類を選択してください。</v>
      </c>
    </row>
    <row r="152" spans="2:28" x14ac:dyDescent="0.15">
      <c r="B152" s="5">
        <v>11</v>
      </c>
      <c r="C152" s="5" t="s">
        <v>424</v>
      </c>
      <c r="D152" s="4">
        <f t="shared" si="31"/>
        <v>0</v>
      </c>
      <c r="E152" s="110" t="str">
        <f>SUBSTITUTE(SUBSTITUTE(SUBSTITUTE(SUBSTITUTE(SUBSTITUTE(SUBSTITUTE(SUBSTITUTE(SUBSTITUTE(SUBSTITUTE(SUBSTITUTE(SUBSTITUTE('入力シート（2事業場以降）'!J41,"０","0"),"１","1"),"２","2"),"３","3"),"４","4"),"５","5"),"６","6"),"７","7"),"８","8"),"９","9"),"．",".")</f>
        <v/>
      </c>
      <c r="F152" s="4" t="str">
        <f>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152,"Ａ","A"),"Ｂ","B"),"Ｃ","C"),"Ｄ","D"),"Ｅ","E"),"Ｆ","F"),"Ｇ","G"),"Ｈ","H"),"Ｉ","I"),"Ｊ","J"),"Ｋ","K"),"Ｌ","L"),"Ｍ","M"),"Ｎ","N"),"Ｏ","O"),"Ｐ","P"),"Ｑ","Q"),"Ｒ","R"),"Ｓ","S"),"Ｔ","T"),"Ｕ","U"),"Ｖ","V"),"Ｗ","W"),"Ｘ","X"),"Ｙ","Y"),"Ｚ","Z"),"ａ","a"),"ｂ","b"),"ｃ","c"),"ｄ","d"),"ｅ","e"),"ｆ","f"),"ｇ","g"),"ｈ","h"),"ｉ","i"),"ｊ","j"),"ｋ","k"),"ｌ","l"),"ｍ","m"),"ｎ","n"),"ｏ","o"),"ｐ","p"),"ｑ","q"),"ｒ","r"),"ｓ","s"),"ｔ","t"),"ｕ","u"),"ｖ","v"),"ｗ","w"),"ｘ","x"),"ｙ","y"),"ｚ","z"),"＆","&amp;"),"－","-"),"．",".")</f>
        <v/>
      </c>
      <c r="G152" s="15" t="str">
        <f>IF($D152=1,TRIM(CLEAN(F152)),"")&amp;""</f>
        <v/>
      </c>
      <c r="H152" t="str">
        <f>IF(G151&lt;&gt;"",IF(G151="自動車整備士である証明","整備士合格証書番号",LEFT(G151,2)&amp;"番号"),C152)</f>
        <v>認証・指定・認定番号または、整備士合格証書番号</v>
      </c>
      <c r="W152" s="117" t="str">
        <f t="shared" si="32"/>
        <v>OK</v>
      </c>
      <c r="X152" t="str">
        <f t="shared" ca="1" si="35"/>
        <v>認証・指定・認定番号または、整備士合格証書番号を入力してください。</v>
      </c>
      <c r="Y152">
        <f>IF(G152&lt;&gt;"",0,1)</f>
        <v>1</v>
      </c>
      <c r="AA152" t="str">
        <f>H152&amp;"を入力してください。"</f>
        <v>認証・指定・認定番号または、整備士合格証書番号を入力してください。</v>
      </c>
    </row>
    <row r="153" spans="2:28" x14ac:dyDescent="0.15">
      <c r="B153" s="5">
        <v>11</v>
      </c>
      <c r="C153" s="5" t="s">
        <v>155</v>
      </c>
      <c r="D153" s="4">
        <f t="shared" si="31"/>
        <v>0</v>
      </c>
      <c r="E153" s="4"/>
      <c r="F153" s="4" t="s">
        <v>402</v>
      </c>
      <c r="G153" s="15" t="str">
        <f>IF($D153=1,TRIM(CLEAN('入力シート（2事業場以降）'!N41)),"")&amp;""</f>
        <v/>
      </c>
      <c r="W153" s="117" t="str">
        <f t="shared" si="32"/>
        <v>OK</v>
      </c>
      <c r="X153" t="str">
        <f t="shared" ca="1" si="35"/>
        <v>管轄運輸局を入力してください。</v>
      </c>
      <c r="Y153">
        <f>IF(G151&lt;&gt;"自動車整備士である証明",IF(G153&lt;&gt;"",0,1),0)</f>
        <v>1</v>
      </c>
      <c r="AA153" t="str">
        <f>C153&amp;"を入力してください。"</f>
        <v>管轄運輸局を入力してください。</v>
      </c>
    </row>
    <row r="154" spans="2:28" x14ac:dyDescent="0.15">
      <c r="B154" s="5">
        <v>11</v>
      </c>
      <c r="C154" s="5" t="s">
        <v>56</v>
      </c>
      <c r="D154" s="4">
        <f t="shared" si="31"/>
        <v>0</v>
      </c>
      <c r="E154" s="110" t="str">
        <f>DBCS('入力シート（2事業場以降）'!R41)</f>
        <v/>
      </c>
      <c r="F154" s="4" t="str">
        <f>SUBSTITUTE(SUBSTITUTE(SUBSTITUTE(SUBSTITUTE(E154,"　株式会社","株式会社"),"会社　","会社"),"　有限会社","有限会社"),"　合同会社","合同会社")</f>
        <v/>
      </c>
      <c r="G154" s="16" t="str">
        <f>IF($D154=1,TRIM(CLEAN(F154)),"")&amp;""</f>
        <v/>
      </c>
      <c r="W154" s="117" t="str">
        <f t="shared" si="32"/>
        <v>OK</v>
      </c>
      <c r="X154" t="str">
        <f t="shared" ca="1" si="35"/>
        <v>事業場名を入力してください。</v>
      </c>
      <c r="Y154">
        <f>IF(G154&lt;&gt;"",0,1)</f>
        <v>1</v>
      </c>
      <c r="AA154" t="str">
        <f>C154&amp;"を入力してください。"</f>
        <v>事業場名を入力してください。</v>
      </c>
    </row>
    <row r="155" spans="2:28" x14ac:dyDescent="0.15">
      <c r="B155" s="5">
        <v>11</v>
      </c>
      <c r="C155" s="5" t="s">
        <v>24</v>
      </c>
      <c r="D155" s="4">
        <f t="shared" si="31"/>
        <v>0</v>
      </c>
      <c r="E155" s="4"/>
      <c r="F155" s="4"/>
      <c r="G155" s="15" t="str">
        <f>IF($D155=1,TRIM(CLEAN(ASC('入力シート（2事業場以降）'!X41))),"")&amp;""</f>
        <v/>
      </c>
      <c r="H155" s="15" t="str">
        <f>IF($D155=1,TRIM(CLEAN(ASC('入力シート（2事業場以降）'!Z41))),"")&amp;""</f>
        <v/>
      </c>
      <c r="W155" s="117" t="str">
        <f t="shared" si="32"/>
        <v>OK</v>
      </c>
      <c r="X155" t="str">
        <f t="shared" ca="1" si="35"/>
        <v>郵便番号を入力してください。</v>
      </c>
      <c r="Y155">
        <f>IF(AND(LEN(G155)=3,LEN(H155)=4)=TRUE,0,1)</f>
        <v>1</v>
      </c>
      <c r="Z155">
        <f>IFERROR(IF(0&lt;VALUE(G155),0,1),1)</f>
        <v>1</v>
      </c>
      <c r="AA155" t="str">
        <f>C155&amp;"を入力してください。"</f>
        <v>郵便番号を入力してください。</v>
      </c>
      <c r="AB155" t="str">
        <f>"正しい"&amp;C155&amp;"を入力してください。"</f>
        <v>正しい郵便番号を入力してください。</v>
      </c>
    </row>
    <row r="156" spans="2:28" x14ac:dyDescent="0.15">
      <c r="B156" s="5">
        <v>11</v>
      </c>
      <c r="C156" s="5" t="s">
        <v>26</v>
      </c>
      <c r="D156" s="4">
        <f t="shared" si="31"/>
        <v>0</v>
      </c>
      <c r="E156" s="4"/>
      <c r="F156" s="4"/>
      <c r="G156" s="15" t="str">
        <f>IF($D156=1,TRIM(CLEAN('入力シート（2事業場以降）'!AB41)),"")&amp;""</f>
        <v/>
      </c>
      <c r="W156" s="117" t="str">
        <f t="shared" si="32"/>
        <v>OK</v>
      </c>
      <c r="X156" t="str">
        <f t="shared" ca="1" si="35"/>
        <v>都道府県を選択してください。</v>
      </c>
      <c r="Y156">
        <f>IF(G156&lt;&gt;"",0,1)</f>
        <v>1</v>
      </c>
      <c r="AA156" t="str">
        <f>C156&amp;"を選択してください。"</f>
        <v>都道府県を選択してください。</v>
      </c>
    </row>
    <row r="157" spans="2:28" x14ac:dyDescent="0.15">
      <c r="B157" s="5">
        <v>11</v>
      </c>
      <c r="C157" s="5" t="s">
        <v>29</v>
      </c>
      <c r="D157" s="4">
        <f t="shared" si="31"/>
        <v>0</v>
      </c>
      <c r="E157" s="110" t="str">
        <f>DBCS('入力シート（2事業場以降）'!AD41)</f>
        <v/>
      </c>
      <c r="F157" s="4"/>
      <c r="G157" s="15" t="str">
        <f>IF($D157=1,TRIM(CLEAN('入力シート（2事業場以降）'!AD41)),"")&amp;""</f>
        <v/>
      </c>
      <c r="W157" s="117" t="str">
        <f t="shared" si="32"/>
        <v>OK</v>
      </c>
      <c r="X157" t="str">
        <f t="shared" ca="1" si="35"/>
        <v>市区町村を入力してください。</v>
      </c>
      <c r="Y157">
        <f>IF(G157&lt;&gt;"",0,1)</f>
        <v>1</v>
      </c>
      <c r="AA157" t="str">
        <f>C157&amp;"を入力してください。"</f>
        <v>市区町村を入力してください。</v>
      </c>
    </row>
    <row r="158" spans="2:28" x14ac:dyDescent="0.15">
      <c r="B158" s="5">
        <v>11</v>
      </c>
      <c r="C158" s="5" t="s">
        <v>31</v>
      </c>
      <c r="D158" s="4">
        <f t="shared" si="31"/>
        <v>0</v>
      </c>
      <c r="E158" s="110" t="str">
        <f>DBCS('入力シート（2事業場以降）'!AH41)</f>
        <v/>
      </c>
      <c r="F158" s="4"/>
      <c r="G158" s="15" t="str">
        <f>IF($D158=1,TRIM(CLEAN('入力シート（2事業場以降）'!AH41)),"")&amp;""</f>
        <v/>
      </c>
      <c r="W158" s="117" t="str">
        <f t="shared" si="32"/>
        <v>OK</v>
      </c>
      <c r="X158" t="str">
        <f t="shared" ca="1" si="35"/>
        <v>町名地番を入力してください。</v>
      </c>
      <c r="Y158">
        <f>IF(G158&lt;&gt;"",0,1)</f>
        <v>1</v>
      </c>
      <c r="AA158" t="str">
        <f>C158&amp;"を入力してください。"</f>
        <v>町名地番を入力してください。</v>
      </c>
    </row>
    <row r="159" spans="2:28" x14ac:dyDescent="0.15">
      <c r="B159" s="5">
        <v>11</v>
      </c>
      <c r="C159" s="5" t="s">
        <v>34</v>
      </c>
      <c r="D159" s="4">
        <f t="shared" si="31"/>
        <v>0</v>
      </c>
      <c r="E159" s="110" t="str">
        <f>DBCS('入力シート（2事業場以降）'!AL41)</f>
        <v/>
      </c>
      <c r="F159" s="4"/>
      <c r="G159" s="15" t="str">
        <f>IF($D159=1,TRIM(CLEAN('入力シート（2事業場以降）'!AL41)),"")&amp;""</f>
        <v/>
      </c>
      <c r="W159" s="117" t="str">
        <f t="shared" si="32"/>
        <v>OK</v>
      </c>
    </row>
    <row r="160" spans="2:28" x14ac:dyDescent="0.15">
      <c r="B160" s="5">
        <v>12</v>
      </c>
      <c r="C160" s="5" t="s">
        <v>53</v>
      </c>
      <c r="D160" s="4">
        <f t="shared" si="31"/>
        <v>0</v>
      </c>
      <c r="E160" s="4"/>
      <c r="F160" s="4"/>
      <c r="G160" s="16" t="str">
        <f>IF($D160=1,'入力シート（2事業場以降）'!F43,"")&amp;""</f>
        <v/>
      </c>
      <c r="W160" s="117" t="str">
        <f t="shared" si="32"/>
        <v>OK</v>
      </c>
      <c r="X160" t="str">
        <f t="shared" ref="X160:X167" ca="1" si="36">IF(Y160=0,IF(Z160&lt;&gt;0,OFFSET(AA160,0,Z160),$V$1),AA160)</f>
        <v>書類の種類を選択してください。</v>
      </c>
      <c r="Y160">
        <f>IF(G160&lt;&gt;"",0,1)</f>
        <v>1</v>
      </c>
      <c r="AA160" t="str">
        <f>C160&amp;"を選択してください。"</f>
        <v>書類の種類を選択してください。</v>
      </c>
    </row>
    <row r="161" spans="2:28" x14ac:dyDescent="0.15">
      <c r="B161" s="5">
        <v>12</v>
      </c>
      <c r="C161" s="5" t="s">
        <v>424</v>
      </c>
      <c r="D161" s="4">
        <f t="shared" si="31"/>
        <v>0</v>
      </c>
      <c r="E161" s="110" t="str">
        <f>SUBSTITUTE(SUBSTITUTE(SUBSTITUTE(SUBSTITUTE(SUBSTITUTE(SUBSTITUTE(SUBSTITUTE(SUBSTITUTE(SUBSTITUTE(SUBSTITUTE(SUBSTITUTE('入力シート（2事業場以降）'!J43,"０","0"),"１","1"),"２","2"),"３","3"),"４","4"),"５","5"),"６","6"),"７","7"),"８","8"),"９","9"),"．",".")</f>
        <v/>
      </c>
      <c r="F161" s="4" t="str">
        <f t="shared" ref="F161" si="3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161,"Ａ","A"),"Ｂ","B"),"Ｃ","C"),"Ｄ","D"),"Ｅ","E"),"Ｆ","F"),"Ｇ","G"),"Ｈ","H"),"Ｉ","I"),"Ｊ","J"),"Ｋ","K"),"Ｌ","L"),"Ｍ","M"),"Ｎ","N"),"Ｏ","O"),"Ｐ","P"),"Ｑ","Q"),"Ｒ","R"),"Ｓ","S"),"Ｔ","T"),"Ｕ","U"),"Ｖ","V"),"Ｗ","W"),"Ｘ","X"),"Ｙ","Y"),"Ｚ","Z"),"ａ","a"),"ｂ","b"),"ｃ","c"),"ｄ","d"),"ｅ","e"),"ｆ","f"),"ｇ","g"),"ｈ","h"),"ｉ","i"),"ｊ","j"),"ｋ","k"),"ｌ","l"),"ｍ","m"),"ｎ","n"),"ｏ","o"),"ｐ","p"),"ｑ","q"),"ｒ","r"),"ｓ","s"),"ｔ","t"),"ｕ","u"),"ｖ","v"),"ｗ","w"),"ｘ","x"),"ｙ","y"),"ｚ","z"),"＆","&amp;"),"－","-"),"．",".")</f>
        <v/>
      </c>
      <c r="G161" s="15" t="str">
        <f>IF($D161=1,TRIM(CLEAN(F161)),"")&amp;""</f>
        <v/>
      </c>
      <c r="H161" t="str">
        <f>IF(G160&lt;&gt;"",IF(G160="自動車整備士である証明","整備士合格証書番号",LEFT(G160,2)&amp;"番号"),C161)</f>
        <v>認証・指定・認定番号または、整備士合格証書番号</v>
      </c>
      <c r="W161" s="117" t="str">
        <f t="shared" si="32"/>
        <v>OK</v>
      </c>
      <c r="X161" t="str">
        <f t="shared" ca="1" si="36"/>
        <v>認証・指定・認定番号または、整備士合格証書番号を入力してください。</v>
      </c>
      <c r="Y161">
        <f>IF(G161&lt;&gt;"",0,1)</f>
        <v>1</v>
      </c>
      <c r="AA161" t="str">
        <f>H161&amp;"を入力してください。"</f>
        <v>認証・指定・認定番号または、整備士合格証書番号を入力してください。</v>
      </c>
    </row>
    <row r="162" spans="2:28" x14ac:dyDescent="0.15">
      <c r="B162" s="5">
        <v>12</v>
      </c>
      <c r="C162" s="5" t="s">
        <v>54</v>
      </c>
      <c r="D162" s="4">
        <f t="shared" si="31"/>
        <v>0</v>
      </c>
      <c r="E162" s="4"/>
      <c r="F162" s="4" t="s">
        <v>402</v>
      </c>
      <c r="G162" s="15" t="str">
        <f>IF($D162=1,TRIM(CLEAN('入力シート（2事業場以降）'!N43)),"")&amp;""</f>
        <v/>
      </c>
      <c r="W162" s="117" t="str">
        <f t="shared" si="32"/>
        <v>OK</v>
      </c>
      <c r="X162" t="str">
        <f t="shared" ca="1" si="36"/>
        <v>管轄運輸局を入力してください。</v>
      </c>
      <c r="Y162">
        <f>IF(G160&lt;&gt;"自動車整備士である証明",IF(G162&lt;&gt;"",0,1),0)</f>
        <v>1</v>
      </c>
      <c r="AA162" t="str">
        <f>C162&amp;"を入力してください。"</f>
        <v>管轄運輸局を入力してください。</v>
      </c>
    </row>
    <row r="163" spans="2:28" x14ac:dyDescent="0.15">
      <c r="B163" s="5">
        <v>12</v>
      </c>
      <c r="C163" s="5" t="s">
        <v>56</v>
      </c>
      <c r="D163" s="4">
        <f t="shared" si="31"/>
        <v>0</v>
      </c>
      <c r="E163" s="110" t="str">
        <f>DBCS('入力シート（2事業場以降）'!R43)</f>
        <v/>
      </c>
      <c r="F163" s="4" t="str">
        <f>SUBSTITUTE(SUBSTITUTE(SUBSTITUTE(SUBSTITUTE(E163,"　株式会社","株式会社"),"会社　","会社"),"　有限会社","有限会社"),"　合同会社","合同会社")</f>
        <v/>
      </c>
      <c r="G163" s="16" t="str">
        <f>IF($D163=1,TRIM(CLEAN(F163)),"")&amp;""</f>
        <v/>
      </c>
      <c r="W163" s="117" t="str">
        <f t="shared" si="32"/>
        <v>OK</v>
      </c>
      <c r="X163" t="str">
        <f t="shared" ca="1" si="36"/>
        <v>事業場名を入力してください。</v>
      </c>
      <c r="Y163">
        <f>IF(G163&lt;&gt;"",0,1)</f>
        <v>1</v>
      </c>
      <c r="AA163" t="str">
        <f>C163&amp;"を入力してください。"</f>
        <v>事業場名を入力してください。</v>
      </c>
    </row>
    <row r="164" spans="2:28" x14ac:dyDescent="0.15">
      <c r="B164" s="5">
        <v>12</v>
      </c>
      <c r="C164" s="5" t="s">
        <v>24</v>
      </c>
      <c r="D164" s="4">
        <f t="shared" si="31"/>
        <v>0</v>
      </c>
      <c r="E164" s="4"/>
      <c r="F164" s="4"/>
      <c r="G164" s="15" t="str">
        <f>IF($D164=1,TRIM(CLEAN(ASC('入力シート（2事業場以降）'!X43))),"")&amp;""</f>
        <v/>
      </c>
      <c r="H164" s="15" t="str">
        <f>IF($D164=1,TRIM(CLEAN(ASC('入力シート（2事業場以降）'!Z43))),"")&amp;""</f>
        <v/>
      </c>
      <c r="W164" s="117" t="str">
        <f t="shared" si="32"/>
        <v>OK</v>
      </c>
      <c r="X164" t="str">
        <f t="shared" ca="1" si="36"/>
        <v>郵便番号を入力してください。</v>
      </c>
      <c r="Y164">
        <f>IF(AND(LEN(G164)=3,LEN(H164)=4)=TRUE,0,1)</f>
        <v>1</v>
      </c>
      <c r="Z164">
        <f>IFERROR(IF(0&lt;VALUE(G164),0,1),1)</f>
        <v>1</v>
      </c>
      <c r="AA164" t="str">
        <f>C164&amp;"を入力してください。"</f>
        <v>郵便番号を入力してください。</v>
      </c>
      <c r="AB164" t="str">
        <f>"正しい"&amp;C164&amp;"を入力してください。"</f>
        <v>正しい郵便番号を入力してください。</v>
      </c>
    </row>
    <row r="165" spans="2:28" x14ac:dyDescent="0.15">
      <c r="B165" s="5">
        <v>12</v>
      </c>
      <c r="C165" s="5" t="s">
        <v>26</v>
      </c>
      <c r="D165" s="4">
        <f t="shared" si="31"/>
        <v>0</v>
      </c>
      <c r="E165" s="4"/>
      <c r="F165" s="4"/>
      <c r="G165" s="15" t="str">
        <f>IF($D165=1,TRIM(CLEAN('入力シート（2事業場以降）'!AB43)),"")&amp;""</f>
        <v/>
      </c>
      <c r="W165" s="117" t="str">
        <f t="shared" si="32"/>
        <v>OK</v>
      </c>
      <c r="X165" t="str">
        <f t="shared" ca="1" si="36"/>
        <v>都道府県を選択してください。</v>
      </c>
      <c r="Y165">
        <f>IF(G165&lt;&gt;"",0,1)</f>
        <v>1</v>
      </c>
      <c r="AA165" t="str">
        <f>C165&amp;"を選択してください。"</f>
        <v>都道府県を選択してください。</v>
      </c>
    </row>
    <row r="166" spans="2:28" x14ac:dyDescent="0.15">
      <c r="B166" s="5">
        <v>12</v>
      </c>
      <c r="C166" s="5" t="s">
        <v>29</v>
      </c>
      <c r="D166" s="4">
        <f t="shared" si="31"/>
        <v>0</v>
      </c>
      <c r="E166" s="110" t="str">
        <f>DBCS('入力シート（2事業場以降）'!AD43)</f>
        <v/>
      </c>
      <c r="F166" s="4"/>
      <c r="G166" s="15" t="str">
        <f>IF($D166=1,TRIM(CLEAN('入力シート（2事業場以降）'!AD43)),"")&amp;""</f>
        <v/>
      </c>
      <c r="W166" s="117" t="str">
        <f t="shared" si="32"/>
        <v>OK</v>
      </c>
      <c r="X166" t="str">
        <f t="shared" ca="1" si="36"/>
        <v>市区町村を入力してください。</v>
      </c>
      <c r="Y166">
        <f>IF(G166&lt;&gt;"",0,1)</f>
        <v>1</v>
      </c>
      <c r="AA166" t="str">
        <f>C166&amp;"を入力してください。"</f>
        <v>市区町村を入力してください。</v>
      </c>
    </row>
    <row r="167" spans="2:28" x14ac:dyDescent="0.15">
      <c r="B167" s="5">
        <v>12</v>
      </c>
      <c r="C167" s="5" t="s">
        <v>31</v>
      </c>
      <c r="D167" s="4">
        <f t="shared" si="31"/>
        <v>0</v>
      </c>
      <c r="E167" s="110" t="str">
        <f>DBCS('入力シート（2事業場以降）'!AH43)</f>
        <v/>
      </c>
      <c r="F167" s="4"/>
      <c r="G167" s="15" t="str">
        <f>IF($D167=1,TRIM(CLEAN('入力シート（2事業場以降）'!AH43)),"")&amp;""</f>
        <v/>
      </c>
      <c r="W167" s="117" t="str">
        <f t="shared" si="32"/>
        <v>OK</v>
      </c>
      <c r="X167" t="str">
        <f t="shared" ca="1" si="36"/>
        <v>町名地番を入力してください。</v>
      </c>
      <c r="Y167">
        <f>IF(G167&lt;&gt;"",0,1)</f>
        <v>1</v>
      </c>
      <c r="AA167" t="str">
        <f>C167&amp;"を入力してください。"</f>
        <v>町名地番を入力してください。</v>
      </c>
    </row>
    <row r="168" spans="2:28" x14ac:dyDescent="0.15">
      <c r="B168" s="5">
        <v>12</v>
      </c>
      <c r="C168" s="5" t="s">
        <v>34</v>
      </c>
      <c r="D168" s="4">
        <f t="shared" si="31"/>
        <v>0</v>
      </c>
      <c r="E168" s="110" t="str">
        <f>DBCS('入力シート（2事業場以降）'!AL43)</f>
        <v/>
      </c>
      <c r="F168" s="4"/>
      <c r="G168" s="15" t="str">
        <f>IF($D168=1,TRIM(CLEAN('入力シート（2事業場以降）'!AL43)),"")&amp;""</f>
        <v/>
      </c>
      <c r="W168" s="117" t="str">
        <f t="shared" si="32"/>
        <v>OK</v>
      </c>
    </row>
    <row r="169" spans="2:28" x14ac:dyDescent="0.15">
      <c r="B169" s="5">
        <v>13</v>
      </c>
      <c r="C169" s="5" t="s">
        <v>53</v>
      </c>
      <c r="D169" s="4">
        <f t="shared" si="31"/>
        <v>0</v>
      </c>
      <c r="E169" s="4"/>
      <c r="F169" s="4"/>
      <c r="G169" s="16" t="str">
        <f>IF($D169=1,'入力シート（2事業場以降）'!F45,"")&amp;""</f>
        <v/>
      </c>
      <c r="W169" s="117" t="str">
        <f t="shared" si="32"/>
        <v>OK</v>
      </c>
      <c r="X169" t="str">
        <f t="shared" ref="X169:X176" ca="1" si="38">IF(Y169=0,IF(Z169&lt;&gt;0,OFFSET(AA169,0,Z169),$V$1),AA169)</f>
        <v>書類の種類を選択してください。</v>
      </c>
      <c r="Y169">
        <f>IF(G169&lt;&gt;"",0,1)</f>
        <v>1</v>
      </c>
      <c r="AA169" t="str">
        <f>C169&amp;"を選択してください。"</f>
        <v>書類の種類を選択してください。</v>
      </c>
    </row>
    <row r="170" spans="2:28" x14ac:dyDescent="0.15">
      <c r="B170" s="5">
        <v>13</v>
      </c>
      <c r="C170" s="5" t="s">
        <v>424</v>
      </c>
      <c r="D170" s="4">
        <f t="shared" si="31"/>
        <v>0</v>
      </c>
      <c r="E170" s="110" t="str">
        <f>SUBSTITUTE(SUBSTITUTE(SUBSTITUTE(SUBSTITUTE(SUBSTITUTE(SUBSTITUTE(SUBSTITUTE(SUBSTITUTE(SUBSTITUTE(SUBSTITUTE(SUBSTITUTE('入力シート（2事業場以降）'!J45,"０","0"),"１","1"),"２","2"),"３","3"),"４","4"),"５","5"),"６","6"),"７","7"),"８","8"),"９","9"),"．",".")</f>
        <v/>
      </c>
      <c r="F170" s="4" t="str">
        <f t="shared" ref="F170" si="3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170,"Ａ","A"),"Ｂ","B"),"Ｃ","C"),"Ｄ","D"),"Ｅ","E"),"Ｆ","F"),"Ｇ","G"),"Ｈ","H"),"Ｉ","I"),"Ｊ","J"),"Ｋ","K"),"Ｌ","L"),"Ｍ","M"),"Ｎ","N"),"Ｏ","O"),"Ｐ","P"),"Ｑ","Q"),"Ｒ","R"),"Ｓ","S"),"Ｔ","T"),"Ｕ","U"),"Ｖ","V"),"Ｗ","W"),"Ｘ","X"),"Ｙ","Y"),"Ｚ","Z"),"ａ","a"),"ｂ","b"),"ｃ","c"),"ｄ","d"),"ｅ","e"),"ｆ","f"),"ｇ","g"),"ｈ","h"),"ｉ","i"),"ｊ","j"),"ｋ","k"),"ｌ","l"),"ｍ","m"),"ｎ","n"),"ｏ","o"),"ｐ","p"),"ｑ","q"),"ｒ","r"),"ｓ","s"),"ｔ","t"),"ｕ","u"),"ｖ","v"),"ｗ","w"),"ｘ","x"),"ｙ","y"),"ｚ","z"),"＆","&amp;"),"－","-"),"．",".")</f>
        <v/>
      </c>
      <c r="G170" s="15" t="str">
        <f>IF($D170=1,TRIM(CLEAN(F170)),"")&amp;""</f>
        <v/>
      </c>
      <c r="H170" t="str">
        <f>IF(G169&lt;&gt;"",IF(G169="自動車整備士である証明","整備士合格証書番号",LEFT(G169,2)&amp;"番号"),C170)</f>
        <v>認証・指定・認定番号または、整備士合格証書番号</v>
      </c>
      <c r="W170" s="117" t="str">
        <f t="shared" si="32"/>
        <v>OK</v>
      </c>
      <c r="X170" t="str">
        <f t="shared" ca="1" si="38"/>
        <v>認証・指定・認定番号または、整備士合格証書番号を入力してください。</v>
      </c>
      <c r="Y170">
        <f>IF(G170&lt;&gt;"",0,1)</f>
        <v>1</v>
      </c>
      <c r="AA170" t="str">
        <f>H170&amp;"を入力してください。"</f>
        <v>認証・指定・認定番号または、整備士合格証書番号を入力してください。</v>
      </c>
    </row>
    <row r="171" spans="2:28" x14ac:dyDescent="0.15">
      <c r="B171" s="5">
        <v>13</v>
      </c>
      <c r="C171" s="5" t="s">
        <v>54</v>
      </c>
      <c r="D171" s="4">
        <f t="shared" si="31"/>
        <v>0</v>
      </c>
      <c r="E171" s="4"/>
      <c r="F171" s="4" t="s">
        <v>402</v>
      </c>
      <c r="G171" s="15" t="str">
        <f>IF($D171=1,TRIM(CLEAN('入力シート（2事業場以降）'!N45)),"")&amp;""</f>
        <v/>
      </c>
      <c r="W171" s="117" t="str">
        <f t="shared" si="32"/>
        <v>OK</v>
      </c>
      <c r="X171" t="str">
        <f t="shared" ca="1" si="38"/>
        <v>管轄運輸局を入力してください。</v>
      </c>
      <c r="Y171">
        <f>IF(G169&lt;&gt;"自動車整備士である証明",IF(G171&lt;&gt;"",0,1),0)</f>
        <v>1</v>
      </c>
      <c r="AA171" t="str">
        <f>C171&amp;"を入力してください。"</f>
        <v>管轄運輸局を入力してください。</v>
      </c>
    </row>
    <row r="172" spans="2:28" x14ac:dyDescent="0.15">
      <c r="B172" s="5">
        <v>13</v>
      </c>
      <c r="C172" s="5" t="s">
        <v>56</v>
      </c>
      <c r="D172" s="4">
        <f t="shared" si="31"/>
        <v>0</v>
      </c>
      <c r="E172" s="110" t="str">
        <f>DBCS('入力シート（2事業場以降）'!R45)</f>
        <v/>
      </c>
      <c r="F172" s="4" t="str">
        <f>SUBSTITUTE(SUBSTITUTE(SUBSTITUTE(SUBSTITUTE(E172,"　株式会社","株式会社"),"会社　","会社"),"　有限会社","有限会社"),"　合同会社","合同会社")</f>
        <v/>
      </c>
      <c r="G172" s="16" t="str">
        <f>IF($D172=1,TRIM(CLEAN(F172)),"")&amp;""</f>
        <v/>
      </c>
      <c r="W172" s="117" t="str">
        <f t="shared" si="32"/>
        <v>OK</v>
      </c>
      <c r="X172" t="str">
        <f t="shared" ca="1" si="38"/>
        <v>事業場名を入力してください。</v>
      </c>
      <c r="Y172">
        <f>IF(G172&lt;&gt;"",0,1)</f>
        <v>1</v>
      </c>
      <c r="AA172" t="str">
        <f>C172&amp;"を入力してください。"</f>
        <v>事業場名を入力してください。</v>
      </c>
    </row>
    <row r="173" spans="2:28" x14ac:dyDescent="0.15">
      <c r="B173" s="5">
        <v>13</v>
      </c>
      <c r="C173" s="5" t="s">
        <v>24</v>
      </c>
      <c r="D173" s="4">
        <f t="shared" si="31"/>
        <v>0</v>
      </c>
      <c r="E173" s="4"/>
      <c r="F173" s="4"/>
      <c r="G173" s="15" t="str">
        <f>IF($D173=1,TRIM(CLEAN(ASC('入力シート（2事業場以降）'!X45))),"")&amp;""</f>
        <v/>
      </c>
      <c r="H173" s="15" t="str">
        <f>IF($D173=1,TRIM(CLEAN(ASC('入力シート（2事業場以降）'!Z45))),"")&amp;""</f>
        <v/>
      </c>
      <c r="W173" s="117" t="str">
        <f t="shared" si="32"/>
        <v>OK</v>
      </c>
      <c r="X173" t="str">
        <f t="shared" ca="1" si="38"/>
        <v>郵便番号を入力してください。</v>
      </c>
      <c r="Y173">
        <f>IF(AND(LEN(G173)=3,LEN(H173)=4)=TRUE,0,1)</f>
        <v>1</v>
      </c>
      <c r="Z173">
        <f>IFERROR(IF(0&lt;VALUE(G173),0,1),1)</f>
        <v>1</v>
      </c>
      <c r="AA173" t="str">
        <f>C173&amp;"を入力してください。"</f>
        <v>郵便番号を入力してください。</v>
      </c>
      <c r="AB173" t="str">
        <f>"正しい"&amp;C173&amp;"を入力してください。"</f>
        <v>正しい郵便番号を入力してください。</v>
      </c>
    </row>
    <row r="174" spans="2:28" x14ac:dyDescent="0.15">
      <c r="B174" s="5">
        <v>13</v>
      </c>
      <c r="C174" s="5" t="s">
        <v>26</v>
      </c>
      <c r="D174" s="4">
        <f t="shared" si="31"/>
        <v>0</v>
      </c>
      <c r="E174" s="4"/>
      <c r="F174" s="4"/>
      <c r="G174" s="15" t="str">
        <f>IF($D174=1,TRIM(CLEAN('入力シート（2事業場以降）'!AB45)),"")&amp;""</f>
        <v/>
      </c>
      <c r="W174" s="117" t="str">
        <f t="shared" si="32"/>
        <v>OK</v>
      </c>
      <c r="X174" t="str">
        <f t="shared" ca="1" si="38"/>
        <v>都道府県を選択してください。</v>
      </c>
      <c r="Y174">
        <f>IF(G174&lt;&gt;"",0,1)</f>
        <v>1</v>
      </c>
      <c r="AA174" t="str">
        <f>C174&amp;"を選択してください。"</f>
        <v>都道府県を選択してください。</v>
      </c>
    </row>
    <row r="175" spans="2:28" x14ac:dyDescent="0.15">
      <c r="B175" s="5">
        <v>13</v>
      </c>
      <c r="C175" s="5" t="s">
        <v>29</v>
      </c>
      <c r="D175" s="4">
        <f t="shared" si="31"/>
        <v>0</v>
      </c>
      <c r="E175" s="110" t="str">
        <f>DBCS('入力シート（2事業場以降）'!AD45)</f>
        <v/>
      </c>
      <c r="F175" s="4"/>
      <c r="G175" s="15" t="str">
        <f>IF($D175=1,TRIM(CLEAN('入力シート（2事業場以降）'!AD45)),"")&amp;""</f>
        <v/>
      </c>
      <c r="W175" s="117" t="str">
        <f t="shared" si="32"/>
        <v>OK</v>
      </c>
      <c r="X175" t="str">
        <f t="shared" ca="1" si="38"/>
        <v>市区町村を入力してください。</v>
      </c>
      <c r="Y175">
        <f>IF(G175&lt;&gt;"",0,1)</f>
        <v>1</v>
      </c>
      <c r="AA175" t="str">
        <f>C175&amp;"を入力してください。"</f>
        <v>市区町村を入力してください。</v>
      </c>
    </row>
    <row r="176" spans="2:28" x14ac:dyDescent="0.15">
      <c r="B176" s="5">
        <v>13</v>
      </c>
      <c r="C176" s="5" t="s">
        <v>31</v>
      </c>
      <c r="D176" s="4">
        <f t="shared" si="31"/>
        <v>0</v>
      </c>
      <c r="E176" s="110" t="str">
        <f>DBCS('入力シート（2事業場以降）'!AH45)</f>
        <v/>
      </c>
      <c r="F176" s="4"/>
      <c r="G176" s="15" t="str">
        <f>IF($D176=1,TRIM(CLEAN('入力シート（2事業場以降）'!AH45)),"")&amp;""</f>
        <v/>
      </c>
      <c r="W176" s="117" t="str">
        <f t="shared" si="32"/>
        <v>OK</v>
      </c>
      <c r="X176" t="str">
        <f t="shared" ca="1" si="38"/>
        <v>町名地番を入力してください。</v>
      </c>
      <c r="Y176">
        <f>IF(G176&lt;&gt;"",0,1)</f>
        <v>1</v>
      </c>
      <c r="AA176" t="str">
        <f>C176&amp;"を入力してください。"</f>
        <v>町名地番を入力してください。</v>
      </c>
    </row>
    <row r="177" spans="2:28" x14ac:dyDescent="0.15">
      <c r="B177" s="5">
        <v>13</v>
      </c>
      <c r="C177" s="5" t="s">
        <v>34</v>
      </c>
      <c r="D177" s="4">
        <f t="shared" si="31"/>
        <v>0</v>
      </c>
      <c r="E177" s="110" t="str">
        <f>DBCS('入力シート（2事業場以降）'!AL45)</f>
        <v/>
      </c>
      <c r="F177" s="4"/>
      <c r="G177" s="15" t="str">
        <f>IF($D177=1,TRIM(CLEAN('入力シート（2事業場以降）'!AL45)),"")&amp;""</f>
        <v/>
      </c>
      <c r="W177" s="117" t="str">
        <f t="shared" si="32"/>
        <v>OK</v>
      </c>
    </row>
    <row r="178" spans="2:28" x14ac:dyDescent="0.15">
      <c r="B178" s="5">
        <v>14</v>
      </c>
      <c r="C178" s="5" t="s">
        <v>53</v>
      </c>
      <c r="D178" s="4">
        <f t="shared" si="31"/>
        <v>0</v>
      </c>
      <c r="E178" s="4"/>
      <c r="F178" s="4"/>
      <c r="G178" s="16" t="str">
        <f>IF($D178=1,'入力シート（2事業場以降）'!F47,"")&amp;""</f>
        <v/>
      </c>
      <c r="W178" s="117" t="str">
        <f t="shared" si="32"/>
        <v>OK</v>
      </c>
      <c r="X178" t="str">
        <f t="shared" ref="X178:X185" ca="1" si="40">IF(Y178=0,IF(Z178&lt;&gt;0,OFFSET(AA178,0,Z178),$V$1),AA178)</f>
        <v>書類の種類を選択してください。</v>
      </c>
      <c r="Y178">
        <f>IF(G178&lt;&gt;"",0,1)</f>
        <v>1</v>
      </c>
      <c r="AA178" t="str">
        <f>C178&amp;"を選択してください。"</f>
        <v>書類の種類を選択してください。</v>
      </c>
    </row>
    <row r="179" spans="2:28" x14ac:dyDescent="0.15">
      <c r="B179" s="5">
        <v>14</v>
      </c>
      <c r="C179" s="5" t="s">
        <v>424</v>
      </c>
      <c r="D179" s="4">
        <f t="shared" si="31"/>
        <v>0</v>
      </c>
      <c r="E179" s="110" t="str">
        <f>SUBSTITUTE(SUBSTITUTE(SUBSTITUTE(SUBSTITUTE(SUBSTITUTE(SUBSTITUTE(SUBSTITUTE(SUBSTITUTE(SUBSTITUTE(SUBSTITUTE(SUBSTITUTE('入力シート（2事業場以降）'!J47,"０","0"),"１","1"),"２","2"),"３","3"),"４","4"),"５","5"),"６","6"),"７","7"),"８","8"),"９","9"),"．",".")</f>
        <v/>
      </c>
      <c r="F179" s="4" t="str">
        <f t="shared" ref="F179" si="4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179,"Ａ","A"),"Ｂ","B"),"Ｃ","C"),"Ｄ","D"),"Ｅ","E"),"Ｆ","F"),"Ｇ","G"),"Ｈ","H"),"Ｉ","I"),"Ｊ","J"),"Ｋ","K"),"Ｌ","L"),"Ｍ","M"),"Ｎ","N"),"Ｏ","O"),"Ｐ","P"),"Ｑ","Q"),"Ｒ","R"),"Ｓ","S"),"Ｔ","T"),"Ｕ","U"),"Ｖ","V"),"Ｗ","W"),"Ｘ","X"),"Ｙ","Y"),"Ｚ","Z"),"ａ","a"),"ｂ","b"),"ｃ","c"),"ｄ","d"),"ｅ","e"),"ｆ","f"),"ｇ","g"),"ｈ","h"),"ｉ","i"),"ｊ","j"),"ｋ","k"),"ｌ","l"),"ｍ","m"),"ｎ","n"),"ｏ","o"),"ｐ","p"),"ｑ","q"),"ｒ","r"),"ｓ","s"),"ｔ","t"),"ｕ","u"),"ｖ","v"),"ｗ","w"),"ｘ","x"),"ｙ","y"),"ｚ","z"),"＆","&amp;"),"－","-"),"．",".")</f>
        <v/>
      </c>
      <c r="G179" s="15" t="str">
        <f>IF($D179=1,TRIM(CLEAN(F179)),"")&amp;""</f>
        <v/>
      </c>
      <c r="H179" t="str">
        <f>IF(G178&lt;&gt;"",IF(G178="自動車整備士である証明","整備士合格証書番号",LEFT(G178,2)&amp;"番号"),C179)</f>
        <v>認証・指定・認定番号または、整備士合格証書番号</v>
      </c>
      <c r="W179" s="117" t="str">
        <f t="shared" si="32"/>
        <v>OK</v>
      </c>
      <c r="X179" t="str">
        <f t="shared" ca="1" si="40"/>
        <v>認証・指定・認定番号または、整備士合格証書番号を入力してください。</v>
      </c>
      <c r="Y179">
        <f>IF(G179&lt;&gt;"",0,1)</f>
        <v>1</v>
      </c>
      <c r="AA179" t="str">
        <f>H179&amp;"を入力してください。"</f>
        <v>認証・指定・認定番号または、整備士合格証書番号を入力してください。</v>
      </c>
    </row>
    <row r="180" spans="2:28" x14ac:dyDescent="0.15">
      <c r="B180" s="5">
        <v>14</v>
      </c>
      <c r="C180" s="5" t="s">
        <v>54</v>
      </c>
      <c r="D180" s="4">
        <f t="shared" si="31"/>
        <v>0</v>
      </c>
      <c r="E180" s="4"/>
      <c r="F180" s="4" t="s">
        <v>402</v>
      </c>
      <c r="G180" s="15" t="str">
        <f>IF($D180=1,TRIM(CLEAN('入力シート（2事業場以降）'!N47)),"")&amp;""</f>
        <v/>
      </c>
      <c r="W180" s="117" t="str">
        <f t="shared" si="32"/>
        <v>OK</v>
      </c>
      <c r="X180" t="str">
        <f t="shared" ca="1" si="40"/>
        <v>管轄運輸局を入力してください。</v>
      </c>
      <c r="Y180">
        <f>IF(G178&lt;&gt;"自動車整備士である証明",IF(G180&lt;&gt;"",0,1),0)</f>
        <v>1</v>
      </c>
      <c r="AA180" t="str">
        <f>C180&amp;"を入力してください。"</f>
        <v>管轄運輸局を入力してください。</v>
      </c>
    </row>
    <row r="181" spans="2:28" x14ac:dyDescent="0.15">
      <c r="B181" s="5">
        <v>14</v>
      </c>
      <c r="C181" s="5" t="s">
        <v>56</v>
      </c>
      <c r="D181" s="4">
        <f t="shared" si="31"/>
        <v>0</v>
      </c>
      <c r="E181" s="110" t="str">
        <f>DBCS('入力シート（2事業場以降）'!R47)</f>
        <v/>
      </c>
      <c r="F181" s="4" t="str">
        <f>SUBSTITUTE(SUBSTITUTE(SUBSTITUTE(SUBSTITUTE(E181,"　株式会社","株式会社"),"会社　","会社"),"　有限会社","有限会社"),"　合同会社","合同会社")</f>
        <v/>
      </c>
      <c r="G181" s="16" t="str">
        <f>IF($D181=1,TRIM(CLEAN(F181)),"")&amp;""</f>
        <v/>
      </c>
      <c r="W181" s="117" t="str">
        <f t="shared" si="32"/>
        <v>OK</v>
      </c>
      <c r="X181" t="str">
        <f t="shared" ca="1" si="40"/>
        <v>事業場名を入力してください。</v>
      </c>
      <c r="Y181">
        <f>IF(G181&lt;&gt;"",0,1)</f>
        <v>1</v>
      </c>
      <c r="AA181" t="str">
        <f>C181&amp;"を入力してください。"</f>
        <v>事業場名を入力してください。</v>
      </c>
    </row>
    <row r="182" spans="2:28" x14ac:dyDescent="0.15">
      <c r="B182" s="5">
        <v>14</v>
      </c>
      <c r="C182" s="5" t="s">
        <v>24</v>
      </c>
      <c r="D182" s="4">
        <f t="shared" si="31"/>
        <v>0</v>
      </c>
      <c r="E182" s="4"/>
      <c r="F182" s="4"/>
      <c r="G182" s="15" t="str">
        <f>IF($D182=1,TRIM(CLEAN(ASC('入力シート（2事業場以降）'!X47))),"")&amp;""</f>
        <v/>
      </c>
      <c r="H182" s="15" t="str">
        <f>IF($D182=1,TRIM(CLEAN(ASC('入力シート（2事業場以降）'!Z47))),"")&amp;""</f>
        <v/>
      </c>
      <c r="W182" s="117" t="str">
        <f t="shared" si="32"/>
        <v>OK</v>
      </c>
      <c r="X182" t="str">
        <f t="shared" ca="1" si="40"/>
        <v>郵便番号を入力してください。</v>
      </c>
      <c r="Y182">
        <f>IF(AND(LEN(G182)=3,LEN(H182)=4)=TRUE,0,1)</f>
        <v>1</v>
      </c>
      <c r="Z182">
        <f>IFERROR(IF(0&lt;VALUE(G182),0,1),1)</f>
        <v>1</v>
      </c>
      <c r="AA182" t="str">
        <f>C182&amp;"を入力してください。"</f>
        <v>郵便番号を入力してください。</v>
      </c>
      <c r="AB182" t="str">
        <f>"正しい"&amp;C182&amp;"を入力してください。"</f>
        <v>正しい郵便番号を入力してください。</v>
      </c>
    </row>
    <row r="183" spans="2:28" x14ac:dyDescent="0.15">
      <c r="B183" s="5">
        <v>14</v>
      </c>
      <c r="C183" s="5" t="s">
        <v>26</v>
      </c>
      <c r="D183" s="4">
        <f t="shared" si="31"/>
        <v>0</v>
      </c>
      <c r="E183" s="4"/>
      <c r="F183" s="4"/>
      <c r="G183" s="15" t="str">
        <f>IF($D183=1,TRIM(CLEAN('入力シート（2事業場以降）'!AB47)),"")&amp;""</f>
        <v/>
      </c>
      <c r="W183" s="117" t="str">
        <f t="shared" si="32"/>
        <v>OK</v>
      </c>
      <c r="X183" t="str">
        <f t="shared" ca="1" si="40"/>
        <v>都道府県を選択してください。</v>
      </c>
      <c r="Y183">
        <f>IF(G183&lt;&gt;"",0,1)</f>
        <v>1</v>
      </c>
      <c r="AA183" t="str">
        <f>C183&amp;"を選択してください。"</f>
        <v>都道府県を選択してください。</v>
      </c>
    </row>
    <row r="184" spans="2:28" x14ac:dyDescent="0.15">
      <c r="B184" s="5">
        <v>14</v>
      </c>
      <c r="C184" s="5" t="s">
        <v>29</v>
      </c>
      <c r="D184" s="4">
        <f t="shared" si="31"/>
        <v>0</v>
      </c>
      <c r="E184" s="110" t="str">
        <f>DBCS('入力シート（2事業場以降）'!AD47)</f>
        <v/>
      </c>
      <c r="F184" s="4"/>
      <c r="G184" s="15" t="str">
        <f>IF($D184=1,TRIM(CLEAN('入力シート（2事業場以降）'!AD47)),"")&amp;""</f>
        <v/>
      </c>
      <c r="W184" s="117" t="str">
        <f t="shared" si="32"/>
        <v>OK</v>
      </c>
      <c r="X184" t="str">
        <f t="shared" ca="1" si="40"/>
        <v>市区町村を入力してください。</v>
      </c>
      <c r="Y184">
        <f>IF(G184&lt;&gt;"",0,1)</f>
        <v>1</v>
      </c>
      <c r="AA184" t="str">
        <f>C184&amp;"を入力してください。"</f>
        <v>市区町村を入力してください。</v>
      </c>
    </row>
    <row r="185" spans="2:28" x14ac:dyDescent="0.15">
      <c r="B185" s="5">
        <v>14</v>
      </c>
      <c r="C185" s="5" t="s">
        <v>31</v>
      </c>
      <c r="D185" s="4">
        <f t="shared" si="31"/>
        <v>0</v>
      </c>
      <c r="E185" s="110" t="str">
        <f>DBCS('入力シート（2事業場以降）'!AH47)</f>
        <v/>
      </c>
      <c r="F185" s="4"/>
      <c r="G185" s="15" t="str">
        <f>IF($D185=1,TRIM(CLEAN('入力シート（2事業場以降）'!AH47)),"")&amp;""</f>
        <v/>
      </c>
      <c r="W185" s="117" t="str">
        <f t="shared" si="32"/>
        <v>OK</v>
      </c>
      <c r="X185" t="str">
        <f t="shared" ca="1" si="40"/>
        <v>町名地番を入力してください。</v>
      </c>
      <c r="Y185">
        <f>IF(G185&lt;&gt;"",0,1)</f>
        <v>1</v>
      </c>
      <c r="AA185" t="str">
        <f>C185&amp;"を入力してください。"</f>
        <v>町名地番を入力してください。</v>
      </c>
    </row>
    <row r="186" spans="2:28" x14ac:dyDescent="0.15">
      <c r="B186" s="5">
        <v>14</v>
      </c>
      <c r="C186" s="5" t="s">
        <v>34</v>
      </c>
      <c r="D186" s="4">
        <f t="shared" si="31"/>
        <v>0</v>
      </c>
      <c r="E186" s="110" t="str">
        <f>DBCS('入力シート（2事業場以降）'!AL47)</f>
        <v/>
      </c>
      <c r="F186" s="4"/>
      <c r="G186" s="15" t="str">
        <f>IF($D186=1,TRIM(CLEAN('入力シート（2事業場以降）'!AL47)),"")&amp;""</f>
        <v/>
      </c>
      <c r="W186" s="117" t="str">
        <f t="shared" si="32"/>
        <v>OK</v>
      </c>
    </row>
    <row r="187" spans="2:28" x14ac:dyDescent="0.15">
      <c r="B187" s="5">
        <v>15</v>
      </c>
      <c r="C187" s="5" t="s">
        <v>53</v>
      </c>
      <c r="D187" s="4">
        <f t="shared" si="31"/>
        <v>0</v>
      </c>
      <c r="E187" s="4"/>
      <c r="F187" s="4"/>
      <c r="G187" s="16" t="str">
        <f>IF($D187=1,'入力シート（2事業場以降）'!F49,"")&amp;""</f>
        <v/>
      </c>
      <c r="W187" s="117" t="str">
        <f t="shared" si="32"/>
        <v>OK</v>
      </c>
      <c r="X187" t="str">
        <f t="shared" ref="X187:X194" ca="1" si="42">IF(Y187=0,IF(Z187&lt;&gt;0,OFFSET(AA187,0,Z187),$V$1),AA187)</f>
        <v>書類の種類を選択してください。</v>
      </c>
      <c r="Y187">
        <f>IF(G187&lt;&gt;"",0,1)</f>
        <v>1</v>
      </c>
      <c r="AA187" t="str">
        <f>C187&amp;"を選択してください。"</f>
        <v>書類の種類を選択してください。</v>
      </c>
    </row>
    <row r="188" spans="2:28" x14ac:dyDescent="0.15">
      <c r="B188" s="5">
        <v>15</v>
      </c>
      <c r="C188" s="5" t="s">
        <v>424</v>
      </c>
      <c r="D188" s="4">
        <f t="shared" si="31"/>
        <v>0</v>
      </c>
      <c r="E188" s="110" t="str">
        <f>SUBSTITUTE(SUBSTITUTE(SUBSTITUTE(SUBSTITUTE(SUBSTITUTE(SUBSTITUTE(SUBSTITUTE(SUBSTITUTE(SUBSTITUTE(SUBSTITUTE(SUBSTITUTE('入力シート（2事業場以降）'!J49,"０","0"),"１","1"),"２","2"),"３","3"),"４","4"),"５","5"),"６","6"),"７","7"),"８","8"),"９","9"),"．",".")</f>
        <v/>
      </c>
      <c r="F188" s="4" t="str">
        <f t="shared" ref="F188" si="4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188,"Ａ","A"),"Ｂ","B"),"Ｃ","C"),"Ｄ","D"),"Ｅ","E"),"Ｆ","F"),"Ｇ","G"),"Ｈ","H"),"Ｉ","I"),"Ｊ","J"),"Ｋ","K"),"Ｌ","L"),"Ｍ","M"),"Ｎ","N"),"Ｏ","O"),"Ｐ","P"),"Ｑ","Q"),"Ｒ","R"),"Ｓ","S"),"Ｔ","T"),"Ｕ","U"),"Ｖ","V"),"Ｗ","W"),"Ｘ","X"),"Ｙ","Y"),"Ｚ","Z"),"ａ","a"),"ｂ","b"),"ｃ","c"),"ｄ","d"),"ｅ","e"),"ｆ","f"),"ｇ","g"),"ｈ","h"),"ｉ","i"),"ｊ","j"),"ｋ","k"),"ｌ","l"),"ｍ","m"),"ｎ","n"),"ｏ","o"),"ｐ","p"),"ｑ","q"),"ｒ","r"),"ｓ","s"),"ｔ","t"),"ｕ","u"),"ｖ","v"),"ｗ","w"),"ｘ","x"),"ｙ","y"),"ｚ","z"),"＆","&amp;"),"－","-"),"．",".")</f>
        <v/>
      </c>
      <c r="G188" s="15" t="str">
        <f>IF($D188=1,TRIM(CLEAN(F188)),"")&amp;""</f>
        <v/>
      </c>
      <c r="H188" t="str">
        <f>IF(G187&lt;&gt;"",IF(G187="自動車整備士である証明","整備士合格証書番号",LEFT(G187,2)&amp;"番号"),C188)</f>
        <v>認証・指定・認定番号または、整備士合格証書番号</v>
      </c>
      <c r="W188" s="117" t="str">
        <f t="shared" si="32"/>
        <v>OK</v>
      </c>
      <c r="X188" t="str">
        <f t="shared" ca="1" si="42"/>
        <v>認証・指定・認定番号または、整備士合格証書番号を入力してください。</v>
      </c>
      <c r="Y188">
        <f>IF(G188&lt;&gt;"",0,1)</f>
        <v>1</v>
      </c>
      <c r="AA188" t="str">
        <f>H188&amp;"を入力してください。"</f>
        <v>認証・指定・認定番号または、整備士合格証書番号を入力してください。</v>
      </c>
    </row>
    <row r="189" spans="2:28" x14ac:dyDescent="0.15">
      <c r="B189" s="5">
        <v>15</v>
      </c>
      <c r="C189" s="5" t="s">
        <v>54</v>
      </c>
      <c r="D189" s="4">
        <f t="shared" si="31"/>
        <v>0</v>
      </c>
      <c r="E189" s="4"/>
      <c r="F189" s="4" t="s">
        <v>402</v>
      </c>
      <c r="G189" s="15" t="str">
        <f>IF($D189=1,TRIM(CLEAN('入力シート（2事業場以降）'!N49)),"")&amp;""</f>
        <v/>
      </c>
      <c r="W189" s="117" t="str">
        <f t="shared" si="32"/>
        <v>OK</v>
      </c>
      <c r="X189" t="str">
        <f t="shared" ca="1" si="42"/>
        <v>管轄運輸局を入力してください。</v>
      </c>
      <c r="Y189">
        <f>IF(G187&lt;&gt;"自動車整備士である証明",IF(G189&lt;&gt;"",0,1),0)</f>
        <v>1</v>
      </c>
      <c r="AA189" t="str">
        <f>C189&amp;"を入力してください。"</f>
        <v>管轄運輸局を入力してください。</v>
      </c>
    </row>
    <row r="190" spans="2:28" x14ac:dyDescent="0.15">
      <c r="B190" s="5">
        <v>15</v>
      </c>
      <c r="C190" s="5" t="s">
        <v>56</v>
      </c>
      <c r="D190" s="4">
        <f t="shared" si="31"/>
        <v>0</v>
      </c>
      <c r="E190" s="110" t="str">
        <f>DBCS('入力シート（2事業場以降）'!R49)</f>
        <v/>
      </c>
      <c r="F190" s="4" t="str">
        <f>SUBSTITUTE(SUBSTITUTE(SUBSTITUTE(SUBSTITUTE(E190,"　株式会社","株式会社"),"会社　","会社"),"　有限会社","有限会社"),"　合同会社","合同会社")</f>
        <v/>
      </c>
      <c r="G190" s="16" t="str">
        <f>IF($D190=1,TRIM(CLEAN(F190)),"")&amp;""</f>
        <v/>
      </c>
      <c r="W190" s="117" t="str">
        <f t="shared" si="32"/>
        <v>OK</v>
      </c>
      <c r="X190" t="str">
        <f t="shared" ca="1" si="42"/>
        <v>事業場名を入力してください。</v>
      </c>
      <c r="Y190">
        <f>IF(G190&lt;&gt;"",0,1)</f>
        <v>1</v>
      </c>
      <c r="AA190" t="str">
        <f>C190&amp;"を入力してください。"</f>
        <v>事業場名を入力してください。</v>
      </c>
    </row>
    <row r="191" spans="2:28" x14ac:dyDescent="0.15">
      <c r="B191" s="5">
        <v>15</v>
      </c>
      <c r="C191" s="5" t="s">
        <v>24</v>
      </c>
      <c r="D191" s="4">
        <f t="shared" si="31"/>
        <v>0</v>
      </c>
      <c r="E191" s="4"/>
      <c r="F191" s="4"/>
      <c r="G191" s="15" t="str">
        <f>IF($D191=1,TRIM(CLEAN(ASC('入力シート（2事業場以降）'!X49))),"")&amp;""</f>
        <v/>
      </c>
      <c r="H191" s="15" t="str">
        <f>IF($D191=1,TRIM(CLEAN(ASC('入力シート（2事業場以降）'!Z49))),"")&amp;""</f>
        <v/>
      </c>
      <c r="W191" s="117" t="str">
        <f t="shared" si="32"/>
        <v>OK</v>
      </c>
      <c r="X191" t="str">
        <f t="shared" ca="1" si="42"/>
        <v>郵便番号を入力してください。</v>
      </c>
      <c r="Y191">
        <f>IF(AND(LEN(G191)=3,LEN(H191)=4)=TRUE,0,1)</f>
        <v>1</v>
      </c>
      <c r="Z191">
        <f>IFERROR(IF(0&lt;VALUE(G191),0,1),1)</f>
        <v>1</v>
      </c>
      <c r="AA191" t="str">
        <f>C191&amp;"を入力してください。"</f>
        <v>郵便番号を入力してください。</v>
      </c>
      <c r="AB191" t="str">
        <f>"正しい"&amp;C191&amp;"を入力してください。"</f>
        <v>正しい郵便番号を入力してください。</v>
      </c>
    </row>
    <row r="192" spans="2:28" x14ac:dyDescent="0.15">
      <c r="B192" s="5">
        <v>15</v>
      </c>
      <c r="C192" s="5" t="s">
        <v>26</v>
      </c>
      <c r="D192" s="4">
        <f t="shared" si="31"/>
        <v>0</v>
      </c>
      <c r="E192" s="4"/>
      <c r="F192" s="4"/>
      <c r="G192" s="15" t="str">
        <f>IF($D192=1,TRIM(CLEAN('入力シート（2事業場以降）'!AB49)),"")&amp;""</f>
        <v/>
      </c>
      <c r="W192" s="117" t="str">
        <f t="shared" si="32"/>
        <v>OK</v>
      </c>
      <c r="X192" t="str">
        <f t="shared" ca="1" si="42"/>
        <v>都道府県を選択してください。</v>
      </c>
      <c r="Y192">
        <f>IF(G192&lt;&gt;"",0,1)</f>
        <v>1</v>
      </c>
      <c r="AA192" t="str">
        <f>C192&amp;"を選択してください。"</f>
        <v>都道府県を選択してください。</v>
      </c>
    </row>
    <row r="193" spans="2:28" x14ac:dyDescent="0.15">
      <c r="B193" s="5">
        <v>15</v>
      </c>
      <c r="C193" s="5" t="s">
        <v>29</v>
      </c>
      <c r="D193" s="4">
        <f t="shared" si="31"/>
        <v>0</v>
      </c>
      <c r="E193" s="110" t="str">
        <f>DBCS('入力シート（2事業場以降）'!AD49)</f>
        <v/>
      </c>
      <c r="F193" s="4"/>
      <c r="G193" s="15" t="str">
        <f>IF($D193=1,TRIM(CLEAN('入力シート（2事業場以降）'!AD49)),"")&amp;""</f>
        <v/>
      </c>
      <c r="W193" s="117" t="str">
        <f t="shared" si="32"/>
        <v>OK</v>
      </c>
      <c r="X193" t="str">
        <f t="shared" ca="1" si="42"/>
        <v>市区町村を入力してください。</v>
      </c>
      <c r="Y193">
        <f>IF(G193&lt;&gt;"",0,1)</f>
        <v>1</v>
      </c>
      <c r="AA193" t="str">
        <f>C193&amp;"を入力してください。"</f>
        <v>市区町村を入力してください。</v>
      </c>
    </row>
    <row r="194" spans="2:28" x14ac:dyDescent="0.15">
      <c r="B194" s="5">
        <v>15</v>
      </c>
      <c r="C194" s="5" t="s">
        <v>31</v>
      </c>
      <c r="D194" s="4">
        <f t="shared" si="31"/>
        <v>0</v>
      </c>
      <c r="E194" s="110" t="str">
        <f>DBCS('入力シート（2事業場以降）'!AH49)</f>
        <v/>
      </c>
      <c r="F194" s="4"/>
      <c r="G194" s="15" t="str">
        <f>IF($D194=1,TRIM(CLEAN('入力シート（2事業場以降）'!AH49)),"")&amp;""</f>
        <v/>
      </c>
      <c r="W194" s="117" t="str">
        <f t="shared" si="32"/>
        <v>OK</v>
      </c>
      <c r="X194" t="str">
        <f t="shared" ca="1" si="42"/>
        <v>町名地番を入力してください。</v>
      </c>
      <c r="Y194">
        <f>IF(G194&lt;&gt;"",0,1)</f>
        <v>1</v>
      </c>
      <c r="AA194" t="str">
        <f>C194&amp;"を入力してください。"</f>
        <v>町名地番を入力してください。</v>
      </c>
    </row>
    <row r="195" spans="2:28" x14ac:dyDescent="0.15">
      <c r="B195" s="5">
        <v>15</v>
      </c>
      <c r="C195" s="5" t="s">
        <v>34</v>
      </c>
      <c r="D195" s="4">
        <f t="shared" si="31"/>
        <v>0</v>
      </c>
      <c r="E195" s="110" t="str">
        <f>DBCS('入力シート（2事業場以降）'!AL49)</f>
        <v/>
      </c>
      <c r="F195" s="4"/>
      <c r="G195" s="15" t="str">
        <f>IF($D195=1,TRIM(CLEAN('入力シート（2事業場以降）'!AL49)),"")&amp;""</f>
        <v/>
      </c>
      <c r="W195" s="117" t="str">
        <f t="shared" si="32"/>
        <v>OK</v>
      </c>
    </row>
    <row r="196" spans="2:28" x14ac:dyDescent="0.15">
      <c r="B196" s="5">
        <v>16</v>
      </c>
      <c r="C196" s="5" t="s">
        <v>53</v>
      </c>
      <c r="D196" s="4">
        <f t="shared" si="31"/>
        <v>0</v>
      </c>
      <c r="E196" s="4"/>
      <c r="F196" s="4"/>
      <c r="G196" s="16" t="str">
        <f>IF($D196=1,'入力シート（2事業場以降）'!F51,"")&amp;""</f>
        <v/>
      </c>
      <c r="W196" s="117" t="str">
        <f t="shared" si="32"/>
        <v>OK</v>
      </c>
      <c r="X196" t="str">
        <f t="shared" ref="X196:X203" ca="1" si="44">IF(Y196=0,IF(Z196&lt;&gt;0,OFFSET(AA196,0,Z196),$V$1),AA196)</f>
        <v>書類の種類を選択してください。</v>
      </c>
      <c r="Y196">
        <f>IF(G196&lt;&gt;"",0,1)</f>
        <v>1</v>
      </c>
      <c r="AA196" t="str">
        <f>C196&amp;"を選択してください。"</f>
        <v>書類の種類を選択してください。</v>
      </c>
    </row>
    <row r="197" spans="2:28" x14ac:dyDescent="0.15">
      <c r="B197" s="5">
        <v>16</v>
      </c>
      <c r="C197" s="5" t="s">
        <v>424</v>
      </c>
      <c r="D197" s="4">
        <f t="shared" si="31"/>
        <v>0</v>
      </c>
      <c r="E197" s="110" t="str">
        <f>SUBSTITUTE(SUBSTITUTE(SUBSTITUTE(SUBSTITUTE(SUBSTITUTE(SUBSTITUTE(SUBSTITUTE(SUBSTITUTE(SUBSTITUTE(SUBSTITUTE(SUBSTITUTE('入力シート（2事業場以降）'!J51,"０","0"),"１","1"),"２","2"),"３","3"),"４","4"),"５","5"),"６","6"),"７","7"),"８","8"),"９","9"),"．",".")</f>
        <v/>
      </c>
      <c r="F197" s="4" t="str">
        <f t="shared" ref="F197" si="4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197,"Ａ","A"),"Ｂ","B"),"Ｃ","C"),"Ｄ","D"),"Ｅ","E"),"Ｆ","F"),"Ｇ","G"),"Ｈ","H"),"Ｉ","I"),"Ｊ","J"),"Ｋ","K"),"Ｌ","L"),"Ｍ","M"),"Ｎ","N"),"Ｏ","O"),"Ｐ","P"),"Ｑ","Q"),"Ｒ","R"),"Ｓ","S"),"Ｔ","T"),"Ｕ","U"),"Ｖ","V"),"Ｗ","W"),"Ｘ","X"),"Ｙ","Y"),"Ｚ","Z"),"ａ","a"),"ｂ","b"),"ｃ","c"),"ｄ","d"),"ｅ","e"),"ｆ","f"),"ｇ","g"),"ｈ","h"),"ｉ","i"),"ｊ","j"),"ｋ","k"),"ｌ","l"),"ｍ","m"),"ｎ","n"),"ｏ","o"),"ｐ","p"),"ｑ","q"),"ｒ","r"),"ｓ","s"),"ｔ","t"),"ｕ","u"),"ｖ","v"),"ｗ","w"),"ｘ","x"),"ｙ","y"),"ｚ","z"),"＆","&amp;"),"－","-"),"．",".")</f>
        <v/>
      </c>
      <c r="G197" s="15" t="str">
        <f>IF($D197=1,TRIM(CLEAN(F197)),"")&amp;""</f>
        <v/>
      </c>
      <c r="H197" t="str">
        <f>IF(G196&lt;&gt;"",IF(G196="自動車整備士である証明","整備士合格証書番号",LEFT(G196,2)&amp;"番号"),C197)</f>
        <v>認証・指定・認定番号または、整備士合格証書番号</v>
      </c>
      <c r="W197" s="117" t="str">
        <f t="shared" si="32"/>
        <v>OK</v>
      </c>
      <c r="X197" t="str">
        <f t="shared" ca="1" si="44"/>
        <v>認証・指定・認定番号または、整備士合格証書番号を入力してください。</v>
      </c>
      <c r="Y197">
        <f>IF(G197&lt;&gt;"",0,1)</f>
        <v>1</v>
      </c>
      <c r="AA197" t="str">
        <f>H197&amp;"を入力してください。"</f>
        <v>認証・指定・認定番号または、整備士合格証書番号を入力してください。</v>
      </c>
    </row>
    <row r="198" spans="2:28" x14ac:dyDescent="0.15">
      <c r="B198" s="5">
        <v>16</v>
      </c>
      <c r="C198" s="5" t="s">
        <v>54</v>
      </c>
      <c r="D198" s="4">
        <f t="shared" si="31"/>
        <v>0</v>
      </c>
      <c r="E198" s="4"/>
      <c r="F198" s="4" t="s">
        <v>402</v>
      </c>
      <c r="G198" s="15" t="str">
        <f>IF($D198=1,TRIM(CLEAN('入力シート（2事業場以降）'!N51)),"")&amp;""</f>
        <v/>
      </c>
      <c r="W198" s="117" t="str">
        <f t="shared" si="32"/>
        <v>OK</v>
      </c>
      <c r="X198" t="str">
        <f t="shared" ca="1" si="44"/>
        <v>管轄運輸局を入力してください。</v>
      </c>
      <c r="Y198">
        <f>IF(G196&lt;&gt;"自動車整備士である証明",IF(G198&lt;&gt;"",0,1),0)</f>
        <v>1</v>
      </c>
      <c r="AA198" t="str">
        <f>C198&amp;"を入力してください。"</f>
        <v>管轄運輸局を入力してください。</v>
      </c>
    </row>
    <row r="199" spans="2:28" x14ac:dyDescent="0.15">
      <c r="B199" s="5">
        <v>16</v>
      </c>
      <c r="C199" s="5" t="s">
        <v>56</v>
      </c>
      <c r="D199" s="4">
        <f t="shared" ref="D199:D262" si="46">IF(AND(B199&lt;=$G$60),1,0)</f>
        <v>0</v>
      </c>
      <c r="E199" s="110" t="str">
        <f>DBCS('入力シート（2事業場以降）'!R51)</f>
        <v/>
      </c>
      <c r="F199" s="4" t="str">
        <f>SUBSTITUTE(SUBSTITUTE(SUBSTITUTE(SUBSTITUTE(E199,"　株式会社","株式会社"),"会社　","会社"),"　有限会社","有限会社"),"　合同会社","合同会社")</f>
        <v/>
      </c>
      <c r="G199" s="16" t="str">
        <f>IF($D199=1,TRIM(CLEAN(F199)),"")&amp;""</f>
        <v/>
      </c>
      <c r="W199" s="117" t="str">
        <f t="shared" ref="W199:W262" si="47">IF(B199&lt;=$G$60,IF(X199="OK",X199,"NG"),"OK")</f>
        <v>OK</v>
      </c>
      <c r="X199" t="str">
        <f t="shared" ca="1" si="44"/>
        <v>事業場名を入力してください。</v>
      </c>
      <c r="Y199">
        <f>IF(G199&lt;&gt;"",0,1)</f>
        <v>1</v>
      </c>
      <c r="AA199" t="str">
        <f>C199&amp;"を入力してください。"</f>
        <v>事業場名を入力してください。</v>
      </c>
    </row>
    <row r="200" spans="2:28" x14ac:dyDescent="0.15">
      <c r="B200" s="5">
        <v>16</v>
      </c>
      <c r="C200" s="5" t="s">
        <v>24</v>
      </c>
      <c r="D200" s="4">
        <f t="shared" si="46"/>
        <v>0</v>
      </c>
      <c r="E200" s="4"/>
      <c r="F200" s="4"/>
      <c r="G200" s="15" t="str">
        <f>IF($D200=1,TRIM(CLEAN(ASC('入力シート（2事業場以降）'!X51))),"")&amp;""</f>
        <v/>
      </c>
      <c r="H200" s="15" t="str">
        <f>IF($D200=1,TRIM(CLEAN(ASC('入力シート（2事業場以降）'!Z51))),"")&amp;""</f>
        <v/>
      </c>
      <c r="W200" s="117" t="str">
        <f t="shared" si="47"/>
        <v>OK</v>
      </c>
      <c r="X200" t="str">
        <f t="shared" ca="1" si="44"/>
        <v>郵便番号を入力してください。</v>
      </c>
      <c r="Y200">
        <f>IF(AND(LEN(G200)=3,LEN(H200)=4)=TRUE,0,1)</f>
        <v>1</v>
      </c>
      <c r="Z200">
        <f>IFERROR(IF(0&lt;VALUE(G200),0,1),1)</f>
        <v>1</v>
      </c>
      <c r="AA200" t="str">
        <f>C200&amp;"を入力してください。"</f>
        <v>郵便番号を入力してください。</v>
      </c>
      <c r="AB200" t="str">
        <f>"正しい"&amp;C200&amp;"を入力してください。"</f>
        <v>正しい郵便番号を入力してください。</v>
      </c>
    </row>
    <row r="201" spans="2:28" x14ac:dyDescent="0.15">
      <c r="B201" s="5">
        <v>16</v>
      </c>
      <c r="C201" s="5" t="s">
        <v>26</v>
      </c>
      <c r="D201" s="4">
        <f t="shared" si="46"/>
        <v>0</v>
      </c>
      <c r="E201" s="4"/>
      <c r="F201" s="4"/>
      <c r="G201" s="15" t="str">
        <f>IF($D201=1,TRIM(CLEAN('入力シート（2事業場以降）'!AB51)),"")&amp;""</f>
        <v/>
      </c>
      <c r="W201" s="117" t="str">
        <f t="shared" si="47"/>
        <v>OK</v>
      </c>
      <c r="X201" t="str">
        <f t="shared" ca="1" si="44"/>
        <v>都道府県を選択してください。</v>
      </c>
      <c r="Y201">
        <f>IF(G201&lt;&gt;"",0,1)</f>
        <v>1</v>
      </c>
      <c r="AA201" t="str">
        <f>C201&amp;"を選択してください。"</f>
        <v>都道府県を選択してください。</v>
      </c>
    </row>
    <row r="202" spans="2:28" x14ac:dyDescent="0.15">
      <c r="B202" s="5">
        <v>16</v>
      </c>
      <c r="C202" s="5" t="s">
        <v>29</v>
      </c>
      <c r="D202" s="4">
        <f t="shared" si="46"/>
        <v>0</v>
      </c>
      <c r="E202" s="110" t="str">
        <f>DBCS('入力シート（2事業場以降）'!AD51)</f>
        <v/>
      </c>
      <c r="F202" s="4"/>
      <c r="G202" s="15" t="str">
        <f>IF($D202=1,TRIM(CLEAN('入力シート（2事業場以降）'!AD51)),"")&amp;""</f>
        <v/>
      </c>
      <c r="W202" s="117" t="str">
        <f t="shared" si="47"/>
        <v>OK</v>
      </c>
      <c r="X202" t="str">
        <f t="shared" ca="1" si="44"/>
        <v>市区町村を入力してください。</v>
      </c>
      <c r="Y202">
        <f>IF(G202&lt;&gt;"",0,1)</f>
        <v>1</v>
      </c>
      <c r="AA202" t="str">
        <f>C202&amp;"を入力してください。"</f>
        <v>市区町村を入力してください。</v>
      </c>
    </row>
    <row r="203" spans="2:28" x14ac:dyDescent="0.15">
      <c r="B203" s="5">
        <v>16</v>
      </c>
      <c r="C203" s="5" t="s">
        <v>31</v>
      </c>
      <c r="D203" s="4">
        <f t="shared" si="46"/>
        <v>0</v>
      </c>
      <c r="E203" s="110" t="str">
        <f>DBCS('入力シート（2事業場以降）'!AH51)</f>
        <v/>
      </c>
      <c r="F203" s="4"/>
      <c r="G203" s="15" t="str">
        <f>IF($D203=1,TRIM(CLEAN('入力シート（2事業場以降）'!AH51)),"")&amp;""</f>
        <v/>
      </c>
      <c r="W203" s="117" t="str">
        <f t="shared" si="47"/>
        <v>OK</v>
      </c>
      <c r="X203" t="str">
        <f t="shared" ca="1" si="44"/>
        <v>町名地番を入力してください。</v>
      </c>
      <c r="Y203">
        <f>IF(G203&lt;&gt;"",0,1)</f>
        <v>1</v>
      </c>
      <c r="AA203" t="str">
        <f>C203&amp;"を入力してください。"</f>
        <v>町名地番を入力してください。</v>
      </c>
    </row>
    <row r="204" spans="2:28" x14ac:dyDescent="0.15">
      <c r="B204" s="5">
        <v>16</v>
      </c>
      <c r="C204" s="5" t="s">
        <v>34</v>
      </c>
      <c r="D204" s="4">
        <f t="shared" si="46"/>
        <v>0</v>
      </c>
      <c r="E204" s="110" t="str">
        <f>DBCS('入力シート（2事業場以降）'!AL51)</f>
        <v/>
      </c>
      <c r="F204" s="4"/>
      <c r="G204" s="15" t="str">
        <f>IF($D204=1,TRIM(CLEAN('入力シート（2事業場以降）'!AL51)),"")&amp;""</f>
        <v/>
      </c>
      <c r="W204" s="117" t="str">
        <f t="shared" si="47"/>
        <v>OK</v>
      </c>
    </row>
    <row r="205" spans="2:28" x14ac:dyDescent="0.15">
      <c r="B205" s="5">
        <v>17</v>
      </c>
      <c r="C205" s="5" t="s">
        <v>53</v>
      </c>
      <c r="D205" s="4">
        <f t="shared" si="46"/>
        <v>0</v>
      </c>
      <c r="E205" s="4"/>
      <c r="F205" s="4"/>
      <c r="G205" s="16" t="str">
        <f>IF($D205=1,'入力シート（2事業場以降）'!F53,"")&amp;""</f>
        <v/>
      </c>
      <c r="W205" s="117" t="str">
        <f t="shared" si="47"/>
        <v>OK</v>
      </c>
      <c r="X205" t="str">
        <f t="shared" ref="X205:X212" ca="1" si="48">IF(Y205=0,IF(Z205&lt;&gt;0,OFFSET(AA205,0,Z205),$V$1),AA205)</f>
        <v>書類の種類を選択してください。</v>
      </c>
      <c r="Y205">
        <f>IF(G205&lt;&gt;"",0,1)</f>
        <v>1</v>
      </c>
      <c r="AA205" t="str">
        <f>C205&amp;"を選択してください。"</f>
        <v>書類の種類を選択してください。</v>
      </c>
    </row>
    <row r="206" spans="2:28" x14ac:dyDescent="0.15">
      <c r="B206" s="5">
        <v>17</v>
      </c>
      <c r="C206" s="5" t="s">
        <v>424</v>
      </c>
      <c r="D206" s="4">
        <f t="shared" si="46"/>
        <v>0</v>
      </c>
      <c r="E206" s="110" t="str">
        <f>SUBSTITUTE(SUBSTITUTE(SUBSTITUTE(SUBSTITUTE(SUBSTITUTE(SUBSTITUTE(SUBSTITUTE(SUBSTITUTE(SUBSTITUTE(SUBSTITUTE(SUBSTITUTE('入力シート（2事業場以降）'!J53,"０","0"),"１","1"),"２","2"),"３","3"),"４","4"),"５","5"),"６","6"),"７","7"),"８","8"),"９","9"),"．",".")</f>
        <v/>
      </c>
      <c r="F206" s="4" t="str">
        <f t="shared" ref="F206" si="4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206,"Ａ","A"),"Ｂ","B"),"Ｃ","C"),"Ｄ","D"),"Ｅ","E"),"Ｆ","F"),"Ｇ","G"),"Ｈ","H"),"Ｉ","I"),"Ｊ","J"),"Ｋ","K"),"Ｌ","L"),"Ｍ","M"),"Ｎ","N"),"Ｏ","O"),"Ｐ","P"),"Ｑ","Q"),"Ｒ","R"),"Ｓ","S"),"Ｔ","T"),"Ｕ","U"),"Ｖ","V"),"Ｗ","W"),"Ｘ","X"),"Ｙ","Y"),"Ｚ","Z"),"ａ","a"),"ｂ","b"),"ｃ","c"),"ｄ","d"),"ｅ","e"),"ｆ","f"),"ｇ","g"),"ｈ","h"),"ｉ","i"),"ｊ","j"),"ｋ","k"),"ｌ","l"),"ｍ","m"),"ｎ","n"),"ｏ","o"),"ｐ","p"),"ｑ","q"),"ｒ","r"),"ｓ","s"),"ｔ","t"),"ｕ","u"),"ｖ","v"),"ｗ","w"),"ｘ","x"),"ｙ","y"),"ｚ","z"),"＆","&amp;"),"－","-"),"．",".")</f>
        <v/>
      </c>
      <c r="G206" s="15" t="str">
        <f>IF($D206=1,TRIM(CLEAN(F206)),"")&amp;""</f>
        <v/>
      </c>
      <c r="H206" t="str">
        <f>IF(G205&lt;&gt;"",IF(G205="自動車整備士である証明","整備士合格証書番号",LEFT(G205,2)&amp;"番号"),C206)</f>
        <v>認証・指定・認定番号または、整備士合格証書番号</v>
      </c>
      <c r="W206" s="117" t="str">
        <f t="shared" si="47"/>
        <v>OK</v>
      </c>
      <c r="X206" t="str">
        <f t="shared" ca="1" si="48"/>
        <v>認証・指定・認定番号または、整備士合格証書番号を入力してください。</v>
      </c>
      <c r="Y206">
        <f>IF(G206&lt;&gt;"",0,1)</f>
        <v>1</v>
      </c>
      <c r="AA206" t="str">
        <f>H206&amp;"を入力してください。"</f>
        <v>認証・指定・認定番号または、整備士合格証書番号を入力してください。</v>
      </c>
    </row>
    <row r="207" spans="2:28" x14ac:dyDescent="0.15">
      <c r="B207" s="5">
        <v>17</v>
      </c>
      <c r="C207" s="5" t="s">
        <v>54</v>
      </c>
      <c r="D207" s="4">
        <f t="shared" si="46"/>
        <v>0</v>
      </c>
      <c r="E207" s="4"/>
      <c r="F207" s="4" t="s">
        <v>402</v>
      </c>
      <c r="G207" s="15" t="str">
        <f>IF($D207=1,TRIM(CLEAN('入力シート（2事業場以降）'!N53)),"")&amp;""</f>
        <v/>
      </c>
      <c r="W207" s="117" t="str">
        <f t="shared" si="47"/>
        <v>OK</v>
      </c>
      <c r="X207" t="str">
        <f t="shared" ca="1" si="48"/>
        <v>管轄運輸局を入力してください。</v>
      </c>
      <c r="Y207">
        <f>IF(G205&lt;&gt;"自動車整備士である証明",IF(G207&lt;&gt;"",0,1),0)</f>
        <v>1</v>
      </c>
      <c r="AA207" t="str">
        <f>C207&amp;"を入力してください。"</f>
        <v>管轄運輸局を入力してください。</v>
      </c>
    </row>
    <row r="208" spans="2:28" x14ac:dyDescent="0.15">
      <c r="B208" s="5">
        <v>17</v>
      </c>
      <c r="C208" s="5" t="s">
        <v>56</v>
      </c>
      <c r="D208" s="4">
        <f t="shared" si="46"/>
        <v>0</v>
      </c>
      <c r="E208" s="110" t="str">
        <f>DBCS('入力シート（2事業場以降）'!R53)</f>
        <v/>
      </c>
      <c r="F208" s="4" t="str">
        <f>SUBSTITUTE(SUBSTITUTE(SUBSTITUTE(SUBSTITUTE(E208,"　株式会社","株式会社"),"会社　","会社"),"　有限会社","有限会社"),"　合同会社","合同会社")</f>
        <v/>
      </c>
      <c r="G208" s="16" t="str">
        <f>IF($D208=1,TRIM(CLEAN(F208)),"")&amp;""</f>
        <v/>
      </c>
      <c r="W208" s="117" t="str">
        <f t="shared" si="47"/>
        <v>OK</v>
      </c>
      <c r="X208" t="str">
        <f t="shared" ca="1" si="48"/>
        <v>事業場名を入力してください。</v>
      </c>
      <c r="Y208">
        <f>IF(G208&lt;&gt;"",0,1)</f>
        <v>1</v>
      </c>
      <c r="AA208" t="str">
        <f>C208&amp;"を入力してください。"</f>
        <v>事業場名を入力してください。</v>
      </c>
    </row>
    <row r="209" spans="2:28" x14ac:dyDescent="0.15">
      <c r="B209" s="5">
        <v>17</v>
      </c>
      <c r="C209" s="5" t="s">
        <v>24</v>
      </c>
      <c r="D209" s="4">
        <f t="shared" si="46"/>
        <v>0</v>
      </c>
      <c r="E209" s="4"/>
      <c r="F209" s="4"/>
      <c r="G209" s="15" t="str">
        <f>IF($D209=1,TRIM(CLEAN(ASC('入力シート（2事業場以降）'!X53))),"")&amp;""</f>
        <v/>
      </c>
      <c r="H209" s="15" t="str">
        <f>IF($D209=1,TRIM(CLEAN(ASC('入力シート（2事業場以降）'!Z53))),"")&amp;""</f>
        <v/>
      </c>
      <c r="W209" s="117" t="str">
        <f t="shared" si="47"/>
        <v>OK</v>
      </c>
      <c r="X209" t="str">
        <f t="shared" ca="1" si="48"/>
        <v>郵便番号を入力してください。</v>
      </c>
      <c r="Y209">
        <f>IF(AND(LEN(G209)=3,LEN(H209)=4)=TRUE,0,1)</f>
        <v>1</v>
      </c>
      <c r="Z209">
        <f>IFERROR(IF(0&lt;VALUE(G209),0,1),1)</f>
        <v>1</v>
      </c>
      <c r="AA209" t="str">
        <f>C209&amp;"を入力してください。"</f>
        <v>郵便番号を入力してください。</v>
      </c>
      <c r="AB209" t="str">
        <f>"正しい"&amp;C209&amp;"を入力してください。"</f>
        <v>正しい郵便番号を入力してください。</v>
      </c>
    </row>
    <row r="210" spans="2:28" x14ac:dyDescent="0.15">
      <c r="B210" s="5">
        <v>17</v>
      </c>
      <c r="C210" s="5" t="s">
        <v>26</v>
      </c>
      <c r="D210" s="4">
        <f t="shared" si="46"/>
        <v>0</v>
      </c>
      <c r="E210" s="4"/>
      <c r="F210" s="4"/>
      <c r="G210" s="15" t="str">
        <f>IF($D210=1,TRIM(CLEAN('入力シート（2事業場以降）'!AB53)),"")&amp;""</f>
        <v/>
      </c>
      <c r="W210" s="117" t="str">
        <f t="shared" si="47"/>
        <v>OK</v>
      </c>
      <c r="X210" t="str">
        <f t="shared" ca="1" si="48"/>
        <v>都道府県を選択してください。</v>
      </c>
      <c r="Y210">
        <f>IF(G210&lt;&gt;"",0,1)</f>
        <v>1</v>
      </c>
      <c r="AA210" t="str">
        <f>C210&amp;"を選択してください。"</f>
        <v>都道府県を選択してください。</v>
      </c>
    </row>
    <row r="211" spans="2:28" x14ac:dyDescent="0.15">
      <c r="B211" s="5">
        <v>17</v>
      </c>
      <c r="C211" s="5" t="s">
        <v>29</v>
      </c>
      <c r="D211" s="4">
        <f t="shared" si="46"/>
        <v>0</v>
      </c>
      <c r="E211" s="110" t="str">
        <f>DBCS('入力シート（2事業場以降）'!AD53)</f>
        <v/>
      </c>
      <c r="F211" s="4"/>
      <c r="G211" s="15" t="str">
        <f>IF($D211=1,TRIM(CLEAN('入力シート（2事業場以降）'!AD53)),"")&amp;""</f>
        <v/>
      </c>
      <c r="W211" s="117" t="str">
        <f t="shared" si="47"/>
        <v>OK</v>
      </c>
      <c r="X211" t="str">
        <f t="shared" ca="1" si="48"/>
        <v>市区町村を入力してください。</v>
      </c>
      <c r="Y211">
        <f>IF(G211&lt;&gt;"",0,1)</f>
        <v>1</v>
      </c>
      <c r="AA211" t="str">
        <f>C211&amp;"を入力してください。"</f>
        <v>市区町村を入力してください。</v>
      </c>
    </row>
    <row r="212" spans="2:28" x14ac:dyDescent="0.15">
      <c r="B212" s="5">
        <v>17</v>
      </c>
      <c r="C212" s="5" t="s">
        <v>31</v>
      </c>
      <c r="D212" s="4">
        <f t="shared" si="46"/>
        <v>0</v>
      </c>
      <c r="E212" s="110" t="str">
        <f>DBCS('入力シート（2事業場以降）'!AH53)</f>
        <v/>
      </c>
      <c r="F212" s="4"/>
      <c r="G212" s="15" t="str">
        <f>IF($D212=1,TRIM(CLEAN('入力シート（2事業場以降）'!AH53)),"")&amp;""</f>
        <v/>
      </c>
      <c r="W212" s="117" t="str">
        <f t="shared" si="47"/>
        <v>OK</v>
      </c>
      <c r="X212" t="str">
        <f t="shared" ca="1" si="48"/>
        <v>町名地番を入力してください。</v>
      </c>
      <c r="Y212">
        <f>IF(G212&lt;&gt;"",0,1)</f>
        <v>1</v>
      </c>
      <c r="AA212" t="str">
        <f>C212&amp;"を入力してください。"</f>
        <v>町名地番を入力してください。</v>
      </c>
    </row>
    <row r="213" spans="2:28" x14ac:dyDescent="0.15">
      <c r="B213" s="5">
        <v>17</v>
      </c>
      <c r="C213" s="5" t="s">
        <v>34</v>
      </c>
      <c r="D213" s="4">
        <f t="shared" si="46"/>
        <v>0</v>
      </c>
      <c r="E213" s="110" t="str">
        <f>DBCS('入力シート（2事業場以降）'!AL53)</f>
        <v/>
      </c>
      <c r="F213" s="4"/>
      <c r="G213" s="15" t="str">
        <f>IF($D213=1,TRIM(CLEAN('入力シート（2事業場以降）'!AL53)),"")&amp;""</f>
        <v/>
      </c>
      <c r="W213" s="117" t="str">
        <f t="shared" si="47"/>
        <v>OK</v>
      </c>
    </row>
    <row r="214" spans="2:28" x14ac:dyDescent="0.15">
      <c r="B214" s="5">
        <v>18</v>
      </c>
      <c r="C214" s="5" t="s">
        <v>53</v>
      </c>
      <c r="D214" s="4">
        <f t="shared" si="46"/>
        <v>0</v>
      </c>
      <c r="E214" s="4"/>
      <c r="F214" s="4"/>
      <c r="G214" s="16" t="str">
        <f>IF($D214=1,'入力シート（2事業場以降）'!F55,"")&amp;""</f>
        <v/>
      </c>
      <c r="W214" s="117" t="str">
        <f t="shared" si="47"/>
        <v>OK</v>
      </c>
      <c r="X214" t="str">
        <f t="shared" ref="X214:X221" ca="1" si="50">IF(Y214=0,IF(Z214&lt;&gt;0,OFFSET(AA214,0,Z214),$V$1),AA214)</f>
        <v>書類の種類を選択してください。</v>
      </c>
      <c r="Y214">
        <f>IF(G214&lt;&gt;"",0,1)</f>
        <v>1</v>
      </c>
      <c r="AA214" t="str">
        <f>C214&amp;"を選択してください。"</f>
        <v>書類の種類を選択してください。</v>
      </c>
    </row>
    <row r="215" spans="2:28" x14ac:dyDescent="0.15">
      <c r="B215" s="5">
        <v>18</v>
      </c>
      <c r="C215" s="5" t="s">
        <v>424</v>
      </c>
      <c r="D215" s="4">
        <f t="shared" si="46"/>
        <v>0</v>
      </c>
      <c r="E215" s="110" t="str">
        <f>SUBSTITUTE(SUBSTITUTE(SUBSTITUTE(SUBSTITUTE(SUBSTITUTE(SUBSTITUTE(SUBSTITUTE(SUBSTITUTE(SUBSTITUTE(SUBSTITUTE(SUBSTITUTE('入力シート（2事業場以降）'!J55,"０","0"),"１","1"),"２","2"),"３","3"),"４","4"),"５","5"),"６","6"),"７","7"),"８","8"),"９","9"),"．",".")</f>
        <v/>
      </c>
      <c r="F215" s="4" t="str">
        <f t="shared" ref="F215" si="5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215,"Ａ","A"),"Ｂ","B"),"Ｃ","C"),"Ｄ","D"),"Ｅ","E"),"Ｆ","F"),"Ｇ","G"),"Ｈ","H"),"Ｉ","I"),"Ｊ","J"),"Ｋ","K"),"Ｌ","L"),"Ｍ","M"),"Ｎ","N"),"Ｏ","O"),"Ｐ","P"),"Ｑ","Q"),"Ｒ","R"),"Ｓ","S"),"Ｔ","T"),"Ｕ","U"),"Ｖ","V"),"Ｗ","W"),"Ｘ","X"),"Ｙ","Y"),"Ｚ","Z"),"ａ","a"),"ｂ","b"),"ｃ","c"),"ｄ","d"),"ｅ","e"),"ｆ","f"),"ｇ","g"),"ｈ","h"),"ｉ","i"),"ｊ","j"),"ｋ","k"),"ｌ","l"),"ｍ","m"),"ｎ","n"),"ｏ","o"),"ｐ","p"),"ｑ","q"),"ｒ","r"),"ｓ","s"),"ｔ","t"),"ｕ","u"),"ｖ","v"),"ｗ","w"),"ｘ","x"),"ｙ","y"),"ｚ","z"),"＆","&amp;"),"－","-"),"．",".")</f>
        <v/>
      </c>
      <c r="G215" s="15" t="str">
        <f>IF($D215=1,TRIM(CLEAN(F215)),"")&amp;""</f>
        <v/>
      </c>
      <c r="H215" t="str">
        <f>IF(G214&lt;&gt;"",IF(G214="自動車整備士である証明","整備士合格証書番号",LEFT(G214,2)&amp;"番号"),C215)</f>
        <v>認証・指定・認定番号または、整備士合格証書番号</v>
      </c>
      <c r="W215" s="117" t="str">
        <f t="shared" si="47"/>
        <v>OK</v>
      </c>
      <c r="X215" t="str">
        <f t="shared" ca="1" si="50"/>
        <v>認証・指定・認定番号または、整備士合格証書番号を入力してください。</v>
      </c>
      <c r="Y215">
        <f>IF(G215&lt;&gt;"",0,1)</f>
        <v>1</v>
      </c>
      <c r="AA215" t="str">
        <f>H215&amp;"を入力してください。"</f>
        <v>認証・指定・認定番号または、整備士合格証書番号を入力してください。</v>
      </c>
    </row>
    <row r="216" spans="2:28" x14ac:dyDescent="0.15">
      <c r="B216" s="5">
        <v>18</v>
      </c>
      <c r="C216" s="5" t="s">
        <v>54</v>
      </c>
      <c r="D216" s="4">
        <f t="shared" si="46"/>
        <v>0</v>
      </c>
      <c r="E216" s="4"/>
      <c r="F216" s="4" t="s">
        <v>402</v>
      </c>
      <c r="G216" s="15" t="str">
        <f>IF($D216=1,TRIM(CLEAN('入力シート（2事業場以降）'!N55)),"")&amp;""</f>
        <v/>
      </c>
      <c r="W216" s="117" t="str">
        <f t="shared" si="47"/>
        <v>OK</v>
      </c>
      <c r="X216" t="str">
        <f t="shared" ca="1" si="50"/>
        <v>管轄運輸局を入力してください。</v>
      </c>
      <c r="Y216">
        <f>IF(G214&lt;&gt;"自動車整備士である証明",IF(G216&lt;&gt;"",0,1),0)</f>
        <v>1</v>
      </c>
      <c r="AA216" t="str">
        <f>C216&amp;"を入力してください。"</f>
        <v>管轄運輸局を入力してください。</v>
      </c>
    </row>
    <row r="217" spans="2:28" x14ac:dyDescent="0.15">
      <c r="B217" s="5">
        <v>18</v>
      </c>
      <c r="C217" s="5" t="s">
        <v>56</v>
      </c>
      <c r="D217" s="4">
        <f t="shared" si="46"/>
        <v>0</v>
      </c>
      <c r="E217" s="110" t="str">
        <f>DBCS('入力シート（2事業場以降）'!R55)</f>
        <v/>
      </c>
      <c r="F217" s="4" t="str">
        <f>SUBSTITUTE(SUBSTITUTE(SUBSTITUTE(SUBSTITUTE(E217,"　株式会社","株式会社"),"会社　","会社"),"　有限会社","有限会社"),"　合同会社","合同会社")</f>
        <v/>
      </c>
      <c r="G217" s="16" t="str">
        <f>IF($D217=1,TRIM(CLEAN(F217)),"")&amp;""</f>
        <v/>
      </c>
      <c r="W217" s="117" t="str">
        <f t="shared" si="47"/>
        <v>OK</v>
      </c>
      <c r="X217" t="str">
        <f t="shared" ca="1" si="50"/>
        <v>事業場名を入力してください。</v>
      </c>
      <c r="Y217">
        <f>IF(G217&lt;&gt;"",0,1)</f>
        <v>1</v>
      </c>
      <c r="AA217" t="str">
        <f>C217&amp;"を入力してください。"</f>
        <v>事業場名を入力してください。</v>
      </c>
    </row>
    <row r="218" spans="2:28" x14ac:dyDescent="0.15">
      <c r="B218" s="5">
        <v>18</v>
      </c>
      <c r="C218" s="5" t="s">
        <v>24</v>
      </c>
      <c r="D218" s="4">
        <f t="shared" si="46"/>
        <v>0</v>
      </c>
      <c r="E218" s="4"/>
      <c r="F218" s="4"/>
      <c r="G218" s="15" t="str">
        <f>IF($D218=1,TRIM(CLEAN(ASC('入力シート（2事業場以降）'!X55))),"")&amp;""</f>
        <v/>
      </c>
      <c r="H218" s="15" t="str">
        <f>IF($D218=1,TRIM(CLEAN(ASC('入力シート（2事業場以降）'!Z55))),"")&amp;""</f>
        <v/>
      </c>
      <c r="W218" s="117" t="str">
        <f t="shared" si="47"/>
        <v>OK</v>
      </c>
      <c r="X218" t="str">
        <f t="shared" ca="1" si="50"/>
        <v>郵便番号を入力してください。</v>
      </c>
      <c r="Y218">
        <f>IF(AND(LEN(G218)=3,LEN(H218)=4)=TRUE,0,1)</f>
        <v>1</v>
      </c>
      <c r="Z218">
        <f>IFERROR(IF(0&lt;VALUE(G218),0,1),1)</f>
        <v>1</v>
      </c>
      <c r="AA218" t="str">
        <f>C218&amp;"を入力してください。"</f>
        <v>郵便番号を入力してください。</v>
      </c>
      <c r="AB218" t="str">
        <f>"正しい"&amp;C218&amp;"を入力してください。"</f>
        <v>正しい郵便番号を入力してください。</v>
      </c>
    </row>
    <row r="219" spans="2:28" x14ac:dyDescent="0.15">
      <c r="B219" s="5">
        <v>18</v>
      </c>
      <c r="C219" s="5" t="s">
        <v>26</v>
      </c>
      <c r="D219" s="4">
        <f t="shared" si="46"/>
        <v>0</v>
      </c>
      <c r="E219" s="4"/>
      <c r="F219" s="4"/>
      <c r="G219" s="15" t="str">
        <f>IF($D219=1,TRIM(CLEAN('入力シート（2事業場以降）'!AB55)),"")&amp;""</f>
        <v/>
      </c>
      <c r="W219" s="117" t="str">
        <f t="shared" si="47"/>
        <v>OK</v>
      </c>
      <c r="X219" t="str">
        <f t="shared" ca="1" si="50"/>
        <v>都道府県を選択してください。</v>
      </c>
      <c r="Y219">
        <f>IF(G219&lt;&gt;"",0,1)</f>
        <v>1</v>
      </c>
      <c r="AA219" t="str">
        <f>C219&amp;"を選択してください。"</f>
        <v>都道府県を選択してください。</v>
      </c>
    </row>
    <row r="220" spans="2:28" x14ac:dyDescent="0.15">
      <c r="B220" s="5">
        <v>18</v>
      </c>
      <c r="C220" s="5" t="s">
        <v>29</v>
      </c>
      <c r="D220" s="4">
        <f t="shared" si="46"/>
        <v>0</v>
      </c>
      <c r="E220" s="110" t="str">
        <f>DBCS('入力シート（2事業場以降）'!AD55)</f>
        <v/>
      </c>
      <c r="F220" s="4"/>
      <c r="G220" s="15" t="str">
        <f>IF($D220=1,TRIM(CLEAN('入力シート（2事業場以降）'!AD55)),"")&amp;""</f>
        <v/>
      </c>
      <c r="W220" s="117" t="str">
        <f t="shared" si="47"/>
        <v>OK</v>
      </c>
      <c r="X220" t="str">
        <f t="shared" ca="1" si="50"/>
        <v>市区町村を入力してください。</v>
      </c>
      <c r="Y220">
        <f>IF(G220&lt;&gt;"",0,1)</f>
        <v>1</v>
      </c>
      <c r="AA220" t="str">
        <f>C220&amp;"を入力してください。"</f>
        <v>市区町村を入力してください。</v>
      </c>
    </row>
    <row r="221" spans="2:28" x14ac:dyDescent="0.15">
      <c r="B221" s="5">
        <v>18</v>
      </c>
      <c r="C221" s="5" t="s">
        <v>31</v>
      </c>
      <c r="D221" s="4">
        <f t="shared" si="46"/>
        <v>0</v>
      </c>
      <c r="E221" s="110" t="str">
        <f>DBCS('入力シート（2事業場以降）'!AH55)</f>
        <v/>
      </c>
      <c r="F221" s="4"/>
      <c r="G221" s="15" t="str">
        <f>IF($D221=1,TRIM(CLEAN('入力シート（2事業場以降）'!AH55)),"")&amp;""</f>
        <v/>
      </c>
      <c r="W221" s="117" t="str">
        <f t="shared" si="47"/>
        <v>OK</v>
      </c>
      <c r="X221" t="str">
        <f t="shared" ca="1" si="50"/>
        <v>町名地番を入力してください。</v>
      </c>
      <c r="Y221">
        <f>IF(G221&lt;&gt;"",0,1)</f>
        <v>1</v>
      </c>
      <c r="AA221" t="str">
        <f>C221&amp;"を入力してください。"</f>
        <v>町名地番を入力してください。</v>
      </c>
    </row>
    <row r="222" spans="2:28" x14ac:dyDescent="0.15">
      <c r="B222" s="5">
        <v>18</v>
      </c>
      <c r="C222" s="5" t="s">
        <v>34</v>
      </c>
      <c r="D222" s="4">
        <f t="shared" si="46"/>
        <v>0</v>
      </c>
      <c r="E222" s="110" t="str">
        <f>DBCS('入力シート（2事業場以降）'!AL55)</f>
        <v/>
      </c>
      <c r="F222" s="4"/>
      <c r="G222" s="15" t="str">
        <f>IF($D222=1,TRIM(CLEAN('入力シート（2事業場以降）'!AL55)),"")&amp;""</f>
        <v/>
      </c>
      <c r="W222" s="117" t="str">
        <f t="shared" si="47"/>
        <v>OK</v>
      </c>
    </row>
    <row r="223" spans="2:28" x14ac:dyDescent="0.15">
      <c r="B223" s="5">
        <v>19</v>
      </c>
      <c r="C223" s="5" t="s">
        <v>53</v>
      </c>
      <c r="D223" s="4">
        <f t="shared" si="46"/>
        <v>0</v>
      </c>
      <c r="E223" s="4"/>
      <c r="F223" s="4"/>
      <c r="G223" s="16" t="str">
        <f>IF($D223=1,'入力シート（2事業場以降）'!F57,"")&amp;""</f>
        <v/>
      </c>
      <c r="W223" s="117" t="str">
        <f t="shared" si="47"/>
        <v>OK</v>
      </c>
      <c r="X223" t="str">
        <f t="shared" ref="X223:X230" ca="1" si="52">IF(Y223=0,IF(Z223&lt;&gt;0,OFFSET(AA223,0,Z223),$V$1),AA223)</f>
        <v>書類の種類を選択してください。</v>
      </c>
      <c r="Y223">
        <f>IF(G223&lt;&gt;"",0,1)</f>
        <v>1</v>
      </c>
      <c r="AA223" t="str">
        <f>C223&amp;"を選択してください。"</f>
        <v>書類の種類を選択してください。</v>
      </c>
    </row>
    <row r="224" spans="2:28" x14ac:dyDescent="0.15">
      <c r="B224" s="5">
        <v>19</v>
      </c>
      <c r="C224" s="5" t="s">
        <v>424</v>
      </c>
      <c r="D224" s="4">
        <f t="shared" si="46"/>
        <v>0</v>
      </c>
      <c r="E224" s="110" t="str">
        <f>SUBSTITUTE(SUBSTITUTE(SUBSTITUTE(SUBSTITUTE(SUBSTITUTE(SUBSTITUTE(SUBSTITUTE(SUBSTITUTE(SUBSTITUTE(SUBSTITUTE(SUBSTITUTE('入力シート（2事業場以降）'!J57,"０","0"),"１","1"),"２","2"),"３","3"),"４","4"),"５","5"),"６","6"),"７","7"),"８","8"),"９","9"),"．",".")</f>
        <v/>
      </c>
      <c r="F224" s="4" t="str">
        <f t="shared" ref="F224" si="5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224,"Ａ","A"),"Ｂ","B"),"Ｃ","C"),"Ｄ","D"),"Ｅ","E"),"Ｆ","F"),"Ｇ","G"),"Ｈ","H"),"Ｉ","I"),"Ｊ","J"),"Ｋ","K"),"Ｌ","L"),"Ｍ","M"),"Ｎ","N"),"Ｏ","O"),"Ｐ","P"),"Ｑ","Q"),"Ｒ","R"),"Ｓ","S"),"Ｔ","T"),"Ｕ","U"),"Ｖ","V"),"Ｗ","W"),"Ｘ","X"),"Ｙ","Y"),"Ｚ","Z"),"ａ","a"),"ｂ","b"),"ｃ","c"),"ｄ","d"),"ｅ","e"),"ｆ","f"),"ｇ","g"),"ｈ","h"),"ｉ","i"),"ｊ","j"),"ｋ","k"),"ｌ","l"),"ｍ","m"),"ｎ","n"),"ｏ","o"),"ｐ","p"),"ｑ","q"),"ｒ","r"),"ｓ","s"),"ｔ","t"),"ｕ","u"),"ｖ","v"),"ｗ","w"),"ｘ","x"),"ｙ","y"),"ｚ","z"),"＆","&amp;"),"－","-"),"．",".")</f>
        <v/>
      </c>
      <c r="G224" s="15" t="str">
        <f>IF($D224=1,TRIM(CLEAN(F224)),"")&amp;""</f>
        <v/>
      </c>
      <c r="H224" t="str">
        <f>IF(G223&lt;&gt;"",IF(G223="自動車整備士である証明","整備士合格証書番号",LEFT(G223,2)&amp;"番号"),C224)</f>
        <v>認証・指定・認定番号または、整備士合格証書番号</v>
      </c>
      <c r="W224" s="117" t="str">
        <f t="shared" si="47"/>
        <v>OK</v>
      </c>
      <c r="X224" t="str">
        <f t="shared" ca="1" si="52"/>
        <v>認証・指定・認定番号または、整備士合格証書番号を入力してください。</v>
      </c>
      <c r="Y224">
        <f>IF(G224&lt;&gt;"",0,1)</f>
        <v>1</v>
      </c>
      <c r="AA224" t="str">
        <f>H224&amp;"を入力してください。"</f>
        <v>認証・指定・認定番号または、整備士合格証書番号を入力してください。</v>
      </c>
    </row>
    <row r="225" spans="2:28" x14ac:dyDescent="0.15">
      <c r="B225" s="5">
        <v>19</v>
      </c>
      <c r="C225" s="5" t="s">
        <v>54</v>
      </c>
      <c r="D225" s="4">
        <f t="shared" si="46"/>
        <v>0</v>
      </c>
      <c r="E225" s="4"/>
      <c r="F225" s="4" t="s">
        <v>402</v>
      </c>
      <c r="G225" s="15" t="str">
        <f>IF($D225=1,TRIM(CLEAN('入力シート（2事業場以降）'!N57)),"")&amp;""</f>
        <v/>
      </c>
      <c r="W225" s="117" t="str">
        <f t="shared" si="47"/>
        <v>OK</v>
      </c>
      <c r="X225" t="str">
        <f t="shared" ca="1" si="52"/>
        <v>管轄運輸局を入力してください。</v>
      </c>
      <c r="Y225">
        <f>IF(G223&lt;&gt;"自動車整備士である証明",IF(G225&lt;&gt;"",0,1),0)</f>
        <v>1</v>
      </c>
      <c r="AA225" t="str">
        <f>C225&amp;"を入力してください。"</f>
        <v>管轄運輸局を入力してください。</v>
      </c>
    </row>
    <row r="226" spans="2:28" x14ac:dyDescent="0.15">
      <c r="B226" s="5">
        <v>19</v>
      </c>
      <c r="C226" s="5" t="s">
        <v>56</v>
      </c>
      <c r="D226" s="4">
        <f t="shared" si="46"/>
        <v>0</v>
      </c>
      <c r="E226" s="110" t="str">
        <f>DBCS('入力シート（2事業場以降）'!R57)</f>
        <v/>
      </c>
      <c r="F226" s="4" t="str">
        <f>SUBSTITUTE(SUBSTITUTE(SUBSTITUTE(SUBSTITUTE(E226,"　株式会社","株式会社"),"会社　","会社"),"　有限会社","有限会社"),"　合同会社","合同会社")</f>
        <v/>
      </c>
      <c r="G226" s="16" t="str">
        <f>IF($D226=1,TRIM(CLEAN(F226)),"")&amp;""</f>
        <v/>
      </c>
      <c r="W226" s="117" t="str">
        <f t="shared" si="47"/>
        <v>OK</v>
      </c>
      <c r="X226" t="str">
        <f t="shared" ca="1" si="52"/>
        <v>事業場名を入力してください。</v>
      </c>
      <c r="Y226">
        <f>IF(G226&lt;&gt;"",0,1)</f>
        <v>1</v>
      </c>
      <c r="AA226" t="str">
        <f>C226&amp;"を入力してください。"</f>
        <v>事業場名を入力してください。</v>
      </c>
    </row>
    <row r="227" spans="2:28" x14ac:dyDescent="0.15">
      <c r="B227" s="5">
        <v>19</v>
      </c>
      <c r="C227" s="5" t="s">
        <v>24</v>
      </c>
      <c r="D227" s="4">
        <f t="shared" si="46"/>
        <v>0</v>
      </c>
      <c r="E227" s="4"/>
      <c r="F227" s="4"/>
      <c r="G227" s="15" t="str">
        <f>IF($D227=1,TRIM(CLEAN(ASC('入力シート（2事業場以降）'!X57))),"")&amp;""</f>
        <v/>
      </c>
      <c r="H227" s="15" t="str">
        <f>IF($D227=1,TRIM(CLEAN(ASC('入力シート（2事業場以降）'!Z57))),"")&amp;""</f>
        <v/>
      </c>
      <c r="W227" s="117" t="str">
        <f t="shared" si="47"/>
        <v>OK</v>
      </c>
      <c r="X227" t="str">
        <f t="shared" ca="1" si="52"/>
        <v>郵便番号を入力してください。</v>
      </c>
      <c r="Y227">
        <f>IF(AND(LEN(G227)=3,LEN(H227)=4)=TRUE,0,1)</f>
        <v>1</v>
      </c>
      <c r="Z227">
        <f>IFERROR(IF(0&lt;VALUE(G227),0,1),1)</f>
        <v>1</v>
      </c>
      <c r="AA227" t="str">
        <f>C227&amp;"を入力してください。"</f>
        <v>郵便番号を入力してください。</v>
      </c>
      <c r="AB227" t="str">
        <f>"正しい"&amp;C227&amp;"を入力してください。"</f>
        <v>正しい郵便番号を入力してください。</v>
      </c>
    </row>
    <row r="228" spans="2:28" x14ac:dyDescent="0.15">
      <c r="B228" s="5">
        <v>19</v>
      </c>
      <c r="C228" s="5" t="s">
        <v>26</v>
      </c>
      <c r="D228" s="4">
        <f t="shared" si="46"/>
        <v>0</v>
      </c>
      <c r="E228" s="4"/>
      <c r="F228" s="4"/>
      <c r="G228" s="15" t="str">
        <f>IF($D228=1,TRIM(CLEAN('入力シート（2事業場以降）'!AB57)),"")&amp;""</f>
        <v/>
      </c>
      <c r="W228" s="117" t="str">
        <f t="shared" si="47"/>
        <v>OK</v>
      </c>
      <c r="X228" t="str">
        <f t="shared" ca="1" si="52"/>
        <v>都道府県を選択してください。</v>
      </c>
      <c r="Y228">
        <f>IF(G228&lt;&gt;"",0,1)</f>
        <v>1</v>
      </c>
      <c r="AA228" t="str">
        <f>C228&amp;"を選択してください。"</f>
        <v>都道府県を選択してください。</v>
      </c>
    </row>
    <row r="229" spans="2:28" x14ac:dyDescent="0.15">
      <c r="B229" s="5">
        <v>19</v>
      </c>
      <c r="C229" s="5" t="s">
        <v>29</v>
      </c>
      <c r="D229" s="4">
        <f t="shared" si="46"/>
        <v>0</v>
      </c>
      <c r="E229" s="110" t="str">
        <f>DBCS('入力シート（2事業場以降）'!AD57)</f>
        <v/>
      </c>
      <c r="F229" s="4"/>
      <c r="G229" s="15" t="str">
        <f>IF($D229=1,TRIM(CLEAN('入力シート（2事業場以降）'!AD57)),"")&amp;""</f>
        <v/>
      </c>
      <c r="W229" s="117" t="str">
        <f t="shared" si="47"/>
        <v>OK</v>
      </c>
      <c r="X229" t="str">
        <f t="shared" ca="1" si="52"/>
        <v>市区町村を入力してください。</v>
      </c>
      <c r="Y229">
        <f>IF(G229&lt;&gt;"",0,1)</f>
        <v>1</v>
      </c>
      <c r="AA229" t="str">
        <f>C229&amp;"を入力してください。"</f>
        <v>市区町村を入力してください。</v>
      </c>
    </row>
    <row r="230" spans="2:28" x14ac:dyDescent="0.15">
      <c r="B230" s="5">
        <v>19</v>
      </c>
      <c r="C230" s="5" t="s">
        <v>31</v>
      </c>
      <c r="D230" s="4">
        <f t="shared" si="46"/>
        <v>0</v>
      </c>
      <c r="E230" s="110" t="str">
        <f>DBCS('入力シート（2事業場以降）'!AH57)</f>
        <v/>
      </c>
      <c r="F230" s="4"/>
      <c r="G230" s="15" t="str">
        <f>IF($D230=1,TRIM(CLEAN('入力シート（2事業場以降）'!AH57)),"")&amp;""</f>
        <v/>
      </c>
      <c r="W230" s="117" t="str">
        <f t="shared" si="47"/>
        <v>OK</v>
      </c>
      <c r="X230" t="str">
        <f t="shared" ca="1" si="52"/>
        <v>町名地番を入力してください。</v>
      </c>
      <c r="Y230">
        <f>IF(G230&lt;&gt;"",0,1)</f>
        <v>1</v>
      </c>
      <c r="AA230" t="str">
        <f>C230&amp;"を入力してください。"</f>
        <v>町名地番を入力してください。</v>
      </c>
    </row>
    <row r="231" spans="2:28" x14ac:dyDescent="0.15">
      <c r="B231" s="5">
        <v>19</v>
      </c>
      <c r="C231" s="5" t="s">
        <v>34</v>
      </c>
      <c r="D231" s="4">
        <f t="shared" si="46"/>
        <v>0</v>
      </c>
      <c r="E231" s="110" t="str">
        <f>DBCS('入力シート（2事業場以降）'!AL57)</f>
        <v/>
      </c>
      <c r="F231" s="4"/>
      <c r="G231" s="15" t="str">
        <f>IF($D231=1,TRIM(CLEAN('入力シート（2事業場以降）'!AL57)),"")&amp;""</f>
        <v/>
      </c>
      <c r="W231" s="117" t="str">
        <f t="shared" si="47"/>
        <v>OK</v>
      </c>
    </row>
    <row r="232" spans="2:28" x14ac:dyDescent="0.15">
      <c r="B232" s="5">
        <v>20</v>
      </c>
      <c r="C232" s="5" t="s">
        <v>53</v>
      </c>
      <c r="D232" s="4">
        <f t="shared" si="46"/>
        <v>0</v>
      </c>
      <c r="E232" s="4"/>
      <c r="F232" s="4"/>
      <c r="G232" s="16" t="str">
        <f>IF($D232=1,'入力シート（2事業場以降）'!F59,"")&amp;""</f>
        <v/>
      </c>
      <c r="W232" s="117" t="str">
        <f t="shared" si="47"/>
        <v>OK</v>
      </c>
      <c r="X232" t="str">
        <f t="shared" ref="X232:X239" ca="1" si="54">IF(Y232=0,IF(Z232&lt;&gt;0,OFFSET(AA232,0,Z232),$V$1),AA232)</f>
        <v>書類の種類を選択してください。</v>
      </c>
      <c r="Y232">
        <f>IF(G232&lt;&gt;"",0,1)</f>
        <v>1</v>
      </c>
      <c r="AA232" t="str">
        <f>C232&amp;"を選択してください。"</f>
        <v>書類の種類を選択してください。</v>
      </c>
    </row>
    <row r="233" spans="2:28" x14ac:dyDescent="0.15">
      <c r="B233" s="5">
        <v>20</v>
      </c>
      <c r="C233" s="5" t="s">
        <v>424</v>
      </c>
      <c r="D233" s="4">
        <f t="shared" si="46"/>
        <v>0</v>
      </c>
      <c r="E233" s="110" t="str">
        <f>SUBSTITUTE(SUBSTITUTE(SUBSTITUTE(SUBSTITUTE(SUBSTITUTE(SUBSTITUTE(SUBSTITUTE(SUBSTITUTE(SUBSTITUTE(SUBSTITUTE(SUBSTITUTE('入力シート（2事業場以降）'!J59,"０","0"),"１","1"),"２","2"),"３","3"),"４","4"),"５","5"),"６","6"),"７","7"),"８","8"),"９","9"),"．",".")</f>
        <v/>
      </c>
      <c r="F233" s="4" t="str">
        <f t="shared" ref="F233" si="5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233,"Ａ","A"),"Ｂ","B"),"Ｃ","C"),"Ｄ","D"),"Ｅ","E"),"Ｆ","F"),"Ｇ","G"),"Ｈ","H"),"Ｉ","I"),"Ｊ","J"),"Ｋ","K"),"Ｌ","L"),"Ｍ","M"),"Ｎ","N"),"Ｏ","O"),"Ｐ","P"),"Ｑ","Q"),"Ｒ","R"),"Ｓ","S"),"Ｔ","T"),"Ｕ","U"),"Ｖ","V"),"Ｗ","W"),"Ｘ","X"),"Ｙ","Y"),"Ｚ","Z"),"ａ","a"),"ｂ","b"),"ｃ","c"),"ｄ","d"),"ｅ","e"),"ｆ","f"),"ｇ","g"),"ｈ","h"),"ｉ","i"),"ｊ","j"),"ｋ","k"),"ｌ","l"),"ｍ","m"),"ｎ","n"),"ｏ","o"),"ｐ","p"),"ｑ","q"),"ｒ","r"),"ｓ","s"),"ｔ","t"),"ｕ","u"),"ｖ","v"),"ｗ","w"),"ｘ","x"),"ｙ","y"),"ｚ","z"),"＆","&amp;"),"－","-"),"．",".")</f>
        <v/>
      </c>
      <c r="G233" s="15" t="str">
        <f>IF($D233=1,TRIM(CLEAN(F233)),"")&amp;""</f>
        <v/>
      </c>
      <c r="H233" t="str">
        <f>IF(G232&lt;&gt;"",IF(G232="自動車整備士である証明","整備士合格証書番号",LEFT(G232,2)&amp;"番号"),C233)</f>
        <v>認証・指定・認定番号または、整備士合格証書番号</v>
      </c>
      <c r="W233" s="117" t="str">
        <f t="shared" si="47"/>
        <v>OK</v>
      </c>
      <c r="X233" t="str">
        <f t="shared" ca="1" si="54"/>
        <v>認証・指定・認定番号または、整備士合格証書番号を入力してください。</v>
      </c>
      <c r="Y233">
        <f>IF(G233&lt;&gt;"",0,1)</f>
        <v>1</v>
      </c>
      <c r="AA233" t="str">
        <f>H233&amp;"を入力してください。"</f>
        <v>認証・指定・認定番号または、整備士合格証書番号を入力してください。</v>
      </c>
    </row>
    <row r="234" spans="2:28" x14ac:dyDescent="0.15">
      <c r="B234" s="5">
        <v>20</v>
      </c>
      <c r="C234" s="5" t="s">
        <v>54</v>
      </c>
      <c r="D234" s="4">
        <f t="shared" si="46"/>
        <v>0</v>
      </c>
      <c r="E234" s="4"/>
      <c r="F234" s="4" t="s">
        <v>402</v>
      </c>
      <c r="G234" s="15" t="str">
        <f>IF($D234=1,TRIM(CLEAN('入力シート（2事業場以降）'!N59)),"")&amp;""</f>
        <v/>
      </c>
      <c r="W234" s="117" t="str">
        <f t="shared" si="47"/>
        <v>OK</v>
      </c>
      <c r="X234" t="str">
        <f t="shared" ca="1" si="54"/>
        <v>管轄運輸局を入力してください。</v>
      </c>
      <c r="Y234">
        <f>IF(G232&lt;&gt;"自動車整備士である証明",IF(G234&lt;&gt;"",0,1),0)</f>
        <v>1</v>
      </c>
      <c r="AA234" t="str">
        <f>C234&amp;"を入力してください。"</f>
        <v>管轄運輸局を入力してください。</v>
      </c>
    </row>
    <row r="235" spans="2:28" x14ac:dyDescent="0.15">
      <c r="B235" s="5">
        <v>20</v>
      </c>
      <c r="C235" s="5" t="s">
        <v>56</v>
      </c>
      <c r="D235" s="4">
        <f t="shared" si="46"/>
        <v>0</v>
      </c>
      <c r="E235" s="110" t="str">
        <f>DBCS('入力シート（2事業場以降）'!R59)</f>
        <v/>
      </c>
      <c r="F235" s="4" t="str">
        <f>SUBSTITUTE(SUBSTITUTE(SUBSTITUTE(SUBSTITUTE(E235,"　株式会社","株式会社"),"会社　","会社"),"　有限会社","有限会社"),"　合同会社","合同会社")</f>
        <v/>
      </c>
      <c r="G235" s="16" t="str">
        <f>IF($D235=1,TRIM(CLEAN(F235)),"")&amp;""</f>
        <v/>
      </c>
      <c r="W235" s="117" t="str">
        <f t="shared" si="47"/>
        <v>OK</v>
      </c>
      <c r="X235" t="str">
        <f t="shared" ca="1" si="54"/>
        <v>事業場名を入力してください。</v>
      </c>
      <c r="Y235">
        <f>IF(G235&lt;&gt;"",0,1)</f>
        <v>1</v>
      </c>
      <c r="AA235" t="str">
        <f>C235&amp;"を入力してください。"</f>
        <v>事業場名を入力してください。</v>
      </c>
    </row>
    <row r="236" spans="2:28" x14ac:dyDescent="0.15">
      <c r="B236" s="5">
        <v>20</v>
      </c>
      <c r="C236" s="5" t="s">
        <v>24</v>
      </c>
      <c r="D236" s="4">
        <f t="shared" si="46"/>
        <v>0</v>
      </c>
      <c r="E236" s="4"/>
      <c r="F236" s="4"/>
      <c r="G236" s="15" t="str">
        <f>IF($D236=1,TRIM(CLEAN(ASC('入力シート（2事業場以降）'!X59))),"")&amp;""</f>
        <v/>
      </c>
      <c r="H236" s="15" t="str">
        <f>IF($D236=1,TRIM(CLEAN(ASC('入力シート（2事業場以降）'!Z59))),"")&amp;""</f>
        <v/>
      </c>
      <c r="W236" s="117" t="str">
        <f t="shared" si="47"/>
        <v>OK</v>
      </c>
      <c r="X236" t="str">
        <f t="shared" ca="1" si="54"/>
        <v>郵便番号を入力してください。</v>
      </c>
      <c r="Y236">
        <f>IF(AND(LEN(G236)=3,LEN(H236)=4)=TRUE,0,1)</f>
        <v>1</v>
      </c>
      <c r="Z236">
        <f>IFERROR(IF(0&lt;VALUE(G236),0,1),1)</f>
        <v>1</v>
      </c>
      <c r="AA236" t="str">
        <f>C236&amp;"を入力してください。"</f>
        <v>郵便番号を入力してください。</v>
      </c>
      <c r="AB236" t="str">
        <f>"正しい"&amp;C236&amp;"を入力してください。"</f>
        <v>正しい郵便番号を入力してください。</v>
      </c>
    </row>
    <row r="237" spans="2:28" x14ac:dyDescent="0.15">
      <c r="B237" s="5">
        <v>20</v>
      </c>
      <c r="C237" s="5" t="s">
        <v>26</v>
      </c>
      <c r="D237" s="4">
        <f t="shared" si="46"/>
        <v>0</v>
      </c>
      <c r="E237" s="4"/>
      <c r="F237" s="4"/>
      <c r="G237" s="15" t="str">
        <f>IF($D237=1,TRIM(CLEAN('入力シート（2事業場以降）'!AB59)),"")&amp;""</f>
        <v/>
      </c>
      <c r="W237" s="117" t="str">
        <f t="shared" si="47"/>
        <v>OK</v>
      </c>
      <c r="X237" t="str">
        <f t="shared" ca="1" si="54"/>
        <v>都道府県を選択してください。</v>
      </c>
      <c r="Y237">
        <f>IF(G237&lt;&gt;"",0,1)</f>
        <v>1</v>
      </c>
      <c r="AA237" t="str">
        <f>C237&amp;"を選択してください。"</f>
        <v>都道府県を選択してください。</v>
      </c>
    </row>
    <row r="238" spans="2:28" x14ac:dyDescent="0.15">
      <c r="B238" s="5">
        <v>20</v>
      </c>
      <c r="C238" s="5" t="s">
        <v>29</v>
      </c>
      <c r="D238" s="4">
        <f t="shared" si="46"/>
        <v>0</v>
      </c>
      <c r="E238" s="110" t="str">
        <f>DBCS('入力シート（2事業場以降）'!AD59)</f>
        <v/>
      </c>
      <c r="F238" s="4"/>
      <c r="G238" s="15" t="str">
        <f>IF($D238=1,TRIM(CLEAN('入力シート（2事業場以降）'!AD59)),"")&amp;""</f>
        <v/>
      </c>
      <c r="W238" s="117" t="str">
        <f t="shared" si="47"/>
        <v>OK</v>
      </c>
      <c r="X238" t="str">
        <f t="shared" ca="1" si="54"/>
        <v>市区町村を入力してください。</v>
      </c>
      <c r="Y238">
        <f>IF(G238&lt;&gt;"",0,1)</f>
        <v>1</v>
      </c>
      <c r="AA238" t="str">
        <f>C238&amp;"を入力してください。"</f>
        <v>市区町村を入力してください。</v>
      </c>
    </row>
    <row r="239" spans="2:28" x14ac:dyDescent="0.15">
      <c r="B239" s="5">
        <v>20</v>
      </c>
      <c r="C239" s="5" t="s">
        <v>31</v>
      </c>
      <c r="D239" s="4">
        <f t="shared" si="46"/>
        <v>0</v>
      </c>
      <c r="E239" s="110" t="str">
        <f>DBCS('入力シート（2事業場以降）'!AH59)</f>
        <v/>
      </c>
      <c r="F239" s="4"/>
      <c r="G239" s="15" t="str">
        <f>IF($D239=1,TRIM(CLEAN('入力シート（2事業場以降）'!AH59)),"")&amp;""</f>
        <v/>
      </c>
      <c r="W239" s="117" t="str">
        <f t="shared" si="47"/>
        <v>OK</v>
      </c>
      <c r="X239" t="str">
        <f t="shared" ca="1" si="54"/>
        <v>町名地番を入力してください。</v>
      </c>
      <c r="Y239">
        <f>IF(G239&lt;&gt;"",0,1)</f>
        <v>1</v>
      </c>
      <c r="AA239" t="str">
        <f>C239&amp;"を入力してください。"</f>
        <v>町名地番を入力してください。</v>
      </c>
    </row>
    <row r="240" spans="2:28" x14ac:dyDescent="0.15">
      <c r="B240" s="5">
        <v>20</v>
      </c>
      <c r="C240" s="5" t="s">
        <v>34</v>
      </c>
      <c r="D240" s="4">
        <f t="shared" si="46"/>
        <v>0</v>
      </c>
      <c r="E240" s="110" t="str">
        <f>DBCS('入力シート（2事業場以降）'!AL59)</f>
        <v/>
      </c>
      <c r="F240" s="4"/>
      <c r="G240" s="15" t="str">
        <f>IF($D240=1,TRIM(CLEAN('入力シート（2事業場以降）'!AL59)),"")&amp;""</f>
        <v/>
      </c>
      <c r="W240" s="117" t="str">
        <f t="shared" si="47"/>
        <v>OK</v>
      </c>
    </row>
    <row r="241" spans="2:28" x14ac:dyDescent="0.15">
      <c r="B241" s="5">
        <v>21</v>
      </c>
      <c r="C241" s="5" t="s">
        <v>53</v>
      </c>
      <c r="D241" s="4">
        <f t="shared" si="46"/>
        <v>0</v>
      </c>
      <c r="E241" s="4"/>
      <c r="F241" s="4"/>
      <c r="G241" s="16" t="str">
        <f>IF($D241=1,'入力シート（2事業場以降）'!F61,"")&amp;""</f>
        <v/>
      </c>
      <c r="W241" s="117" t="str">
        <f t="shared" si="47"/>
        <v>OK</v>
      </c>
      <c r="X241" t="str">
        <f t="shared" ref="X241:X248" ca="1" si="56">IF(Y241=0,IF(Z241&lt;&gt;0,OFFSET(AA241,0,Z241),$V$1),AA241)</f>
        <v>書類の種類を選択してください。</v>
      </c>
      <c r="Y241">
        <f>IF(G241&lt;&gt;"",0,1)</f>
        <v>1</v>
      </c>
      <c r="AA241" t="str">
        <f>C241&amp;"を選択してください。"</f>
        <v>書類の種類を選択してください。</v>
      </c>
    </row>
    <row r="242" spans="2:28" x14ac:dyDescent="0.15">
      <c r="B242" s="5">
        <v>21</v>
      </c>
      <c r="C242" s="5" t="s">
        <v>424</v>
      </c>
      <c r="D242" s="4">
        <f t="shared" si="46"/>
        <v>0</v>
      </c>
      <c r="E242" s="110" t="str">
        <f>SUBSTITUTE(SUBSTITUTE(SUBSTITUTE(SUBSTITUTE(SUBSTITUTE(SUBSTITUTE(SUBSTITUTE(SUBSTITUTE(SUBSTITUTE(SUBSTITUTE(SUBSTITUTE('入力シート（2事業場以降）'!J61,"０","0"),"１","1"),"２","2"),"３","3"),"４","4"),"５","5"),"６","6"),"７","7"),"８","8"),"９","9"),"．",".")</f>
        <v/>
      </c>
      <c r="F242" s="4" t="str">
        <f t="shared" ref="F242" si="5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242,"Ａ","A"),"Ｂ","B"),"Ｃ","C"),"Ｄ","D"),"Ｅ","E"),"Ｆ","F"),"Ｇ","G"),"Ｈ","H"),"Ｉ","I"),"Ｊ","J"),"Ｋ","K"),"Ｌ","L"),"Ｍ","M"),"Ｎ","N"),"Ｏ","O"),"Ｐ","P"),"Ｑ","Q"),"Ｒ","R"),"Ｓ","S"),"Ｔ","T"),"Ｕ","U"),"Ｖ","V"),"Ｗ","W"),"Ｘ","X"),"Ｙ","Y"),"Ｚ","Z"),"ａ","a"),"ｂ","b"),"ｃ","c"),"ｄ","d"),"ｅ","e"),"ｆ","f"),"ｇ","g"),"ｈ","h"),"ｉ","i"),"ｊ","j"),"ｋ","k"),"ｌ","l"),"ｍ","m"),"ｎ","n"),"ｏ","o"),"ｐ","p"),"ｑ","q"),"ｒ","r"),"ｓ","s"),"ｔ","t"),"ｕ","u"),"ｖ","v"),"ｗ","w"),"ｘ","x"),"ｙ","y"),"ｚ","z"),"＆","&amp;"),"－","-"),"．",".")</f>
        <v/>
      </c>
      <c r="G242" s="15" t="str">
        <f>IF($D242=1,TRIM(CLEAN(F242)),"")&amp;""</f>
        <v/>
      </c>
      <c r="H242" t="str">
        <f>IF(G241&lt;&gt;"",IF(G241="自動車整備士である証明","整備士合格証書番号",LEFT(G241,2)&amp;"番号"),C242)</f>
        <v>認証・指定・認定番号または、整備士合格証書番号</v>
      </c>
      <c r="W242" s="117" t="str">
        <f t="shared" si="47"/>
        <v>OK</v>
      </c>
      <c r="X242" t="str">
        <f t="shared" ca="1" si="56"/>
        <v>認証・指定・認定番号または、整備士合格証書番号を入力してください。</v>
      </c>
      <c r="Y242">
        <f>IF(G242&lt;&gt;"",0,1)</f>
        <v>1</v>
      </c>
      <c r="AA242" t="str">
        <f>H242&amp;"を入力してください。"</f>
        <v>認証・指定・認定番号または、整備士合格証書番号を入力してください。</v>
      </c>
    </row>
    <row r="243" spans="2:28" x14ac:dyDescent="0.15">
      <c r="B243" s="5">
        <v>21</v>
      </c>
      <c r="C243" s="5" t="s">
        <v>155</v>
      </c>
      <c r="D243" s="4">
        <f t="shared" si="46"/>
        <v>0</v>
      </c>
      <c r="E243" s="4"/>
      <c r="F243" s="4" t="s">
        <v>402</v>
      </c>
      <c r="G243" s="15" t="str">
        <f>IF($D243=1,TRIM(CLEAN('入力シート（2事業場以降）'!N61)),"")&amp;""</f>
        <v/>
      </c>
      <c r="W243" s="117" t="str">
        <f t="shared" si="47"/>
        <v>OK</v>
      </c>
      <c r="X243" t="str">
        <f t="shared" ca="1" si="56"/>
        <v>管轄運輸局を入力してください。</v>
      </c>
      <c r="Y243">
        <f>IF(G241&lt;&gt;"自動車整備士である証明",IF(G243&lt;&gt;"",0,1),0)</f>
        <v>1</v>
      </c>
      <c r="AA243" t="str">
        <f>C243&amp;"を入力してください。"</f>
        <v>管轄運輸局を入力してください。</v>
      </c>
    </row>
    <row r="244" spans="2:28" x14ac:dyDescent="0.15">
      <c r="B244" s="5">
        <v>21</v>
      </c>
      <c r="C244" s="5" t="s">
        <v>56</v>
      </c>
      <c r="D244" s="4">
        <f t="shared" si="46"/>
        <v>0</v>
      </c>
      <c r="E244" s="110" t="str">
        <f>DBCS('入力シート（2事業場以降）'!R61)</f>
        <v/>
      </c>
      <c r="F244" s="4" t="str">
        <f>SUBSTITUTE(SUBSTITUTE(SUBSTITUTE(SUBSTITUTE(E244,"　株式会社","株式会社"),"会社　","会社"),"　有限会社","有限会社"),"　合同会社","合同会社")</f>
        <v/>
      </c>
      <c r="G244" s="16" t="str">
        <f>IF($D244=1,TRIM(CLEAN(F244)),"")&amp;""</f>
        <v/>
      </c>
      <c r="W244" s="117" t="str">
        <f t="shared" si="47"/>
        <v>OK</v>
      </c>
      <c r="X244" t="str">
        <f t="shared" ca="1" si="56"/>
        <v>事業場名を入力してください。</v>
      </c>
      <c r="Y244">
        <f>IF(G244&lt;&gt;"",0,1)</f>
        <v>1</v>
      </c>
      <c r="AA244" t="str">
        <f>C244&amp;"を入力してください。"</f>
        <v>事業場名を入力してください。</v>
      </c>
    </row>
    <row r="245" spans="2:28" x14ac:dyDescent="0.15">
      <c r="B245" s="5">
        <v>21</v>
      </c>
      <c r="C245" s="5" t="s">
        <v>24</v>
      </c>
      <c r="D245" s="4">
        <f t="shared" si="46"/>
        <v>0</v>
      </c>
      <c r="E245" s="4"/>
      <c r="F245" s="4"/>
      <c r="G245" s="15" t="str">
        <f>IF($D245=1,TRIM(CLEAN(ASC('入力シート（2事業場以降）'!X61))),"")&amp;""</f>
        <v/>
      </c>
      <c r="H245" s="15" t="str">
        <f>IF($D245=1,TRIM(CLEAN(ASC('入力シート（2事業場以降）'!Z61))),"")&amp;""</f>
        <v/>
      </c>
      <c r="W245" s="117" t="str">
        <f t="shared" si="47"/>
        <v>OK</v>
      </c>
      <c r="X245" t="str">
        <f t="shared" ca="1" si="56"/>
        <v>郵便番号を入力してください。</v>
      </c>
      <c r="Y245">
        <f>IF(AND(LEN(G245)=3,LEN(H245)=4)=TRUE,0,1)</f>
        <v>1</v>
      </c>
      <c r="Z245">
        <f>IFERROR(IF(0&lt;VALUE(G245),0,1),1)</f>
        <v>1</v>
      </c>
      <c r="AA245" t="str">
        <f>C245&amp;"を入力してください。"</f>
        <v>郵便番号を入力してください。</v>
      </c>
      <c r="AB245" t="str">
        <f>"正しい"&amp;C245&amp;"を入力してください。"</f>
        <v>正しい郵便番号を入力してください。</v>
      </c>
    </row>
    <row r="246" spans="2:28" x14ac:dyDescent="0.15">
      <c r="B246" s="5">
        <v>21</v>
      </c>
      <c r="C246" s="5" t="s">
        <v>26</v>
      </c>
      <c r="D246" s="4">
        <f t="shared" si="46"/>
        <v>0</v>
      </c>
      <c r="E246" s="4"/>
      <c r="F246" s="4"/>
      <c r="G246" s="15" t="str">
        <f>IF($D246=1,TRIM(CLEAN('入力シート（2事業場以降）'!AB61)),"")&amp;""</f>
        <v/>
      </c>
      <c r="W246" s="117" t="str">
        <f t="shared" si="47"/>
        <v>OK</v>
      </c>
      <c r="X246" t="str">
        <f t="shared" ca="1" si="56"/>
        <v>都道府県を選択してください。</v>
      </c>
      <c r="Y246">
        <f>IF(G246&lt;&gt;"",0,1)</f>
        <v>1</v>
      </c>
      <c r="AA246" t="str">
        <f>C246&amp;"を選択してください。"</f>
        <v>都道府県を選択してください。</v>
      </c>
    </row>
    <row r="247" spans="2:28" x14ac:dyDescent="0.15">
      <c r="B247" s="5">
        <v>21</v>
      </c>
      <c r="C247" s="5" t="s">
        <v>29</v>
      </c>
      <c r="D247" s="4">
        <f t="shared" si="46"/>
        <v>0</v>
      </c>
      <c r="E247" s="110" t="str">
        <f>DBCS('入力シート（2事業場以降）'!AD61)</f>
        <v/>
      </c>
      <c r="F247" s="4"/>
      <c r="G247" s="15" t="str">
        <f>IF($D247=1,TRIM(CLEAN('入力シート（2事業場以降）'!AD61)),"")&amp;""</f>
        <v/>
      </c>
      <c r="W247" s="117" t="str">
        <f t="shared" si="47"/>
        <v>OK</v>
      </c>
      <c r="X247" t="str">
        <f t="shared" ca="1" si="56"/>
        <v>市区町村を入力してください。</v>
      </c>
      <c r="Y247">
        <f>IF(G247&lt;&gt;"",0,1)</f>
        <v>1</v>
      </c>
      <c r="AA247" t="str">
        <f>C247&amp;"を入力してください。"</f>
        <v>市区町村を入力してください。</v>
      </c>
    </row>
    <row r="248" spans="2:28" x14ac:dyDescent="0.15">
      <c r="B248" s="5">
        <v>21</v>
      </c>
      <c r="C248" s="5" t="s">
        <v>31</v>
      </c>
      <c r="D248" s="4">
        <f t="shared" si="46"/>
        <v>0</v>
      </c>
      <c r="E248" s="110" t="str">
        <f>DBCS('入力シート（2事業場以降）'!AH61)</f>
        <v/>
      </c>
      <c r="F248" s="4"/>
      <c r="G248" s="15" t="str">
        <f>IF($D248=1,TRIM(CLEAN('入力シート（2事業場以降）'!AH61)),"")&amp;""</f>
        <v/>
      </c>
      <c r="W248" s="117" t="str">
        <f t="shared" si="47"/>
        <v>OK</v>
      </c>
      <c r="X248" t="str">
        <f t="shared" ca="1" si="56"/>
        <v>町名地番を入力してください。</v>
      </c>
      <c r="Y248">
        <f>IF(G248&lt;&gt;"",0,1)</f>
        <v>1</v>
      </c>
      <c r="AA248" t="str">
        <f>C248&amp;"を入力してください。"</f>
        <v>町名地番を入力してください。</v>
      </c>
    </row>
    <row r="249" spans="2:28" x14ac:dyDescent="0.15">
      <c r="B249" s="5">
        <v>21</v>
      </c>
      <c r="C249" s="5" t="s">
        <v>34</v>
      </c>
      <c r="D249" s="4">
        <f t="shared" si="46"/>
        <v>0</v>
      </c>
      <c r="E249" s="110" t="str">
        <f>DBCS('入力シート（2事業場以降）'!AL61)</f>
        <v/>
      </c>
      <c r="F249" s="4"/>
      <c r="G249" s="15" t="str">
        <f>IF($D249=1,TRIM(CLEAN('入力シート（2事業場以降）'!AL61)),"")&amp;""</f>
        <v/>
      </c>
      <c r="W249" s="117" t="str">
        <f t="shared" si="47"/>
        <v>OK</v>
      </c>
    </row>
    <row r="250" spans="2:28" x14ac:dyDescent="0.15">
      <c r="B250" s="5">
        <v>22</v>
      </c>
      <c r="C250" s="5" t="s">
        <v>53</v>
      </c>
      <c r="D250" s="4">
        <f t="shared" si="46"/>
        <v>0</v>
      </c>
      <c r="E250" s="4"/>
      <c r="F250" s="4"/>
      <c r="G250" s="16" t="str">
        <f>IF($D250=1,'入力シート（2事業場以降）'!F63,"")&amp;""</f>
        <v/>
      </c>
      <c r="W250" s="117" t="str">
        <f t="shared" si="47"/>
        <v>OK</v>
      </c>
      <c r="X250" t="str">
        <f t="shared" ref="X250:X257" ca="1" si="58">IF(Y250=0,IF(Z250&lt;&gt;0,OFFSET(AA250,0,Z250),$V$1),AA250)</f>
        <v>書類の種類を選択してください。</v>
      </c>
      <c r="Y250">
        <f>IF(G250&lt;&gt;"",0,1)</f>
        <v>1</v>
      </c>
      <c r="AA250" t="str">
        <f>C250&amp;"を選択してください。"</f>
        <v>書類の種類を選択してください。</v>
      </c>
    </row>
    <row r="251" spans="2:28" x14ac:dyDescent="0.15">
      <c r="B251" s="5">
        <v>22</v>
      </c>
      <c r="C251" s="5" t="s">
        <v>424</v>
      </c>
      <c r="D251" s="4">
        <f t="shared" si="46"/>
        <v>0</v>
      </c>
      <c r="E251" s="110" t="str">
        <f>SUBSTITUTE(SUBSTITUTE(SUBSTITUTE(SUBSTITUTE(SUBSTITUTE(SUBSTITUTE(SUBSTITUTE(SUBSTITUTE(SUBSTITUTE(SUBSTITUTE(SUBSTITUTE('入力シート（2事業場以降）'!J63,"０","0"),"１","1"),"２","2"),"３","3"),"４","4"),"５","5"),"６","6"),"７","7"),"８","8"),"９","9"),"．",".")</f>
        <v/>
      </c>
      <c r="F251" s="4" t="str">
        <f t="shared" ref="F251" si="5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251,"Ａ","A"),"Ｂ","B"),"Ｃ","C"),"Ｄ","D"),"Ｅ","E"),"Ｆ","F"),"Ｇ","G"),"Ｈ","H"),"Ｉ","I"),"Ｊ","J"),"Ｋ","K"),"Ｌ","L"),"Ｍ","M"),"Ｎ","N"),"Ｏ","O"),"Ｐ","P"),"Ｑ","Q"),"Ｒ","R"),"Ｓ","S"),"Ｔ","T"),"Ｕ","U"),"Ｖ","V"),"Ｗ","W"),"Ｘ","X"),"Ｙ","Y"),"Ｚ","Z"),"ａ","a"),"ｂ","b"),"ｃ","c"),"ｄ","d"),"ｅ","e"),"ｆ","f"),"ｇ","g"),"ｈ","h"),"ｉ","i"),"ｊ","j"),"ｋ","k"),"ｌ","l"),"ｍ","m"),"ｎ","n"),"ｏ","o"),"ｐ","p"),"ｑ","q"),"ｒ","r"),"ｓ","s"),"ｔ","t"),"ｕ","u"),"ｖ","v"),"ｗ","w"),"ｘ","x"),"ｙ","y"),"ｚ","z"),"＆","&amp;"),"－","-"),"．",".")</f>
        <v/>
      </c>
      <c r="G251" s="15" t="str">
        <f>IF($D251=1,TRIM(CLEAN(F251)),"")&amp;""</f>
        <v/>
      </c>
      <c r="H251" t="str">
        <f>IF(G250&lt;&gt;"",IF(G250="自動車整備士である証明","整備士合格証書番号",LEFT(G250,2)&amp;"番号"),C251)</f>
        <v>認証・指定・認定番号または、整備士合格証書番号</v>
      </c>
      <c r="W251" s="117" t="str">
        <f t="shared" si="47"/>
        <v>OK</v>
      </c>
      <c r="X251" t="str">
        <f t="shared" ca="1" si="58"/>
        <v>認証・指定・認定番号または、整備士合格証書番号を入力してください。</v>
      </c>
      <c r="Y251">
        <f>IF(G251&lt;&gt;"",0,1)</f>
        <v>1</v>
      </c>
      <c r="AA251" t="str">
        <f>H251&amp;"を入力してください。"</f>
        <v>認証・指定・認定番号または、整備士合格証書番号を入力してください。</v>
      </c>
    </row>
    <row r="252" spans="2:28" x14ac:dyDescent="0.15">
      <c r="B252" s="5">
        <v>22</v>
      </c>
      <c r="C252" s="5" t="s">
        <v>54</v>
      </c>
      <c r="D252" s="4">
        <f t="shared" si="46"/>
        <v>0</v>
      </c>
      <c r="E252" s="4"/>
      <c r="F252" s="4" t="s">
        <v>402</v>
      </c>
      <c r="G252" s="15" t="str">
        <f>IF($D252=1,TRIM(CLEAN('入力シート（2事業場以降）'!N63)),"")&amp;""</f>
        <v/>
      </c>
      <c r="W252" s="117" t="str">
        <f t="shared" si="47"/>
        <v>OK</v>
      </c>
      <c r="X252" t="str">
        <f t="shared" ca="1" si="58"/>
        <v>管轄運輸局を入力してください。</v>
      </c>
      <c r="Y252">
        <f>IF(G250&lt;&gt;"自動車整備士である証明",IF(G252&lt;&gt;"",0,1),0)</f>
        <v>1</v>
      </c>
      <c r="AA252" t="str">
        <f>C252&amp;"を入力してください。"</f>
        <v>管轄運輸局を入力してください。</v>
      </c>
    </row>
    <row r="253" spans="2:28" x14ac:dyDescent="0.15">
      <c r="B253" s="5">
        <v>22</v>
      </c>
      <c r="C253" s="5" t="s">
        <v>56</v>
      </c>
      <c r="D253" s="4">
        <f t="shared" si="46"/>
        <v>0</v>
      </c>
      <c r="E253" s="110" t="str">
        <f>DBCS('入力シート（2事業場以降）'!R63)</f>
        <v/>
      </c>
      <c r="F253" s="4" t="str">
        <f>SUBSTITUTE(SUBSTITUTE(SUBSTITUTE(SUBSTITUTE(E253,"　株式会社","株式会社"),"会社　","会社"),"　有限会社","有限会社"),"　合同会社","合同会社")</f>
        <v/>
      </c>
      <c r="G253" s="16" t="str">
        <f>IF($D253=1,TRIM(CLEAN(F253)),"")&amp;""</f>
        <v/>
      </c>
      <c r="W253" s="117" t="str">
        <f t="shared" si="47"/>
        <v>OK</v>
      </c>
      <c r="X253" t="str">
        <f t="shared" ca="1" si="58"/>
        <v>事業場名を入力してください。</v>
      </c>
      <c r="Y253">
        <f>IF(G253&lt;&gt;"",0,1)</f>
        <v>1</v>
      </c>
      <c r="AA253" t="str">
        <f>C253&amp;"を入力してください。"</f>
        <v>事業場名を入力してください。</v>
      </c>
    </row>
    <row r="254" spans="2:28" x14ac:dyDescent="0.15">
      <c r="B254" s="5">
        <v>22</v>
      </c>
      <c r="C254" s="5" t="s">
        <v>24</v>
      </c>
      <c r="D254" s="4">
        <f t="shared" si="46"/>
        <v>0</v>
      </c>
      <c r="E254" s="4"/>
      <c r="F254" s="4"/>
      <c r="G254" s="15" t="str">
        <f>IF($D254=1,TRIM(CLEAN(ASC('入力シート（2事業場以降）'!X63))),"")&amp;""</f>
        <v/>
      </c>
      <c r="H254" s="15" t="str">
        <f>IF($D254=1,TRIM(CLEAN(ASC('入力シート（2事業場以降）'!Z63))),"")&amp;""</f>
        <v/>
      </c>
      <c r="W254" s="117" t="str">
        <f t="shared" si="47"/>
        <v>OK</v>
      </c>
      <c r="X254" t="str">
        <f t="shared" ca="1" si="58"/>
        <v>郵便番号を入力してください。</v>
      </c>
      <c r="Y254">
        <f>IF(AND(LEN(G254)=3,LEN(H254)=4)=TRUE,0,1)</f>
        <v>1</v>
      </c>
      <c r="Z254">
        <f>IFERROR(IF(0&lt;VALUE(G254),0,1),1)</f>
        <v>1</v>
      </c>
      <c r="AA254" t="str">
        <f>C254&amp;"を入力してください。"</f>
        <v>郵便番号を入力してください。</v>
      </c>
      <c r="AB254" t="str">
        <f>"正しい"&amp;C254&amp;"を入力してください。"</f>
        <v>正しい郵便番号を入力してください。</v>
      </c>
    </row>
    <row r="255" spans="2:28" x14ac:dyDescent="0.15">
      <c r="B255" s="5">
        <v>22</v>
      </c>
      <c r="C255" s="5" t="s">
        <v>26</v>
      </c>
      <c r="D255" s="4">
        <f t="shared" si="46"/>
        <v>0</v>
      </c>
      <c r="E255" s="4"/>
      <c r="F255" s="4"/>
      <c r="G255" s="15" t="str">
        <f>IF($D255=1,TRIM(CLEAN('入力シート（2事業場以降）'!AB63)),"")&amp;""</f>
        <v/>
      </c>
      <c r="W255" s="117" t="str">
        <f t="shared" si="47"/>
        <v>OK</v>
      </c>
      <c r="X255" t="str">
        <f t="shared" ca="1" si="58"/>
        <v>都道府県を選択してください。</v>
      </c>
      <c r="Y255">
        <f>IF(G255&lt;&gt;"",0,1)</f>
        <v>1</v>
      </c>
      <c r="AA255" t="str">
        <f>C255&amp;"を選択してください。"</f>
        <v>都道府県を選択してください。</v>
      </c>
    </row>
    <row r="256" spans="2:28" x14ac:dyDescent="0.15">
      <c r="B256" s="5">
        <v>22</v>
      </c>
      <c r="C256" s="5" t="s">
        <v>29</v>
      </c>
      <c r="D256" s="4">
        <f t="shared" si="46"/>
        <v>0</v>
      </c>
      <c r="E256" s="110" t="str">
        <f>DBCS('入力シート（2事業場以降）'!AD63)</f>
        <v/>
      </c>
      <c r="F256" s="4"/>
      <c r="G256" s="15" t="str">
        <f>IF($D256=1,TRIM(CLEAN('入力シート（2事業場以降）'!AD63)),"")&amp;""</f>
        <v/>
      </c>
      <c r="W256" s="117" t="str">
        <f t="shared" si="47"/>
        <v>OK</v>
      </c>
      <c r="X256" t="str">
        <f t="shared" ca="1" si="58"/>
        <v>市区町村を入力してください。</v>
      </c>
      <c r="Y256">
        <f>IF(G256&lt;&gt;"",0,1)</f>
        <v>1</v>
      </c>
      <c r="AA256" t="str">
        <f>C256&amp;"を入力してください。"</f>
        <v>市区町村を入力してください。</v>
      </c>
    </row>
    <row r="257" spans="2:28" x14ac:dyDescent="0.15">
      <c r="B257" s="5">
        <v>22</v>
      </c>
      <c r="C257" s="5" t="s">
        <v>31</v>
      </c>
      <c r="D257" s="4">
        <f t="shared" si="46"/>
        <v>0</v>
      </c>
      <c r="E257" s="110" t="str">
        <f>DBCS('入力シート（2事業場以降）'!AH63)</f>
        <v/>
      </c>
      <c r="F257" s="4"/>
      <c r="G257" s="15" t="str">
        <f>IF($D257=1,TRIM(CLEAN('入力シート（2事業場以降）'!AH63)),"")&amp;""</f>
        <v/>
      </c>
      <c r="W257" s="117" t="str">
        <f t="shared" si="47"/>
        <v>OK</v>
      </c>
      <c r="X257" t="str">
        <f t="shared" ca="1" si="58"/>
        <v>町名地番を入力してください。</v>
      </c>
      <c r="Y257">
        <f>IF(G257&lt;&gt;"",0,1)</f>
        <v>1</v>
      </c>
      <c r="AA257" t="str">
        <f>C257&amp;"を入力してください。"</f>
        <v>町名地番を入力してください。</v>
      </c>
    </row>
    <row r="258" spans="2:28" x14ac:dyDescent="0.15">
      <c r="B258" s="5">
        <v>22</v>
      </c>
      <c r="C258" s="5" t="s">
        <v>34</v>
      </c>
      <c r="D258" s="4">
        <f t="shared" si="46"/>
        <v>0</v>
      </c>
      <c r="E258" s="110" t="str">
        <f>DBCS('入力シート（2事業場以降）'!AL63)</f>
        <v/>
      </c>
      <c r="F258" s="4"/>
      <c r="G258" s="15" t="str">
        <f>IF($D258=1,TRIM(CLEAN('入力シート（2事業場以降）'!AL63)),"")&amp;""</f>
        <v/>
      </c>
      <c r="W258" s="117" t="str">
        <f t="shared" si="47"/>
        <v>OK</v>
      </c>
    </row>
    <row r="259" spans="2:28" x14ac:dyDescent="0.15">
      <c r="B259" s="5">
        <v>23</v>
      </c>
      <c r="C259" s="5" t="s">
        <v>53</v>
      </c>
      <c r="D259" s="4">
        <f t="shared" si="46"/>
        <v>0</v>
      </c>
      <c r="E259" s="4"/>
      <c r="F259" s="4"/>
      <c r="G259" s="16" t="str">
        <f>IF($D259=1,'入力シート（2事業場以降）'!F65,"")&amp;""</f>
        <v/>
      </c>
      <c r="W259" s="117" t="str">
        <f t="shared" si="47"/>
        <v>OK</v>
      </c>
      <c r="X259" t="str">
        <f t="shared" ref="X259:X266" ca="1" si="60">IF(Y259=0,IF(Z259&lt;&gt;0,OFFSET(AA259,0,Z259),$V$1),AA259)</f>
        <v>書類の種類を選択してください。</v>
      </c>
      <c r="Y259">
        <f>IF(G259&lt;&gt;"",0,1)</f>
        <v>1</v>
      </c>
      <c r="AA259" t="str">
        <f>C259&amp;"を選択してください。"</f>
        <v>書類の種類を選択してください。</v>
      </c>
    </row>
    <row r="260" spans="2:28" x14ac:dyDescent="0.15">
      <c r="B260" s="5">
        <v>23</v>
      </c>
      <c r="C260" s="5" t="s">
        <v>424</v>
      </c>
      <c r="D260" s="4">
        <f t="shared" si="46"/>
        <v>0</v>
      </c>
      <c r="E260" s="110" t="str">
        <f>SUBSTITUTE(SUBSTITUTE(SUBSTITUTE(SUBSTITUTE(SUBSTITUTE(SUBSTITUTE(SUBSTITUTE(SUBSTITUTE(SUBSTITUTE(SUBSTITUTE(SUBSTITUTE('入力シート（2事業場以降）'!J65,"０","0"),"１","1"),"２","2"),"３","3"),"４","4"),"５","5"),"６","6"),"７","7"),"８","8"),"９","9"),"．",".")</f>
        <v/>
      </c>
      <c r="F260" s="4" t="str">
        <f t="shared" ref="F260" si="6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260,"Ａ","A"),"Ｂ","B"),"Ｃ","C"),"Ｄ","D"),"Ｅ","E"),"Ｆ","F"),"Ｇ","G"),"Ｈ","H"),"Ｉ","I"),"Ｊ","J"),"Ｋ","K"),"Ｌ","L"),"Ｍ","M"),"Ｎ","N"),"Ｏ","O"),"Ｐ","P"),"Ｑ","Q"),"Ｒ","R"),"Ｓ","S"),"Ｔ","T"),"Ｕ","U"),"Ｖ","V"),"Ｗ","W"),"Ｘ","X"),"Ｙ","Y"),"Ｚ","Z"),"ａ","a"),"ｂ","b"),"ｃ","c"),"ｄ","d"),"ｅ","e"),"ｆ","f"),"ｇ","g"),"ｈ","h"),"ｉ","i"),"ｊ","j"),"ｋ","k"),"ｌ","l"),"ｍ","m"),"ｎ","n"),"ｏ","o"),"ｐ","p"),"ｑ","q"),"ｒ","r"),"ｓ","s"),"ｔ","t"),"ｕ","u"),"ｖ","v"),"ｗ","w"),"ｘ","x"),"ｙ","y"),"ｚ","z"),"＆","&amp;"),"－","-"),"．",".")</f>
        <v/>
      </c>
      <c r="G260" s="15" t="str">
        <f>IF($D260=1,TRIM(CLEAN(F260)),"")&amp;""</f>
        <v/>
      </c>
      <c r="H260" t="str">
        <f>IF(G259&lt;&gt;"",IF(G259="自動車整備士である証明","整備士合格証書番号",LEFT(G259,2)&amp;"番号"),C260)</f>
        <v>認証・指定・認定番号または、整備士合格証書番号</v>
      </c>
      <c r="W260" s="117" t="str">
        <f t="shared" si="47"/>
        <v>OK</v>
      </c>
      <c r="X260" t="str">
        <f t="shared" ca="1" si="60"/>
        <v>認証・指定・認定番号または、整備士合格証書番号を入力してください。</v>
      </c>
      <c r="Y260">
        <f>IF(G260&lt;&gt;"",0,1)</f>
        <v>1</v>
      </c>
      <c r="AA260" t="str">
        <f>H260&amp;"を入力してください。"</f>
        <v>認証・指定・認定番号または、整備士合格証書番号を入力してください。</v>
      </c>
    </row>
    <row r="261" spans="2:28" x14ac:dyDescent="0.15">
      <c r="B261" s="5">
        <v>23</v>
      </c>
      <c r="C261" s="5" t="s">
        <v>54</v>
      </c>
      <c r="D261" s="4">
        <f t="shared" si="46"/>
        <v>0</v>
      </c>
      <c r="E261" s="4"/>
      <c r="F261" s="4" t="s">
        <v>402</v>
      </c>
      <c r="G261" s="15" t="str">
        <f>IF($D261=1,TRIM(CLEAN('入力シート（2事業場以降）'!N65)),"")&amp;""</f>
        <v/>
      </c>
      <c r="W261" s="117" t="str">
        <f t="shared" si="47"/>
        <v>OK</v>
      </c>
      <c r="X261" t="str">
        <f t="shared" ca="1" si="60"/>
        <v>管轄運輸局を入力してください。</v>
      </c>
      <c r="Y261">
        <f>IF(G259&lt;&gt;"自動車整備士である証明",IF(G261&lt;&gt;"",0,1),0)</f>
        <v>1</v>
      </c>
      <c r="AA261" t="str">
        <f>C261&amp;"を入力してください。"</f>
        <v>管轄運輸局を入力してください。</v>
      </c>
    </row>
    <row r="262" spans="2:28" x14ac:dyDescent="0.15">
      <c r="B262" s="5">
        <v>23</v>
      </c>
      <c r="C262" s="5" t="s">
        <v>56</v>
      </c>
      <c r="D262" s="4">
        <f t="shared" si="46"/>
        <v>0</v>
      </c>
      <c r="E262" s="110" t="str">
        <f>DBCS('入力シート（2事業場以降）'!R65)</f>
        <v/>
      </c>
      <c r="F262" s="4" t="str">
        <f>SUBSTITUTE(SUBSTITUTE(SUBSTITUTE(SUBSTITUTE(E262,"　株式会社","株式会社"),"会社　","会社"),"　有限会社","有限会社"),"　合同会社","合同会社")</f>
        <v/>
      </c>
      <c r="G262" s="16" t="str">
        <f>IF($D262=1,TRIM(CLEAN(F262)),"")&amp;""</f>
        <v/>
      </c>
      <c r="W262" s="117" t="str">
        <f t="shared" si="47"/>
        <v>OK</v>
      </c>
      <c r="X262" t="str">
        <f t="shared" ca="1" si="60"/>
        <v>事業場名を入力してください。</v>
      </c>
      <c r="Y262">
        <f>IF(G262&lt;&gt;"",0,1)</f>
        <v>1</v>
      </c>
      <c r="AA262" t="str">
        <f>C262&amp;"を入力してください。"</f>
        <v>事業場名を入力してください。</v>
      </c>
    </row>
    <row r="263" spans="2:28" x14ac:dyDescent="0.15">
      <c r="B263" s="5">
        <v>23</v>
      </c>
      <c r="C263" s="5" t="s">
        <v>24</v>
      </c>
      <c r="D263" s="4">
        <f t="shared" ref="D263:D326" si="62">IF(AND(B263&lt;=$G$60),1,0)</f>
        <v>0</v>
      </c>
      <c r="E263" s="4"/>
      <c r="F263" s="4"/>
      <c r="G263" s="15" t="str">
        <f>IF($D263=1,TRIM(CLEAN(ASC('入力シート（2事業場以降）'!X65))),"")&amp;""</f>
        <v/>
      </c>
      <c r="H263" s="15" t="str">
        <f>IF($D263=1,TRIM(CLEAN(ASC('入力シート（2事業場以降）'!Z65))),"")&amp;""</f>
        <v/>
      </c>
      <c r="W263" s="117" t="str">
        <f t="shared" ref="W263:W326" si="63">IF(B263&lt;=$G$60,IF(X263="OK",X263,"NG"),"OK")</f>
        <v>OK</v>
      </c>
      <c r="X263" t="str">
        <f t="shared" ca="1" si="60"/>
        <v>郵便番号を入力してください。</v>
      </c>
      <c r="Y263">
        <f>IF(AND(LEN(G263)=3,LEN(H263)=4)=TRUE,0,1)</f>
        <v>1</v>
      </c>
      <c r="Z263">
        <f>IFERROR(IF(0&lt;VALUE(G263),0,1),1)</f>
        <v>1</v>
      </c>
      <c r="AA263" t="str">
        <f>C263&amp;"を入力してください。"</f>
        <v>郵便番号を入力してください。</v>
      </c>
      <c r="AB263" t="str">
        <f>"正しい"&amp;C263&amp;"を入力してください。"</f>
        <v>正しい郵便番号を入力してください。</v>
      </c>
    </row>
    <row r="264" spans="2:28" x14ac:dyDescent="0.15">
      <c r="B264" s="5">
        <v>23</v>
      </c>
      <c r="C264" s="5" t="s">
        <v>26</v>
      </c>
      <c r="D264" s="4">
        <f t="shared" si="62"/>
        <v>0</v>
      </c>
      <c r="E264" s="4"/>
      <c r="F264" s="4"/>
      <c r="G264" s="15" t="str">
        <f>IF($D264=1,TRIM(CLEAN('入力シート（2事業場以降）'!AB65)),"")&amp;""</f>
        <v/>
      </c>
      <c r="W264" s="117" t="str">
        <f t="shared" si="63"/>
        <v>OK</v>
      </c>
      <c r="X264" t="str">
        <f t="shared" ca="1" si="60"/>
        <v>都道府県を選択してください。</v>
      </c>
      <c r="Y264">
        <f>IF(G264&lt;&gt;"",0,1)</f>
        <v>1</v>
      </c>
      <c r="AA264" t="str">
        <f>C264&amp;"を選択してください。"</f>
        <v>都道府県を選択してください。</v>
      </c>
    </row>
    <row r="265" spans="2:28" x14ac:dyDescent="0.15">
      <c r="B265" s="5">
        <v>23</v>
      </c>
      <c r="C265" s="5" t="s">
        <v>29</v>
      </c>
      <c r="D265" s="4">
        <f t="shared" si="62"/>
        <v>0</v>
      </c>
      <c r="E265" s="110" t="str">
        <f>DBCS('入力シート（2事業場以降）'!AD65)</f>
        <v/>
      </c>
      <c r="F265" s="4"/>
      <c r="G265" s="15" t="str">
        <f>IF($D265=1,TRIM(CLEAN('入力シート（2事業場以降）'!AD65)),"")&amp;""</f>
        <v/>
      </c>
      <c r="W265" s="117" t="str">
        <f t="shared" si="63"/>
        <v>OK</v>
      </c>
      <c r="X265" t="str">
        <f t="shared" ca="1" si="60"/>
        <v>市区町村を入力してください。</v>
      </c>
      <c r="Y265">
        <f>IF(G265&lt;&gt;"",0,1)</f>
        <v>1</v>
      </c>
      <c r="AA265" t="str">
        <f>C265&amp;"を入力してください。"</f>
        <v>市区町村を入力してください。</v>
      </c>
    </row>
    <row r="266" spans="2:28" x14ac:dyDescent="0.15">
      <c r="B266" s="5">
        <v>23</v>
      </c>
      <c r="C266" s="5" t="s">
        <v>31</v>
      </c>
      <c r="D266" s="4">
        <f t="shared" si="62"/>
        <v>0</v>
      </c>
      <c r="E266" s="110" t="str">
        <f>DBCS('入力シート（2事業場以降）'!AH65)</f>
        <v/>
      </c>
      <c r="F266" s="4"/>
      <c r="G266" s="15" t="str">
        <f>IF($D266=1,TRIM(CLEAN('入力シート（2事業場以降）'!AH65)),"")&amp;""</f>
        <v/>
      </c>
      <c r="W266" s="117" t="str">
        <f t="shared" si="63"/>
        <v>OK</v>
      </c>
      <c r="X266" t="str">
        <f t="shared" ca="1" si="60"/>
        <v>町名地番を入力してください。</v>
      </c>
      <c r="Y266">
        <f>IF(G266&lt;&gt;"",0,1)</f>
        <v>1</v>
      </c>
      <c r="AA266" t="str">
        <f>C266&amp;"を入力してください。"</f>
        <v>町名地番を入力してください。</v>
      </c>
    </row>
    <row r="267" spans="2:28" x14ac:dyDescent="0.15">
      <c r="B267" s="5">
        <v>23</v>
      </c>
      <c r="C267" s="5" t="s">
        <v>34</v>
      </c>
      <c r="D267" s="4">
        <f t="shared" si="62"/>
        <v>0</v>
      </c>
      <c r="E267" s="110" t="str">
        <f>DBCS('入力シート（2事業場以降）'!AL65)</f>
        <v/>
      </c>
      <c r="F267" s="4"/>
      <c r="G267" s="15" t="str">
        <f>IF($D267=1,TRIM(CLEAN('入力シート（2事業場以降）'!AL65)),"")&amp;""</f>
        <v/>
      </c>
      <c r="W267" s="117" t="str">
        <f t="shared" si="63"/>
        <v>OK</v>
      </c>
    </row>
    <row r="268" spans="2:28" x14ac:dyDescent="0.15">
      <c r="B268" s="5">
        <v>24</v>
      </c>
      <c r="C268" s="5" t="s">
        <v>53</v>
      </c>
      <c r="D268" s="4">
        <f t="shared" si="62"/>
        <v>0</v>
      </c>
      <c r="E268" s="4"/>
      <c r="F268" s="4"/>
      <c r="G268" s="16" t="str">
        <f>IF($D268=1,'入力シート（2事業場以降）'!F67,"")&amp;""</f>
        <v/>
      </c>
      <c r="W268" s="117" t="str">
        <f t="shared" si="63"/>
        <v>OK</v>
      </c>
      <c r="X268" t="str">
        <f t="shared" ref="X268:X275" ca="1" si="64">IF(Y268=0,IF(Z268&lt;&gt;0,OFFSET(AA268,0,Z268),$V$1),AA268)</f>
        <v>書類の種類を選択してください。</v>
      </c>
      <c r="Y268">
        <f>IF(G268&lt;&gt;"",0,1)</f>
        <v>1</v>
      </c>
      <c r="AA268" t="str">
        <f>C268&amp;"を選択してください。"</f>
        <v>書類の種類を選択してください。</v>
      </c>
    </row>
    <row r="269" spans="2:28" x14ac:dyDescent="0.15">
      <c r="B269" s="5">
        <v>24</v>
      </c>
      <c r="C269" s="5" t="s">
        <v>424</v>
      </c>
      <c r="D269" s="4">
        <f t="shared" si="62"/>
        <v>0</v>
      </c>
      <c r="E269" s="110" t="str">
        <f>SUBSTITUTE(SUBSTITUTE(SUBSTITUTE(SUBSTITUTE(SUBSTITUTE(SUBSTITUTE(SUBSTITUTE(SUBSTITUTE(SUBSTITUTE(SUBSTITUTE(SUBSTITUTE('入力シート（2事業場以降）'!J67,"０","0"),"１","1"),"２","2"),"３","3"),"４","4"),"５","5"),"６","6"),"７","7"),"８","8"),"９","9"),"．",".")</f>
        <v/>
      </c>
      <c r="F269" s="4" t="str">
        <f t="shared" ref="F269" si="6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269,"Ａ","A"),"Ｂ","B"),"Ｃ","C"),"Ｄ","D"),"Ｅ","E"),"Ｆ","F"),"Ｇ","G"),"Ｈ","H"),"Ｉ","I"),"Ｊ","J"),"Ｋ","K"),"Ｌ","L"),"Ｍ","M"),"Ｎ","N"),"Ｏ","O"),"Ｐ","P"),"Ｑ","Q"),"Ｒ","R"),"Ｓ","S"),"Ｔ","T"),"Ｕ","U"),"Ｖ","V"),"Ｗ","W"),"Ｘ","X"),"Ｙ","Y"),"Ｚ","Z"),"ａ","a"),"ｂ","b"),"ｃ","c"),"ｄ","d"),"ｅ","e"),"ｆ","f"),"ｇ","g"),"ｈ","h"),"ｉ","i"),"ｊ","j"),"ｋ","k"),"ｌ","l"),"ｍ","m"),"ｎ","n"),"ｏ","o"),"ｐ","p"),"ｑ","q"),"ｒ","r"),"ｓ","s"),"ｔ","t"),"ｕ","u"),"ｖ","v"),"ｗ","w"),"ｘ","x"),"ｙ","y"),"ｚ","z"),"＆","&amp;"),"－","-"),"．",".")</f>
        <v/>
      </c>
      <c r="G269" s="15" t="str">
        <f>IF($D269=1,TRIM(CLEAN(F269)),"")&amp;""</f>
        <v/>
      </c>
      <c r="H269" t="str">
        <f>IF(G268&lt;&gt;"",IF(G268="自動車整備士である証明","整備士合格証書番号",LEFT(G268,2)&amp;"番号"),C269)</f>
        <v>認証・指定・認定番号または、整備士合格証書番号</v>
      </c>
      <c r="W269" s="117" t="str">
        <f t="shared" si="63"/>
        <v>OK</v>
      </c>
      <c r="X269" t="str">
        <f t="shared" ca="1" si="64"/>
        <v>認証・指定・認定番号または、整備士合格証書番号を入力してください。</v>
      </c>
      <c r="Y269">
        <f>IF(G269&lt;&gt;"",0,1)</f>
        <v>1</v>
      </c>
      <c r="AA269" t="str">
        <f>H269&amp;"を入力してください。"</f>
        <v>認証・指定・認定番号または、整備士合格証書番号を入力してください。</v>
      </c>
    </row>
    <row r="270" spans="2:28" x14ac:dyDescent="0.15">
      <c r="B270" s="5">
        <v>24</v>
      </c>
      <c r="C270" s="5" t="s">
        <v>54</v>
      </c>
      <c r="D270" s="4">
        <f t="shared" si="62"/>
        <v>0</v>
      </c>
      <c r="E270" s="4"/>
      <c r="F270" s="4" t="s">
        <v>402</v>
      </c>
      <c r="G270" s="15" t="str">
        <f>IF($D270=1,TRIM(CLEAN('入力シート（2事業場以降）'!N67)),"")&amp;""</f>
        <v/>
      </c>
      <c r="W270" s="117" t="str">
        <f t="shared" si="63"/>
        <v>OK</v>
      </c>
      <c r="X270" t="str">
        <f t="shared" ca="1" si="64"/>
        <v>管轄運輸局を入力してください。</v>
      </c>
      <c r="Y270">
        <f>IF(G268&lt;&gt;"自動車整備士である証明",IF(G270&lt;&gt;"",0,1),0)</f>
        <v>1</v>
      </c>
      <c r="AA270" t="str">
        <f>C270&amp;"を入力してください。"</f>
        <v>管轄運輸局を入力してください。</v>
      </c>
    </row>
    <row r="271" spans="2:28" x14ac:dyDescent="0.15">
      <c r="B271" s="5">
        <v>24</v>
      </c>
      <c r="C271" s="5" t="s">
        <v>56</v>
      </c>
      <c r="D271" s="4">
        <f t="shared" si="62"/>
        <v>0</v>
      </c>
      <c r="E271" s="110" t="str">
        <f>DBCS('入力シート（2事業場以降）'!R67)</f>
        <v/>
      </c>
      <c r="F271" s="4" t="str">
        <f>SUBSTITUTE(SUBSTITUTE(SUBSTITUTE(SUBSTITUTE(E271,"　株式会社","株式会社"),"会社　","会社"),"　有限会社","有限会社"),"　合同会社","合同会社")</f>
        <v/>
      </c>
      <c r="G271" s="16" t="str">
        <f>IF($D271=1,TRIM(CLEAN(F271)),"")&amp;""</f>
        <v/>
      </c>
      <c r="W271" s="117" t="str">
        <f t="shared" si="63"/>
        <v>OK</v>
      </c>
      <c r="X271" t="str">
        <f t="shared" ca="1" si="64"/>
        <v>事業場名を入力してください。</v>
      </c>
      <c r="Y271">
        <f>IF(G271&lt;&gt;"",0,1)</f>
        <v>1</v>
      </c>
      <c r="AA271" t="str">
        <f>C271&amp;"を入力してください。"</f>
        <v>事業場名を入力してください。</v>
      </c>
    </row>
    <row r="272" spans="2:28" x14ac:dyDescent="0.15">
      <c r="B272" s="5">
        <v>24</v>
      </c>
      <c r="C272" s="5" t="s">
        <v>24</v>
      </c>
      <c r="D272" s="4">
        <f t="shared" si="62"/>
        <v>0</v>
      </c>
      <c r="E272" s="4"/>
      <c r="F272" s="4"/>
      <c r="G272" s="15" t="str">
        <f>IF($D272=1,TRIM(CLEAN(ASC('入力シート（2事業場以降）'!X67))),"")&amp;""</f>
        <v/>
      </c>
      <c r="H272" s="15" t="str">
        <f>IF($D272=1,TRIM(CLEAN(ASC('入力シート（2事業場以降）'!Z67))),"")&amp;""</f>
        <v/>
      </c>
      <c r="W272" s="117" t="str">
        <f t="shared" si="63"/>
        <v>OK</v>
      </c>
      <c r="X272" t="str">
        <f t="shared" ca="1" si="64"/>
        <v>郵便番号を入力してください。</v>
      </c>
      <c r="Y272">
        <f>IF(AND(LEN(G272)=3,LEN(H272)=4)=TRUE,0,1)</f>
        <v>1</v>
      </c>
      <c r="Z272">
        <f>IFERROR(IF(0&lt;VALUE(G272),0,1),1)</f>
        <v>1</v>
      </c>
      <c r="AA272" t="str">
        <f>C272&amp;"を入力してください。"</f>
        <v>郵便番号を入力してください。</v>
      </c>
      <c r="AB272" t="str">
        <f>"正しい"&amp;C272&amp;"を入力してください。"</f>
        <v>正しい郵便番号を入力してください。</v>
      </c>
    </row>
    <row r="273" spans="2:28" x14ac:dyDescent="0.15">
      <c r="B273" s="5">
        <v>24</v>
      </c>
      <c r="C273" s="5" t="s">
        <v>26</v>
      </c>
      <c r="D273" s="4">
        <f t="shared" si="62"/>
        <v>0</v>
      </c>
      <c r="E273" s="4"/>
      <c r="F273" s="4"/>
      <c r="G273" s="15" t="str">
        <f>IF($D273=1,TRIM(CLEAN('入力シート（2事業場以降）'!AB67)),"")&amp;""</f>
        <v/>
      </c>
      <c r="W273" s="117" t="str">
        <f t="shared" si="63"/>
        <v>OK</v>
      </c>
      <c r="X273" t="str">
        <f t="shared" ca="1" si="64"/>
        <v>都道府県を選択してください。</v>
      </c>
      <c r="Y273">
        <f>IF(G273&lt;&gt;"",0,1)</f>
        <v>1</v>
      </c>
      <c r="AA273" t="str">
        <f>C273&amp;"を選択してください。"</f>
        <v>都道府県を選択してください。</v>
      </c>
    </row>
    <row r="274" spans="2:28" x14ac:dyDescent="0.15">
      <c r="B274" s="5">
        <v>24</v>
      </c>
      <c r="C274" s="5" t="s">
        <v>29</v>
      </c>
      <c r="D274" s="4">
        <f t="shared" si="62"/>
        <v>0</v>
      </c>
      <c r="E274" s="110" t="str">
        <f>DBCS('入力シート（2事業場以降）'!AD67)</f>
        <v/>
      </c>
      <c r="F274" s="4"/>
      <c r="G274" s="15" t="str">
        <f>IF($D274=1,TRIM(CLEAN('入力シート（2事業場以降）'!AD67)),"")&amp;""</f>
        <v/>
      </c>
      <c r="W274" s="117" t="str">
        <f t="shared" si="63"/>
        <v>OK</v>
      </c>
      <c r="X274" t="str">
        <f t="shared" ca="1" si="64"/>
        <v>市区町村を入力してください。</v>
      </c>
      <c r="Y274">
        <f>IF(G274&lt;&gt;"",0,1)</f>
        <v>1</v>
      </c>
      <c r="AA274" t="str">
        <f>C274&amp;"を入力してください。"</f>
        <v>市区町村を入力してください。</v>
      </c>
    </row>
    <row r="275" spans="2:28" x14ac:dyDescent="0.15">
      <c r="B275" s="5">
        <v>24</v>
      </c>
      <c r="C275" s="5" t="s">
        <v>31</v>
      </c>
      <c r="D275" s="4">
        <f t="shared" si="62"/>
        <v>0</v>
      </c>
      <c r="E275" s="110" t="str">
        <f>DBCS('入力シート（2事業場以降）'!AH67)</f>
        <v/>
      </c>
      <c r="F275" s="4"/>
      <c r="G275" s="15" t="str">
        <f>IF($D275=1,TRIM(CLEAN('入力シート（2事業場以降）'!AH67)),"")&amp;""</f>
        <v/>
      </c>
      <c r="W275" s="117" t="str">
        <f t="shared" si="63"/>
        <v>OK</v>
      </c>
      <c r="X275" t="str">
        <f t="shared" ca="1" si="64"/>
        <v>町名地番を入力してください。</v>
      </c>
      <c r="Y275">
        <f>IF(G275&lt;&gt;"",0,1)</f>
        <v>1</v>
      </c>
      <c r="AA275" t="str">
        <f>C275&amp;"を入力してください。"</f>
        <v>町名地番を入力してください。</v>
      </c>
    </row>
    <row r="276" spans="2:28" x14ac:dyDescent="0.15">
      <c r="B276" s="5">
        <v>24</v>
      </c>
      <c r="C276" s="5" t="s">
        <v>34</v>
      </c>
      <c r="D276" s="4">
        <f t="shared" si="62"/>
        <v>0</v>
      </c>
      <c r="E276" s="110" t="str">
        <f>DBCS('入力シート（2事業場以降）'!AL67)</f>
        <v/>
      </c>
      <c r="F276" s="4"/>
      <c r="G276" s="15" t="str">
        <f>IF($D276=1,TRIM(CLEAN('入力シート（2事業場以降）'!AL67)),"")&amp;""</f>
        <v/>
      </c>
      <c r="W276" s="117" t="str">
        <f t="shared" si="63"/>
        <v>OK</v>
      </c>
    </row>
    <row r="277" spans="2:28" x14ac:dyDescent="0.15">
      <c r="B277" s="5">
        <v>25</v>
      </c>
      <c r="C277" s="5" t="s">
        <v>53</v>
      </c>
      <c r="D277" s="4">
        <f t="shared" si="62"/>
        <v>0</v>
      </c>
      <c r="E277" s="4"/>
      <c r="F277" s="4"/>
      <c r="G277" s="16" t="str">
        <f>IF($D277=1,'入力シート（2事業場以降）'!F69,"")&amp;""</f>
        <v/>
      </c>
      <c r="W277" s="117" t="str">
        <f t="shared" si="63"/>
        <v>OK</v>
      </c>
      <c r="X277" t="str">
        <f t="shared" ref="X277:X284" ca="1" si="66">IF(Y277=0,IF(Z277&lt;&gt;0,OFFSET(AA277,0,Z277),$V$1),AA277)</f>
        <v>書類の種類を選択してください。</v>
      </c>
      <c r="Y277">
        <f>IF(G277&lt;&gt;"",0,1)</f>
        <v>1</v>
      </c>
      <c r="AA277" t="str">
        <f>C277&amp;"を選択してください。"</f>
        <v>書類の種類を選択してください。</v>
      </c>
    </row>
    <row r="278" spans="2:28" x14ac:dyDescent="0.15">
      <c r="B278" s="5">
        <v>25</v>
      </c>
      <c r="C278" s="5" t="s">
        <v>424</v>
      </c>
      <c r="D278" s="4">
        <f t="shared" si="62"/>
        <v>0</v>
      </c>
      <c r="E278" s="110" t="str">
        <f>SUBSTITUTE(SUBSTITUTE(SUBSTITUTE(SUBSTITUTE(SUBSTITUTE(SUBSTITUTE(SUBSTITUTE(SUBSTITUTE(SUBSTITUTE(SUBSTITUTE(SUBSTITUTE('入力シート（2事業場以降）'!J69,"０","0"),"１","1"),"２","2"),"３","3"),"４","4"),"５","5"),"６","6"),"７","7"),"８","8"),"９","9"),"．",".")</f>
        <v/>
      </c>
      <c r="F278" s="4" t="str">
        <f t="shared" ref="F278" si="6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278,"Ａ","A"),"Ｂ","B"),"Ｃ","C"),"Ｄ","D"),"Ｅ","E"),"Ｆ","F"),"Ｇ","G"),"Ｈ","H"),"Ｉ","I"),"Ｊ","J"),"Ｋ","K"),"Ｌ","L"),"Ｍ","M"),"Ｎ","N"),"Ｏ","O"),"Ｐ","P"),"Ｑ","Q"),"Ｒ","R"),"Ｓ","S"),"Ｔ","T"),"Ｕ","U"),"Ｖ","V"),"Ｗ","W"),"Ｘ","X"),"Ｙ","Y"),"Ｚ","Z"),"ａ","a"),"ｂ","b"),"ｃ","c"),"ｄ","d"),"ｅ","e"),"ｆ","f"),"ｇ","g"),"ｈ","h"),"ｉ","i"),"ｊ","j"),"ｋ","k"),"ｌ","l"),"ｍ","m"),"ｎ","n"),"ｏ","o"),"ｐ","p"),"ｑ","q"),"ｒ","r"),"ｓ","s"),"ｔ","t"),"ｕ","u"),"ｖ","v"),"ｗ","w"),"ｘ","x"),"ｙ","y"),"ｚ","z"),"＆","&amp;"),"－","-"),"．",".")</f>
        <v/>
      </c>
      <c r="G278" s="15" t="str">
        <f>IF($D278=1,TRIM(CLEAN(F278)),"")&amp;""</f>
        <v/>
      </c>
      <c r="H278" t="str">
        <f>IF(G277&lt;&gt;"",IF(G277="自動車整備士である証明","整備士合格証書番号",LEFT(G277,2)&amp;"番号"),C278)</f>
        <v>認証・指定・認定番号または、整備士合格証書番号</v>
      </c>
      <c r="W278" s="117" t="str">
        <f t="shared" si="63"/>
        <v>OK</v>
      </c>
      <c r="X278" t="str">
        <f t="shared" ca="1" si="66"/>
        <v>認証・指定・認定番号または、整備士合格証書番号を入力してください。</v>
      </c>
      <c r="Y278">
        <f>IF(G278&lt;&gt;"",0,1)</f>
        <v>1</v>
      </c>
      <c r="AA278" t="str">
        <f>H278&amp;"を入力してください。"</f>
        <v>認証・指定・認定番号または、整備士合格証書番号を入力してください。</v>
      </c>
    </row>
    <row r="279" spans="2:28" x14ac:dyDescent="0.15">
      <c r="B279" s="5">
        <v>25</v>
      </c>
      <c r="C279" s="5" t="s">
        <v>54</v>
      </c>
      <c r="D279" s="4">
        <f t="shared" si="62"/>
        <v>0</v>
      </c>
      <c r="E279" s="4"/>
      <c r="F279" s="4" t="s">
        <v>402</v>
      </c>
      <c r="G279" s="15" t="str">
        <f>IF($D279=1,TRIM(CLEAN('入力シート（2事業場以降）'!N69)),"")&amp;""</f>
        <v/>
      </c>
      <c r="W279" s="117" t="str">
        <f t="shared" si="63"/>
        <v>OK</v>
      </c>
      <c r="X279" t="str">
        <f t="shared" ca="1" si="66"/>
        <v>管轄運輸局を入力してください。</v>
      </c>
      <c r="Y279">
        <f>IF(G277&lt;&gt;"自動車整備士である証明",IF(G279&lt;&gt;"",0,1),0)</f>
        <v>1</v>
      </c>
      <c r="AA279" t="str">
        <f>C279&amp;"を入力してください。"</f>
        <v>管轄運輸局を入力してください。</v>
      </c>
    </row>
    <row r="280" spans="2:28" x14ac:dyDescent="0.15">
      <c r="B280" s="5">
        <v>25</v>
      </c>
      <c r="C280" s="5" t="s">
        <v>56</v>
      </c>
      <c r="D280" s="4">
        <f t="shared" si="62"/>
        <v>0</v>
      </c>
      <c r="E280" s="110" t="str">
        <f>DBCS('入力シート（2事業場以降）'!R69)</f>
        <v/>
      </c>
      <c r="F280" s="4" t="str">
        <f>SUBSTITUTE(SUBSTITUTE(SUBSTITUTE(SUBSTITUTE(E280,"　株式会社","株式会社"),"会社　","会社"),"　有限会社","有限会社"),"　合同会社","合同会社")</f>
        <v/>
      </c>
      <c r="G280" s="16" t="str">
        <f>IF($D280=1,TRIM(CLEAN(F280)),"")&amp;""</f>
        <v/>
      </c>
      <c r="W280" s="117" t="str">
        <f t="shared" si="63"/>
        <v>OK</v>
      </c>
      <c r="X280" t="str">
        <f t="shared" ca="1" si="66"/>
        <v>事業場名を入力してください。</v>
      </c>
      <c r="Y280">
        <f>IF(G280&lt;&gt;"",0,1)</f>
        <v>1</v>
      </c>
      <c r="AA280" t="str">
        <f>C280&amp;"を入力してください。"</f>
        <v>事業場名を入力してください。</v>
      </c>
    </row>
    <row r="281" spans="2:28" x14ac:dyDescent="0.15">
      <c r="B281" s="5">
        <v>25</v>
      </c>
      <c r="C281" s="5" t="s">
        <v>24</v>
      </c>
      <c r="D281" s="4">
        <f t="shared" si="62"/>
        <v>0</v>
      </c>
      <c r="E281" s="4"/>
      <c r="F281" s="4"/>
      <c r="G281" s="15" t="str">
        <f>IF($D281=1,TRIM(CLEAN(ASC('入力シート（2事業場以降）'!X69))),"")&amp;""</f>
        <v/>
      </c>
      <c r="H281" s="15" t="str">
        <f>IF($D281=1,TRIM(CLEAN(ASC('入力シート（2事業場以降）'!Z69))),"")&amp;""</f>
        <v/>
      </c>
      <c r="W281" s="117" t="str">
        <f t="shared" si="63"/>
        <v>OK</v>
      </c>
      <c r="X281" t="str">
        <f t="shared" ca="1" si="66"/>
        <v>郵便番号を入力してください。</v>
      </c>
      <c r="Y281">
        <f>IF(AND(LEN(G281)=3,LEN(H281)=4)=TRUE,0,1)</f>
        <v>1</v>
      </c>
      <c r="Z281">
        <f>IFERROR(IF(0&lt;VALUE(G281),0,1),1)</f>
        <v>1</v>
      </c>
      <c r="AA281" t="str">
        <f>C281&amp;"を入力してください。"</f>
        <v>郵便番号を入力してください。</v>
      </c>
      <c r="AB281" t="str">
        <f>"正しい"&amp;C281&amp;"を入力してください。"</f>
        <v>正しい郵便番号を入力してください。</v>
      </c>
    </row>
    <row r="282" spans="2:28" x14ac:dyDescent="0.15">
      <c r="B282" s="5">
        <v>25</v>
      </c>
      <c r="C282" s="5" t="s">
        <v>26</v>
      </c>
      <c r="D282" s="4">
        <f t="shared" si="62"/>
        <v>0</v>
      </c>
      <c r="E282" s="4"/>
      <c r="F282" s="4"/>
      <c r="G282" s="15" t="str">
        <f>IF($D282=1,TRIM(CLEAN('入力シート（2事業場以降）'!AB69)),"")&amp;""</f>
        <v/>
      </c>
      <c r="W282" s="117" t="str">
        <f t="shared" si="63"/>
        <v>OK</v>
      </c>
      <c r="X282" t="str">
        <f t="shared" ca="1" si="66"/>
        <v>都道府県を選択してください。</v>
      </c>
      <c r="Y282">
        <f>IF(G282&lt;&gt;"",0,1)</f>
        <v>1</v>
      </c>
      <c r="AA282" t="str">
        <f>C282&amp;"を選択してください。"</f>
        <v>都道府県を選択してください。</v>
      </c>
    </row>
    <row r="283" spans="2:28" x14ac:dyDescent="0.15">
      <c r="B283" s="5">
        <v>25</v>
      </c>
      <c r="C283" s="5" t="s">
        <v>29</v>
      </c>
      <c r="D283" s="4">
        <f t="shared" si="62"/>
        <v>0</v>
      </c>
      <c r="E283" s="110" t="str">
        <f>DBCS('入力シート（2事業場以降）'!AD69)</f>
        <v/>
      </c>
      <c r="F283" s="4"/>
      <c r="G283" s="15" t="str">
        <f>IF($D283=1,TRIM(CLEAN('入力シート（2事業場以降）'!AD69)),"")&amp;""</f>
        <v/>
      </c>
      <c r="W283" s="117" t="str">
        <f t="shared" si="63"/>
        <v>OK</v>
      </c>
      <c r="X283" t="str">
        <f t="shared" ca="1" si="66"/>
        <v>市区町村を入力してください。</v>
      </c>
      <c r="Y283">
        <f>IF(G283&lt;&gt;"",0,1)</f>
        <v>1</v>
      </c>
      <c r="AA283" t="str">
        <f>C283&amp;"を入力してください。"</f>
        <v>市区町村を入力してください。</v>
      </c>
    </row>
    <row r="284" spans="2:28" x14ac:dyDescent="0.15">
      <c r="B284" s="5">
        <v>25</v>
      </c>
      <c r="C284" s="5" t="s">
        <v>31</v>
      </c>
      <c r="D284" s="4">
        <f t="shared" si="62"/>
        <v>0</v>
      </c>
      <c r="E284" s="110" t="str">
        <f>DBCS('入力シート（2事業場以降）'!AH69)</f>
        <v/>
      </c>
      <c r="F284" s="4"/>
      <c r="G284" s="15" t="str">
        <f>IF($D284=1,TRIM(CLEAN('入力シート（2事業場以降）'!AH69)),"")&amp;""</f>
        <v/>
      </c>
      <c r="W284" s="117" t="str">
        <f t="shared" si="63"/>
        <v>OK</v>
      </c>
      <c r="X284" t="str">
        <f t="shared" ca="1" si="66"/>
        <v>町名地番を入力してください。</v>
      </c>
      <c r="Y284">
        <f>IF(G284&lt;&gt;"",0,1)</f>
        <v>1</v>
      </c>
      <c r="AA284" t="str">
        <f>C284&amp;"を入力してください。"</f>
        <v>町名地番を入力してください。</v>
      </c>
    </row>
    <row r="285" spans="2:28" x14ac:dyDescent="0.15">
      <c r="B285" s="5">
        <v>25</v>
      </c>
      <c r="C285" s="5" t="s">
        <v>34</v>
      </c>
      <c r="D285" s="4">
        <f t="shared" si="62"/>
        <v>0</v>
      </c>
      <c r="E285" s="110" t="str">
        <f>DBCS('入力シート（2事業場以降）'!AL69)</f>
        <v/>
      </c>
      <c r="F285" s="4"/>
      <c r="G285" s="15" t="str">
        <f>IF($D285=1,TRIM(CLEAN('入力シート（2事業場以降）'!AL69)),"")&amp;""</f>
        <v/>
      </c>
      <c r="W285" s="117" t="str">
        <f t="shared" si="63"/>
        <v>OK</v>
      </c>
    </row>
    <row r="286" spans="2:28" x14ac:dyDescent="0.15">
      <c r="B286" s="5">
        <v>26</v>
      </c>
      <c r="C286" s="5" t="s">
        <v>53</v>
      </c>
      <c r="D286" s="4">
        <f t="shared" si="62"/>
        <v>0</v>
      </c>
      <c r="E286" s="4"/>
      <c r="F286" s="4"/>
      <c r="G286" s="16" t="str">
        <f>IF($D286=1,'入力シート（2事業場以降）'!F71,"")&amp;""</f>
        <v/>
      </c>
      <c r="W286" s="117" t="str">
        <f t="shared" si="63"/>
        <v>OK</v>
      </c>
      <c r="X286" t="str">
        <f t="shared" ref="X286:X293" ca="1" si="68">IF(Y286=0,IF(Z286&lt;&gt;0,OFFSET(AA286,0,Z286),$V$1),AA286)</f>
        <v>書類の種類を選択してください。</v>
      </c>
      <c r="Y286">
        <f>IF(G286&lt;&gt;"",0,1)</f>
        <v>1</v>
      </c>
      <c r="AA286" t="str">
        <f>C286&amp;"を選択してください。"</f>
        <v>書類の種類を選択してください。</v>
      </c>
    </row>
    <row r="287" spans="2:28" x14ac:dyDescent="0.15">
      <c r="B287" s="5">
        <v>26</v>
      </c>
      <c r="C287" s="5" t="s">
        <v>424</v>
      </c>
      <c r="D287" s="4">
        <f t="shared" si="62"/>
        <v>0</v>
      </c>
      <c r="E287" s="110" t="str">
        <f>SUBSTITUTE(SUBSTITUTE(SUBSTITUTE(SUBSTITUTE(SUBSTITUTE(SUBSTITUTE(SUBSTITUTE(SUBSTITUTE(SUBSTITUTE(SUBSTITUTE(SUBSTITUTE('入力シート（2事業場以降）'!J71,"０","0"),"１","1"),"２","2"),"３","3"),"４","4"),"５","5"),"６","6"),"７","7"),"８","8"),"９","9"),"．",".")</f>
        <v/>
      </c>
      <c r="F287" s="4" t="str">
        <f t="shared" ref="F287" si="6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287,"Ａ","A"),"Ｂ","B"),"Ｃ","C"),"Ｄ","D"),"Ｅ","E"),"Ｆ","F"),"Ｇ","G"),"Ｈ","H"),"Ｉ","I"),"Ｊ","J"),"Ｋ","K"),"Ｌ","L"),"Ｍ","M"),"Ｎ","N"),"Ｏ","O"),"Ｐ","P"),"Ｑ","Q"),"Ｒ","R"),"Ｓ","S"),"Ｔ","T"),"Ｕ","U"),"Ｖ","V"),"Ｗ","W"),"Ｘ","X"),"Ｙ","Y"),"Ｚ","Z"),"ａ","a"),"ｂ","b"),"ｃ","c"),"ｄ","d"),"ｅ","e"),"ｆ","f"),"ｇ","g"),"ｈ","h"),"ｉ","i"),"ｊ","j"),"ｋ","k"),"ｌ","l"),"ｍ","m"),"ｎ","n"),"ｏ","o"),"ｐ","p"),"ｑ","q"),"ｒ","r"),"ｓ","s"),"ｔ","t"),"ｕ","u"),"ｖ","v"),"ｗ","w"),"ｘ","x"),"ｙ","y"),"ｚ","z"),"＆","&amp;"),"－","-"),"．",".")</f>
        <v/>
      </c>
      <c r="G287" s="15" t="str">
        <f>IF($D287=1,TRIM(CLEAN(F287)),"")&amp;""</f>
        <v/>
      </c>
      <c r="H287" t="str">
        <f>IF(G286&lt;&gt;"",IF(G286="自動車整備士である証明","整備士合格証書番号",LEFT(G286,2)&amp;"番号"),C287)</f>
        <v>認証・指定・認定番号または、整備士合格証書番号</v>
      </c>
      <c r="W287" s="117" t="str">
        <f t="shared" si="63"/>
        <v>OK</v>
      </c>
      <c r="X287" t="str">
        <f t="shared" ca="1" si="68"/>
        <v>認証・指定・認定番号または、整備士合格証書番号を入力してください。</v>
      </c>
      <c r="Y287">
        <f>IF(G287&lt;&gt;"",0,1)</f>
        <v>1</v>
      </c>
      <c r="AA287" t="str">
        <f>H287&amp;"を入力してください。"</f>
        <v>認証・指定・認定番号または、整備士合格証書番号を入力してください。</v>
      </c>
    </row>
    <row r="288" spans="2:28" x14ac:dyDescent="0.15">
      <c r="B288" s="5">
        <v>26</v>
      </c>
      <c r="C288" s="5" t="s">
        <v>54</v>
      </c>
      <c r="D288" s="4">
        <f t="shared" si="62"/>
        <v>0</v>
      </c>
      <c r="E288" s="4"/>
      <c r="F288" s="4" t="s">
        <v>402</v>
      </c>
      <c r="G288" s="15" t="str">
        <f>IF($D288=1,TRIM(CLEAN('入力シート（2事業場以降）'!N71)),"")&amp;""</f>
        <v/>
      </c>
      <c r="W288" s="117" t="str">
        <f t="shared" si="63"/>
        <v>OK</v>
      </c>
      <c r="X288" t="str">
        <f t="shared" ca="1" si="68"/>
        <v>管轄運輸局を入力してください。</v>
      </c>
      <c r="Y288">
        <f>IF(G286&lt;&gt;"自動車整備士である証明",IF(G288&lt;&gt;"",0,1),0)</f>
        <v>1</v>
      </c>
      <c r="AA288" t="str">
        <f>C288&amp;"を入力してください。"</f>
        <v>管轄運輸局を入力してください。</v>
      </c>
    </row>
    <row r="289" spans="2:28" x14ac:dyDescent="0.15">
      <c r="B289" s="5">
        <v>26</v>
      </c>
      <c r="C289" s="5" t="s">
        <v>56</v>
      </c>
      <c r="D289" s="4">
        <f t="shared" si="62"/>
        <v>0</v>
      </c>
      <c r="E289" s="110" t="str">
        <f>DBCS('入力シート（2事業場以降）'!R71)</f>
        <v/>
      </c>
      <c r="F289" s="4" t="str">
        <f>SUBSTITUTE(SUBSTITUTE(SUBSTITUTE(SUBSTITUTE(E289,"　株式会社","株式会社"),"会社　","会社"),"　有限会社","有限会社"),"　合同会社","合同会社")</f>
        <v/>
      </c>
      <c r="G289" s="16" t="str">
        <f>IF($D289=1,TRIM(CLEAN(F289)),"")&amp;""</f>
        <v/>
      </c>
      <c r="W289" s="117" t="str">
        <f t="shared" si="63"/>
        <v>OK</v>
      </c>
      <c r="X289" t="str">
        <f t="shared" ca="1" si="68"/>
        <v>事業場名を入力してください。</v>
      </c>
      <c r="Y289">
        <f>IF(G289&lt;&gt;"",0,1)</f>
        <v>1</v>
      </c>
      <c r="AA289" t="str">
        <f>C289&amp;"を入力してください。"</f>
        <v>事業場名を入力してください。</v>
      </c>
    </row>
    <row r="290" spans="2:28" x14ac:dyDescent="0.15">
      <c r="B290" s="5">
        <v>26</v>
      </c>
      <c r="C290" s="5" t="s">
        <v>24</v>
      </c>
      <c r="D290" s="4">
        <f t="shared" si="62"/>
        <v>0</v>
      </c>
      <c r="E290" s="4"/>
      <c r="F290" s="4"/>
      <c r="G290" s="15" t="str">
        <f>IF($D290=1,TRIM(CLEAN(ASC('入力シート（2事業場以降）'!X71))),"")&amp;""</f>
        <v/>
      </c>
      <c r="H290" s="15" t="str">
        <f>IF($D290=1,TRIM(CLEAN(ASC('入力シート（2事業場以降）'!Z71))),"")&amp;""</f>
        <v/>
      </c>
      <c r="W290" s="117" t="str">
        <f t="shared" si="63"/>
        <v>OK</v>
      </c>
      <c r="X290" t="str">
        <f t="shared" ca="1" si="68"/>
        <v>郵便番号を入力してください。</v>
      </c>
      <c r="Y290">
        <f>IF(AND(LEN(G290)=3,LEN(H290)=4)=TRUE,0,1)</f>
        <v>1</v>
      </c>
      <c r="Z290">
        <f>IFERROR(IF(0&lt;VALUE(G290),0,1),1)</f>
        <v>1</v>
      </c>
      <c r="AA290" t="str">
        <f>C290&amp;"を入力してください。"</f>
        <v>郵便番号を入力してください。</v>
      </c>
      <c r="AB290" t="str">
        <f>"正しい"&amp;C290&amp;"を入力してください。"</f>
        <v>正しい郵便番号を入力してください。</v>
      </c>
    </row>
    <row r="291" spans="2:28" x14ac:dyDescent="0.15">
      <c r="B291" s="5">
        <v>26</v>
      </c>
      <c r="C291" s="5" t="s">
        <v>26</v>
      </c>
      <c r="D291" s="4">
        <f t="shared" si="62"/>
        <v>0</v>
      </c>
      <c r="E291" s="4"/>
      <c r="F291" s="4"/>
      <c r="G291" s="15" t="str">
        <f>IF($D291=1,TRIM(CLEAN('入力シート（2事業場以降）'!AB71)),"")&amp;""</f>
        <v/>
      </c>
      <c r="W291" s="117" t="str">
        <f t="shared" si="63"/>
        <v>OK</v>
      </c>
      <c r="X291" t="str">
        <f t="shared" ca="1" si="68"/>
        <v>都道府県を選択してください。</v>
      </c>
      <c r="Y291">
        <f>IF(G291&lt;&gt;"",0,1)</f>
        <v>1</v>
      </c>
      <c r="AA291" t="str">
        <f>C291&amp;"を選択してください。"</f>
        <v>都道府県を選択してください。</v>
      </c>
    </row>
    <row r="292" spans="2:28" x14ac:dyDescent="0.15">
      <c r="B292" s="5">
        <v>26</v>
      </c>
      <c r="C292" s="5" t="s">
        <v>29</v>
      </c>
      <c r="D292" s="4">
        <f t="shared" si="62"/>
        <v>0</v>
      </c>
      <c r="E292" s="110" t="str">
        <f>DBCS('入力シート（2事業場以降）'!AD71)</f>
        <v/>
      </c>
      <c r="F292" s="4"/>
      <c r="G292" s="15" t="str">
        <f>IF($D292=1,TRIM(CLEAN('入力シート（2事業場以降）'!AD71)),"")&amp;""</f>
        <v/>
      </c>
      <c r="W292" s="117" t="str">
        <f t="shared" si="63"/>
        <v>OK</v>
      </c>
      <c r="X292" t="str">
        <f t="shared" ca="1" si="68"/>
        <v>市区町村を入力してください。</v>
      </c>
      <c r="Y292">
        <f>IF(G292&lt;&gt;"",0,1)</f>
        <v>1</v>
      </c>
      <c r="AA292" t="str">
        <f>C292&amp;"を入力してください。"</f>
        <v>市区町村を入力してください。</v>
      </c>
    </row>
    <row r="293" spans="2:28" x14ac:dyDescent="0.15">
      <c r="B293" s="5">
        <v>26</v>
      </c>
      <c r="C293" s="5" t="s">
        <v>31</v>
      </c>
      <c r="D293" s="4">
        <f t="shared" si="62"/>
        <v>0</v>
      </c>
      <c r="E293" s="110" t="str">
        <f>DBCS('入力シート（2事業場以降）'!AH71)</f>
        <v/>
      </c>
      <c r="F293" s="4"/>
      <c r="G293" s="15" t="str">
        <f>IF($D293=1,TRIM(CLEAN('入力シート（2事業場以降）'!AH71)),"")&amp;""</f>
        <v/>
      </c>
      <c r="W293" s="117" t="str">
        <f t="shared" si="63"/>
        <v>OK</v>
      </c>
      <c r="X293" t="str">
        <f t="shared" ca="1" si="68"/>
        <v>町名地番を入力してください。</v>
      </c>
      <c r="Y293">
        <f>IF(G293&lt;&gt;"",0,1)</f>
        <v>1</v>
      </c>
      <c r="AA293" t="str">
        <f>C293&amp;"を入力してください。"</f>
        <v>町名地番を入力してください。</v>
      </c>
    </row>
    <row r="294" spans="2:28" x14ac:dyDescent="0.15">
      <c r="B294" s="5">
        <v>26</v>
      </c>
      <c r="C294" s="5" t="s">
        <v>34</v>
      </c>
      <c r="D294" s="4">
        <f t="shared" si="62"/>
        <v>0</v>
      </c>
      <c r="E294" s="110" t="str">
        <f>DBCS('入力シート（2事業場以降）'!AL71)</f>
        <v/>
      </c>
      <c r="F294" s="4"/>
      <c r="G294" s="15" t="str">
        <f>IF($D294=1,TRIM(CLEAN('入力シート（2事業場以降）'!AL71)),"")&amp;""</f>
        <v/>
      </c>
      <c r="W294" s="117" t="str">
        <f t="shared" si="63"/>
        <v>OK</v>
      </c>
    </row>
    <row r="295" spans="2:28" x14ac:dyDescent="0.15">
      <c r="B295" s="5">
        <v>27</v>
      </c>
      <c r="C295" s="5" t="s">
        <v>53</v>
      </c>
      <c r="D295" s="4">
        <f t="shared" si="62"/>
        <v>0</v>
      </c>
      <c r="E295" s="4"/>
      <c r="F295" s="4"/>
      <c r="G295" s="16" t="str">
        <f>IF($D295=1,'入力シート（2事業場以降）'!F73,"")&amp;""</f>
        <v/>
      </c>
      <c r="W295" s="117" t="str">
        <f t="shared" si="63"/>
        <v>OK</v>
      </c>
      <c r="X295" t="str">
        <f t="shared" ref="X295:X302" ca="1" si="70">IF(Y295=0,IF(Z295&lt;&gt;0,OFFSET(AA295,0,Z295),$V$1),AA295)</f>
        <v>書類の種類を選択してください。</v>
      </c>
      <c r="Y295">
        <f>IF(G295&lt;&gt;"",0,1)</f>
        <v>1</v>
      </c>
      <c r="AA295" t="str">
        <f>C295&amp;"を選択してください。"</f>
        <v>書類の種類を選択してください。</v>
      </c>
    </row>
    <row r="296" spans="2:28" x14ac:dyDescent="0.15">
      <c r="B296" s="5">
        <v>27</v>
      </c>
      <c r="C296" s="5" t="s">
        <v>424</v>
      </c>
      <c r="D296" s="4">
        <f t="shared" si="62"/>
        <v>0</v>
      </c>
      <c r="E296" s="110" t="str">
        <f>SUBSTITUTE(SUBSTITUTE(SUBSTITUTE(SUBSTITUTE(SUBSTITUTE(SUBSTITUTE(SUBSTITUTE(SUBSTITUTE(SUBSTITUTE(SUBSTITUTE(SUBSTITUTE('入力シート（2事業場以降）'!J73,"０","0"),"１","1"),"２","2"),"３","3"),"４","4"),"５","5"),"６","6"),"７","7"),"８","8"),"９","9"),"．",".")</f>
        <v/>
      </c>
      <c r="F296" s="4" t="str">
        <f t="shared" ref="F296" si="7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296,"Ａ","A"),"Ｂ","B"),"Ｃ","C"),"Ｄ","D"),"Ｅ","E"),"Ｆ","F"),"Ｇ","G"),"Ｈ","H"),"Ｉ","I"),"Ｊ","J"),"Ｋ","K"),"Ｌ","L"),"Ｍ","M"),"Ｎ","N"),"Ｏ","O"),"Ｐ","P"),"Ｑ","Q"),"Ｒ","R"),"Ｓ","S"),"Ｔ","T"),"Ｕ","U"),"Ｖ","V"),"Ｗ","W"),"Ｘ","X"),"Ｙ","Y"),"Ｚ","Z"),"ａ","a"),"ｂ","b"),"ｃ","c"),"ｄ","d"),"ｅ","e"),"ｆ","f"),"ｇ","g"),"ｈ","h"),"ｉ","i"),"ｊ","j"),"ｋ","k"),"ｌ","l"),"ｍ","m"),"ｎ","n"),"ｏ","o"),"ｐ","p"),"ｑ","q"),"ｒ","r"),"ｓ","s"),"ｔ","t"),"ｕ","u"),"ｖ","v"),"ｗ","w"),"ｘ","x"),"ｙ","y"),"ｚ","z"),"＆","&amp;"),"－","-"),"．",".")</f>
        <v/>
      </c>
      <c r="G296" s="15" t="str">
        <f>IF($D296=1,TRIM(CLEAN(F296)),"")&amp;""</f>
        <v/>
      </c>
      <c r="H296" t="str">
        <f>IF(G295&lt;&gt;"",IF(G295="自動車整備士である証明","整備士合格証書番号",LEFT(G295,2)&amp;"番号"),C296)</f>
        <v>認証・指定・認定番号または、整備士合格証書番号</v>
      </c>
      <c r="W296" s="117" t="str">
        <f t="shared" si="63"/>
        <v>OK</v>
      </c>
      <c r="X296" t="str">
        <f t="shared" ca="1" si="70"/>
        <v>認証・指定・認定番号または、整備士合格証書番号を入力してください。</v>
      </c>
      <c r="Y296">
        <f>IF(G296&lt;&gt;"",0,1)</f>
        <v>1</v>
      </c>
      <c r="AA296" t="str">
        <f>H296&amp;"を入力してください。"</f>
        <v>認証・指定・認定番号または、整備士合格証書番号を入力してください。</v>
      </c>
    </row>
    <row r="297" spans="2:28" x14ac:dyDescent="0.15">
      <c r="B297" s="5">
        <v>27</v>
      </c>
      <c r="C297" s="5" t="s">
        <v>54</v>
      </c>
      <c r="D297" s="4">
        <f t="shared" si="62"/>
        <v>0</v>
      </c>
      <c r="E297" s="4"/>
      <c r="F297" s="4" t="s">
        <v>402</v>
      </c>
      <c r="G297" s="15" t="str">
        <f>IF($D297=1,TRIM(CLEAN('入力シート（2事業場以降）'!N73)),"")&amp;""</f>
        <v/>
      </c>
      <c r="W297" s="117" t="str">
        <f t="shared" si="63"/>
        <v>OK</v>
      </c>
      <c r="X297" t="str">
        <f t="shared" ca="1" si="70"/>
        <v>管轄運輸局を入力してください。</v>
      </c>
      <c r="Y297">
        <f>IF(G295&lt;&gt;"自動車整備士である証明",IF(G297&lt;&gt;"",0,1),0)</f>
        <v>1</v>
      </c>
      <c r="AA297" t="str">
        <f>C297&amp;"を入力してください。"</f>
        <v>管轄運輸局を入力してください。</v>
      </c>
    </row>
    <row r="298" spans="2:28" x14ac:dyDescent="0.15">
      <c r="B298" s="5">
        <v>27</v>
      </c>
      <c r="C298" s="5" t="s">
        <v>56</v>
      </c>
      <c r="D298" s="4">
        <f t="shared" si="62"/>
        <v>0</v>
      </c>
      <c r="E298" s="110" t="str">
        <f>DBCS('入力シート（2事業場以降）'!R73)</f>
        <v/>
      </c>
      <c r="F298" s="4" t="str">
        <f>SUBSTITUTE(SUBSTITUTE(SUBSTITUTE(SUBSTITUTE(E298,"　株式会社","株式会社"),"会社　","会社"),"　有限会社","有限会社"),"　合同会社","合同会社")</f>
        <v/>
      </c>
      <c r="G298" s="16" t="str">
        <f>IF($D298=1,TRIM(CLEAN(F298)),"")&amp;""</f>
        <v/>
      </c>
      <c r="W298" s="117" t="str">
        <f t="shared" si="63"/>
        <v>OK</v>
      </c>
      <c r="X298" t="str">
        <f t="shared" ca="1" si="70"/>
        <v>事業場名を入力してください。</v>
      </c>
      <c r="Y298">
        <f>IF(G298&lt;&gt;"",0,1)</f>
        <v>1</v>
      </c>
      <c r="AA298" t="str">
        <f>C298&amp;"を入力してください。"</f>
        <v>事業場名を入力してください。</v>
      </c>
    </row>
    <row r="299" spans="2:28" x14ac:dyDescent="0.15">
      <c r="B299" s="5">
        <v>27</v>
      </c>
      <c r="C299" s="5" t="s">
        <v>24</v>
      </c>
      <c r="D299" s="4">
        <f t="shared" si="62"/>
        <v>0</v>
      </c>
      <c r="E299" s="4"/>
      <c r="F299" s="4"/>
      <c r="G299" s="15" t="str">
        <f>IF($D299=1,TRIM(CLEAN(ASC('入力シート（2事業場以降）'!X73))),"")&amp;""</f>
        <v/>
      </c>
      <c r="H299" s="15" t="str">
        <f>IF($D299=1,TRIM(CLEAN(ASC('入力シート（2事業場以降）'!Z73))),"")&amp;""</f>
        <v/>
      </c>
      <c r="W299" s="117" t="str">
        <f t="shared" si="63"/>
        <v>OK</v>
      </c>
      <c r="X299" t="str">
        <f t="shared" ca="1" si="70"/>
        <v>郵便番号を入力してください。</v>
      </c>
      <c r="Y299">
        <f>IF(AND(LEN(G299)=3,LEN(H299)=4)=TRUE,0,1)</f>
        <v>1</v>
      </c>
      <c r="Z299">
        <f>IFERROR(IF(0&lt;VALUE(G299),0,1),1)</f>
        <v>1</v>
      </c>
      <c r="AA299" t="str">
        <f>C299&amp;"を入力してください。"</f>
        <v>郵便番号を入力してください。</v>
      </c>
      <c r="AB299" t="str">
        <f>"正しい"&amp;C299&amp;"を入力してください。"</f>
        <v>正しい郵便番号を入力してください。</v>
      </c>
    </row>
    <row r="300" spans="2:28" x14ac:dyDescent="0.15">
      <c r="B300" s="5">
        <v>27</v>
      </c>
      <c r="C300" s="5" t="s">
        <v>26</v>
      </c>
      <c r="D300" s="4">
        <f t="shared" si="62"/>
        <v>0</v>
      </c>
      <c r="E300" s="4"/>
      <c r="F300" s="4"/>
      <c r="G300" s="15" t="str">
        <f>IF($D300=1,TRIM(CLEAN('入力シート（2事業場以降）'!AB73)),"")&amp;""</f>
        <v/>
      </c>
      <c r="W300" s="117" t="str">
        <f t="shared" si="63"/>
        <v>OK</v>
      </c>
      <c r="X300" t="str">
        <f t="shared" ca="1" si="70"/>
        <v>都道府県を選択してください。</v>
      </c>
      <c r="Y300">
        <f>IF(G300&lt;&gt;"",0,1)</f>
        <v>1</v>
      </c>
      <c r="AA300" t="str">
        <f>C300&amp;"を選択してください。"</f>
        <v>都道府県を選択してください。</v>
      </c>
    </row>
    <row r="301" spans="2:28" x14ac:dyDescent="0.15">
      <c r="B301" s="5">
        <v>27</v>
      </c>
      <c r="C301" s="5" t="s">
        <v>29</v>
      </c>
      <c r="D301" s="4">
        <f t="shared" si="62"/>
        <v>0</v>
      </c>
      <c r="E301" s="110" t="str">
        <f>DBCS('入力シート（2事業場以降）'!AD73)</f>
        <v/>
      </c>
      <c r="F301" s="4"/>
      <c r="G301" s="15" t="str">
        <f>IF($D301=1,TRIM(CLEAN('入力シート（2事業場以降）'!AD73)),"")&amp;""</f>
        <v/>
      </c>
      <c r="W301" s="117" t="str">
        <f t="shared" si="63"/>
        <v>OK</v>
      </c>
      <c r="X301" t="str">
        <f t="shared" ca="1" si="70"/>
        <v>市区町村を入力してください。</v>
      </c>
      <c r="Y301">
        <f>IF(G301&lt;&gt;"",0,1)</f>
        <v>1</v>
      </c>
      <c r="AA301" t="str">
        <f>C301&amp;"を入力してください。"</f>
        <v>市区町村を入力してください。</v>
      </c>
    </row>
    <row r="302" spans="2:28" x14ac:dyDescent="0.15">
      <c r="B302" s="5">
        <v>27</v>
      </c>
      <c r="C302" s="5" t="s">
        <v>31</v>
      </c>
      <c r="D302" s="4">
        <f t="shared" si="62"/>
        <v>0</v>
      </c>
      <c r="E302" s="110" t="str">
        <f>DBCS('入力シート（2事業場以降）'!AH73)</f>
        <v/>
      </c>
      <c r="F302" s="4"/>
      <c r="G302" s="15" t="str">
        <f>IF($D302=1,TRIM(CLEAN('入力シート（2事業場以降）'!AH73)),"")&amp;""</f>
        <v/>
      </c>
      <c r="W302" s="117" t="str">
        <f t="shared" si="63"/>
        <v>OK</v>
      </c>
      <c r="X302" t="str">
        <f t="shared" ca="1" si="70"/>
        <v>町名地番を入力してください。</v>
      </c>
      <c r="Y302">
        <f>IF(G302&lt;&gt;"",0,1)</f>
        <v>1</v>
      </c>
      <c r="AA302" t="str">
        <f>C302&amp;"を入力してください。"</f>
        <v>町名地番を入力してください。</v>
      </c>
    </row>
    <row r="303" spans="2:28" x14ac:dyDescent="0.15">
      <c r="B303" s="5">
        <v>27</v>
      </c>
      <c r="C303" s="5" t="s">
        <v>34</v>
      </c>
      <c r="D303" s="4">
        <f t="shared" si="62"/>
        <v>0</v>
      </c>
      <c r="E303" s="110" t="str">
        <f>DBCS('入力シート（2事業場以降）'!AL73)</f>
        <v/>
      </c>
      <c r="F303" s="4"/>
      <c r="G303" s="15" t="str">
        <f>IF($D303=1,TRIM(CLEAN('入力シート（2事業場以降）'!AL73)),"")&amp;""</f>
        <v/>
      </c>
      <c r="W303" s="117" t="str">
        <f t="shared" si="63"/>
        <v>OK</v>
      </c>
    </row>
    <row r="304" spans="2:28" x14ac:dyDescent="0.15">
      <c r="B304" s="5">
        <v>28</v>
      </c>
      <c r="C304" s="5" t="s">
        <v>53</v>
      </c>
      <c r="D304" s="4">
        <f t="shared" si="62"/>
        <v>0</v>
      </c>
      <c r="E304" s="4"/>
      <c r="F304" s="4"/>
      <c r="G304" s="16" t="str">
        <f>IF($D304=1,'入力シート（2事業場以降）'!F75,"")&amp;""</f>
        <v/>
      </c>
      <c r="W304" s="117" t="str">
        <f t="shared" si="63"/>
        <v>OK</v>
      </c>
      <c r="X304" t="str">
        <f t="shared" ref="X304:X311" ca="1" si="72">IF(Y304=0,IF(Z304&lt;&gt;0,OFFSET(AA304,0,Z304),$V$1),AA304)</f>
        <v>書類の種類を選択してください。</v>
      </c>
      <c r="Y304">
        <f>IF(G304&lt;&gt;"",0,1)</f>
        <v>1</v>
      </c>
      <c r="AA304" t="str">
        <f>C304&amp;"を選択してください。"</f>
        <v>書類の種類を選択してください。</v>
      </c>
    </row>
    <row r="305" spans="2:28" x14ac:dyDescent="0.15">
      <c r="B305" s="5">
        <v>28</v>
      </c>
      <c r="C305" s="5" t="s">
        <v>424</v>
      </c>
      <c r="D305" s="4">
        <f t="shared" si="62"/>
        <v>0</v>
      </c>
      <c r="E305" s="110" t="str">
        <f>SUBSTITUTE(SUBSTITUTE(SUBSTITUTE(SUBSTITUTE(SUBSTITUTE(SUBSTITUTE(SUBSTITUTE(SUBSTITUTE(SUBSTITUTE(SUBSTITUTE(SUBSTITUTE('入力シート（2事業場以降）'!J75,"０","0"),"１","1"),"２","2"),"３","3"),"４","4"),"５","5"),"６","6"),"７","7"),"８","8"),"９","9"),"．",".")</f>
        <v/>
      </c>
      <c r="F305" s="4" t="str">
        <f t="shared" ref="F305" si="7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305,"Ａ","A"),"Ｂ","B"),"Ｃ","C"),"Ｄ","D"),"Ｅ","E"),"Ｆ","F"),"Ｇ","G"),"Ｈ","H"),"Ｉ","I"),"Ｊ","J"),"Ｋ","K"),"Ｌ","L"),"Ｍ","M"),"Ｎ","N"),"Ｏ","O"),"Ｐ","P"),"Ｑ","Q"),"Ｒ","R"),"Ｓ","S"),"Ｔ","T"),"Ｕ","U"),"Ｖ","V"),"Ｗ","W"),"Ｘ","X"),"Ｙ","Y"),"Ｚ","Z"),"ａ","a"),"ｂ","b"),"ｃ","c"),"ｄ","d"),"ｅ","e"),"ｆ","f"),"ｇ","g"),"ｈ","h"),"ｉ","i"),"ｊ","j"),"ｋ","k"),"ｌ","l"),"ｍ","m"),"ｎ","n"),"ｏ","o"),"ｐ","p"),"ｑ","q"),"ｒ","r"),"ｓ","s"),"ｔ","t"),"ｕ","u"),"ｖ","v"),"ｗ","w"),"ｘ","x"),"ｙ","y"),"ｚ","z"),"＆","&amp;"),"－","-"),"．",".")</f>
        <v/>
      </c>
      <c r="G305" s="15" t="str">
        <f>IF($D305=1,TRIM(CLEAN(F305)),"")&amp;""</f>
        <v/>
      </c>
      <c r="H305" t="str">
        <f>IF(G304&lt;&gt;"",IF(G304="自動車整備士である証明","整備士合格証書番号",LEFT(G304,2)&amp;"番号"),C305)</f>
        <v>認証・指定・認定番号または、整備士合格証書番号</v>
      </c>
      <c r="W305" s="117" t="str">
        <f t="shared" si="63"/>
        <v>OK</v>
      </c>
      <c r="X305" t="str">
        <f t="shared" ca="1" si="72"/>
        <v>認証・指定・認定番号または、整備士合格証書番号を入力してください。</v>
      </c>
      <c r="Y305">
        <f>IF(G305&lt;&gt;"",0,1)</f>
        <v>1</v>
      </c>
      <c r="AA305" t="str">
        <f>H305&amp;"を入力してください。"</f>
        <v>認証・指定・認定番号または、整備士合格証書番号を入力してください。</v>
      </c>
    </row>
    <row r="306" spans="2:28" x14ac:dyDescent="0.15">
      <c r="B306" s="5">
        <v>28</v>
      </c>
      <c r="C306" s="5" t="s">
        <v>54</v>
      </c>
      <c r="D306" s="4">
        <f t="shared" si="62"/>
        <v>0</v>
      </c>
      <c r="E306" s="4"/>
      <c r="F306" s="4" t="s">
        <v>402</v>
      </c>
      <c r="G306" s="15" t="str">
        <f>IF($D306=1,TRIM(CLEAN('入力シート（2事業場以降）'!N75)),"")&amp;""</f>
        <v/>
      </c>
      <c r="W306" s="117" t="str">
        <f t="shared" si="63"/>
        <v>OK</v>
      </c>
      <c r="X306" t="str">
        <f t="shared" ca="1" si="72"/>
        <v>管轄運輸局を入力してください。</v>
      </c>
      <c r="Y306">
        <f>IF(G304&lt;&gt;"自動車整備士である証明",IF(G306&lt;&gt;"",0,1),0)</f>
        <v>1</v>
      </c>
      <c r="AA306" t="str">
        <f>C306&amp;"を入力してください。"</f>
        <v>管轄運輸局を入力してください。</v>
      </c>
    </row>
    <row r="307" spans="2:28" x14ac:dyDescent="0.15">
      <c r="B307" s="5">
        <v>28</v>
      </c>
      <c r="C307" s="5" t="s">
        <v>56</v>
      </c>
      <c r="D307" s="4">
        <f t="shared" si="62"/>
        <v>0</v>
      </c>
      <c r="E307" s="110" t="str">
        <f>DBCS('入力シート（2事業場以降）'!R75)</f>
        <v/>
      </c>
      <c r="F307" s="4" t="str">
        <f>SUBSTITUTE(SUBSTITUTE(SUBSTITUTE(SUBSTITUTE(E307,"　株式会社","株式会社"),"会社　","会社"),"　有限会社","有限会社"),"　合同会社","合同会社")</f>
        <v/>
      </c>
      <c r="G307" s="16" t="str">
        <f>IF($D307=1,TRIM(CLEAN(F307)),"")&amp;""</f>
        <v/>
      </c>
      <c r="W307" s="117" t="str">
        <f t="shared" si="63"/>
        <v>OK</v>
      </c>
      <c r="X307" t="str">
        <f t="shared" ca="1" si="72"/>
        <v>事業場名を入力してください。</v>
      </c>
      <c r="Y307">
        <f>IF(G307&lt;&gt;"",0,1)</f>
        <v>1</v>
      </c>
      <c r="AA307" t="str">
        <f>C307&amp;"を入力してください。"</f>
        <v>事業場名を入力してください。</v>
      </c>
    </row>
    <row r="308" spans="2:28" x14ac:dyDescent="0.15">
      <c r="B308" s="5">
        <v>28</v>
      </c>
      <c r="C308" s="5" t="s">
        <v>24</v>
      </c>
      <c r="D308" s="4">
        <f t="shared" si="62"/>
        <v>0</v>
      </c>
      <c r="E308" s="4"/>
      <c r="F308" s="4"/>
      <c r="G308" s="15" t="str">
        <f>IF($D308=1,TRIM(CLEAN(ASC('入力シート（2事業場以降）'!X75))),"")&amp;""</f>
        <v/>
      </c>
      <c r="H308" s="15" t="str">
        <f>IF($D308=1,TRIM(CLEAN(ASC('入力シート（2事業場以降）'!Z75))),"")&amp;""</f>
        <v/>
      </c>
      <c r="W308" s="117" t="str">
        <f t="shared" si="63"/>
        <v>OK</v>
      </c>
      <c r="X308" t="str">
        <f t="shared" ca="1" si="72"/>
        <v>郵便番号を入力してください。</v>
      </c>
      <c r="Y308">
        <f>IF(AND(LEN(G308)=3,LEN(H308)=4)=TRUE,0,1)</f>
        <v>1</v>
      </c>
      <c r="Z308">
        <f>IFERROR(IF(0&lt;VALUE(G308),0,1),1)</f>
        <v>1</v>
      </c>
      <c r="AA308" t="str">
        <f>C308&amp;"を入力してください。"</f>
        <v>郵便番号を入力してください。</v>
      </c>
      <c r="AB308" t="str">
        <f>"正しい"&amp;C308&amp;"を入力してください。"</f>
        <v>正しい郵便番号を入力してください。</v>
      </c>
    </row>
    <row r="309" spans="2:28" x14ac:dyDescent="0.15">
      <c r="B309" s="5">
        <v>28</v>
      </c>
      <c r="C309" s="5" t="s">
        <v>26</v>
      </c>
      <c r="D309" s="4">
        <f t="shared" si="62"/>
        <v>0</v>
      </c>
      <c r="E309" s="4"/>
      <c r="F309" s="4"/>
      <c r="G309" s="15" t="str">
        <f>IF($D309=1,TRIM(CLEAN('入力シート（2事業場以降）'!AB75)),"")&amp;""</f>
        <v/>
      </c>
      <c r="W309" s="117" t="str">
        <f t="shared" si="63"/>
        <v>OK</v>
      </c>
      <c r="X309" t="str">
        <f t="shared" ca="1" si="72"/>
        <v>都道府県を選択してください。</v>
      </c>
      <c r="Y309">
        <f>IF(G309&lt;&gt;"",0,1)</f>
        <v>1</v>
      </c>
      <c r="AA309" t="str">
        <f>C309&amp;"を選択してください。"</f>
        <v>都道府県を選択してください。</v>
      </c>
    </row>
    <row r="310" spans="2:28" x14ac:dyDescent="0.15">
      <c r="B310" s="5">
        <v>28</v>
      </c>
      <c r="C310" s="5" t="s">
        <v>29</v>
      </c>
      <c r="D310" s="4">
        <f t="shared" si="62"/>
        <v>0</v>
      </c>
      <c r="E310" s="110" t="str">
        <f>DBCS('入力シート（2事業場以降）'!AD75)</f>
        <v/>
      </c>
      <c r="F310" s="4"/>
      <c r="G310" s="15" t="str">
        <f>IF($D310=1,TRIM(CLEAN('入力シート（2事業場以降）'!AD75)),"")&amp;""</f>
        <v/>
      </c>
      <c r="W310" s="117" t="str">
        <f t="shared" si="63"/>
        <v>OK</v>
      </c>
      <c r="X310" t="str">
        <f t="shared" ca="1" si="72"/>
        <v>市区町村を入力してください。</v>
      </c>
      <c r="Y310">
        <f>IF(G310&lt;&gt;"",0,1)</f>
        <v>1</v>
      </c>
      <c r="AA310" t="str">
        <f>C310&amp;"を入力してください。"</f>
        <v>市区町村を入力してください。</v>
      </c>
    </row>
    <row r="311" spans="2:28" x14ac:dyDescent="0.15">
      <c r="B311" s="5">
        <v>28</v>
      </c>
      <c r="C311" s="5" t="s">
        <v>31</v>
      </c>
      <c r="D311" s="4">
        <f t="shared" si="62"/>
        <v>0</v>
      </c>
      <c r="E311" s="110" t="str">
        <f>DBCS('入力シート（2事業場以降）'!AH75)</f>
        <v/>
      </c>
      <c r="F311" s="4"/>
      <c r="G311" s="15" t="str">
        <f>IF($D311=1,TRIM(CLEAN('入力シート（2事業場以降）'!AH75)),"")&amp;""</f>
        <v/>
      </c>
      <c r="W311" s="117" t="str">
        <f t="shared" si="63"/>
        <v>OK</v>
      </c>
      <c r="X311" t="str">
        <f t="shared" ca="1" si="72"/>
        <v>町名地番を入力してください。</v>
      </c>
      <c r="Y311">
        <f>IF(G311&lt;&gt;"",0,1)</f>
        <v>1</v>
      </c>
      <c r="AA311" t="str">
        <f>C311&amp;"を入力してください。"</f>
        <v>町名地番を入力してください。</v>
      </c>
    </row>
    <row r="312" spans="2:28" x14ac:dyDescent="0.15">
      <c r="B312" s="5">
        <v>28</v>
      </c>
      <c r="C312" s="5" t="s">
        <v>34</v>
      </c>
      <c r="D312" s="4">
        <f t="shared" si="62"/>
        <v>0</v>
      </c>
      <c r="E312" s="110" t="str">
        <f>DBCS('入力シート（2事業場以降）'!AL75)</f>
        <v/>
      </c>
      <c r="F312" s="4"/>
      <c r="G312" s="15" t="str">
        <f>IF($D312=1,TRIM(CLEAN('入力シート（2事業場以降）'!AL75)),"")&amp;""</f>
        <v/>
      </c>
      <c r="W312" s="117" t="str">
        <f t="shared" si="63"/>
        <v>OK</v>
      </c>
    </row>
    <row r="313" spans="2:28" x14ac:dyDescent="0.15">
      <c r="B313" s="5">
        <v>29</v>
      </c>
      <c r="C313" s="5" t="s">
        <v>53</v>
      </c>
      <c r="D313" s="4">
        <f t="shared" si="62"/>
        <v>0</v>
      </c>
      <c r="E313" s="4"/>
      <c r="F313" s="4"/>
      <c r="G313" s="16" t="str">
        <f>IF($D313=1,'入力シート（2事業場以降）'!F77,"")&amp;""</f>
        <v/>
      </c>
      <c r="W313" s="117" t="str">
        <f t="shared" si="63"/>
        <v>OK</v>
      </c>
      <c r="X313" t="str">
        <f t="shared" ref="X313:X320" ca="1" si="74">IF(Y313=0,IF(Z313&lt;&gt;0,OFFSET(AA313,0,Z313),$V$1),AA313)</f>
        <v>書類の種類を選択してください。</v>
      </c>
      <c r="Y313">
        <f>IF(G313&lt;&gt;"",0,1)</f>
        <v>1</v>
      </c>
      <c r="AA313" t="str">
        <f>C313&amp;"を選択してください。"</f>
        <v>書類の種類を選択してください。</v>
      </c>
    </row>
    <row r="314" spans="2:28" x14ac:dyDescent="0.15">
      <c r="B314" s="5">
        <v>29</v>
      </c>
      <c r="C314" s="5" t="s">
        <v>424</v>
      </c>
      <c r="D314" s="4">
        <f t="shared" si="62"/>
        <v>0</v>
      </c>
      <c r="E314" s="110" t="str">
        <f>SUBSTITUTE(SUBSTITUTE(SUBSTITUTE(SUBSTITUTE(SUBSTITUTE(SUBSTITUTE(SUBSTITUTE(SUBSTITUTE(SUBSTITUTE(SUBSTITUTE(SUBSTITUTE('入力シート（2事業場以降）'!J77,"０","0"),"１","1"),"２","2"),"３","3"),"４","4"),"５","5"),"６","6"),"７","7"),"８","8"),"９","9"),"．",".")</f>
        <v/>
      </c>
      <c r="F314" s="4" t="str">
        <f t="shared" ref="F314" si="7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314,"Ａ","A"),"Ｂ","B"),"Ｃ","C"),"Ｄ","D"),"Ｅ","E"),"Ｆ","F"),"Ｇ","G"),"Ｈ","H"),"Ｉ","I"),"Ｊ","J"),"Ｋ","K"),"Ｌ","L"),"Ｍ","M"),"Ｎ","N"),"Ｏ","O"),"Ｐ","P"),"Ｑ","Q"),"Ｒ","R"),"Ｓ","S"),"Ｔ","T"),"Ｕ","U"),"Ｖ","V"),"Ｗ","W"),"Ｘ","X"),"Ｙ","Y"),"Ｚ","Z"),"ａ","a"),"ｂ","b"),"ｃ","c"),"ｄ","d"),"ｅ","e"),"ｆ","f"),"ｇ","g"),"ｈ","h"),"ｉ","i"),"ｊ","j"),"ｋ","k"),"ｌ","l"),"ｍ","m"),"ｎ","n"),"ｏ","o"),"ｐ","p"),"ｑ","q"),"ｒ","r"),"ｓ","s"),"ｔ","t"),"ｕ","u"),"ｖ","v"),"ｗ","w"),"ｘ","x"),"ｙ","y"),"ｚ","z"),"＆","&amp;"),"－","-"),"．",".")</f>
        <v/>
      </c>
      <c r="G314" s="15" t="str">
        <f>IF($D314=1,TRIM(CLEAN(F314)),"")&amp;""</f>
        <v/>
      </c>
      <c r="H314" t="str">
        <f>IF(G313&lt;&gt;"",IF(G313="自動車整備士である証明","整備士合格証書番号",LEFT(G313,2)&amp;"番号"),C314)</f>
        <v>認証・指定・認定番号または、整備士合格証書番号</v>
      </c>
      <c r="W314" s="117" t="str">
        <f t="shared" si="63"/>
        <v>OK</v>
      </c>
      <c r="X314" t="str">
        <f t="shared" ca="1" si="74"/>
        <v>認証・指定・認定番号または、整備士合格証書番号を入力してください。</v>
      </c>
      <c r="Y314">
        <f>IF(G314&lt;&gt;"",0,1)</f>
        <v>1</v>
      </c>
      <c r="AA314" t="str">
        <f>H314&amp;"を入力してください。"</f>
        <v>認証・指定・認定番号または、整備士合格証書番号を入力してください。</v>
      </c>
    </row>
    <row r="315" spans="2:28" x14ac:dyDescent="0.15">
      <c r="B315" s="5">
        <v>29</v>
      </c>
      <c r="C315" s="5" t="s">
        <v>54</v>
      </c>
      <c r="D315" s="4">
        <f t="shared" si="62"/>
        <v>0</v>
      </c>
      <c r="E315" s="4"/>
      <c r="F315" s="4" t="s">
        <v>402</v>
      </c>
      <c r="G315" s="15" t="str">
        <f>IF($D315=1,TRIM(CLEAN('入力シート（2事業場以降）'!N77)),"")&amp;""</f>
        <v/>
      </c>
      <c r="W315" s="117" t="str">
        <f t="shared" si="63"/>
        <v>OK</v>
      </c>
      <c r="X315" t="str">
        <f t="shared" ca="1" si="74"/>
        <v>管轄運輸局を入力してください。</v>
      </c>
      <c r="Y315">
        <f>IF(G313&lt;&gt;"自動車整備士である証明",IF(G315&lt;&gt;"",0,1),0)</f>
        <v>1</v>
      </c>
      <c r="AA315" t="str">
        <f>C315&amp;"を入力してください。"</f>
        <v>管轄運輸局を入力してください。</v>
      </c>
    </row>
    <row r="316" spans="2:28" x14ac:dyDescent="0.15">
      <c r="B316" s="5">
        <v>29</v>
      </c>
      <c r="C316" s="5" t="s">
        <v>56</v>
      </c>
      <c r="D316" s="4">
        <f t="shared" si="62"/>
        <v>0</v>
      </c>
      <c r="E316" s="110" t="str">
        <f>DBCS('入力シート（2事業場以降）'!R77)</f>
        <v/>
      </c>
      <c r="F316" s="4" t="str">
        <f>SUBSTITUTE(SUBSTITUTE(SUBSTITUTE(SUBSTITUTE(E316,"　株式会社","株式会社"),"会社　","会社"),"　有限会社","有限会社"),"　合同会社","合同会社")</f>
        <v/>
      </c>
      <c r="G316" s="16" t="str">
        <f>IF($D316=1,TRIM(CLEAN(F316)),"")&amp;""</f>
        <v/>
      </c>
      <c r="W316" s="117" t="str">
        <f t="shared" si="63"/>
        <v>OK</v>
      </c>
      <c r="X316" t="str">
        <f t="shared" ca="1" si="74"/>
        <v>事業場名を入力してください。</v>
      </c>
      <c r="Y316">
        <f>IF(G316&lt;&gt;"",0,1)</f>
        <v>1</v>
      </c>
      <c r="AA316" t="str">
        <f>C316&amp;"を入力してください。"</f>
        <v>事業場名を入力してください。</v>
      </c>
    </row>
    <row r="317" spans="2:28" x14ac:dyDescent="0.15">
      <c r="B317" s="5">
        <v>29</v>
      </c>
      <c r="C317" s="5" t="s">
        <v>24</v>
      </c>
      <c r="D317" s="4">
        <f t="shared" si="62"/>
        <v>0</v>
      </c>
      <c r="E317" s="4"/>
      <c r="F317" s="4"/>
      <c r="G317" s="15" t="str">
        <f>IF($D317=1,TRIM(CLEAN(ASC('入力シート（2事業場以降）'!X77))),"")&amp;""</f>
        <v/>
      </c>
      <c r="H317" s="15" t="str">
        <f>IF($D317=1,TRIM(CLEAN(ASC('入力シート（2事業場以降）'!Z77))),"")&amp;""</f>
        <v/>
      </c>
      <c r="W317" s="117" t="str">
        <f t="shared" si="63"/>
        <v>OK</v>
      </c>
      <c r="X317" t="str">
        <f t="shared" ca="1" si="74"/>
        <v>郵便番号を入力してください。</v>
      </c>
      <c r="Y317">
        <f>IF(AND(LEN(G317)=3,LEN(H317)=4)=TRUE,0,1)</f>
        <v>1</v>
      </c>
      <c r="Z317">
        <f>IFERROR(IF(0&lt;VALUE(G317),0,1),1)</f>
        <v>1</v>
      </c>
      <c r="AA317" t="str">
        <f>C317&amp;"を入力してください。"</f>
        <v>郵便番号を入力してください。</v>
      </c>
      <c r="AB317" t="str">
        <f>"正しい"&amp;C317&amp;"を入力してください。"</f>
        <v>正しい郵便番号を入力してください。</v>
      </c>
    </row>
    <row r="318" spans="2:28" x14ac:dyDescent="0.15">
      <c r="B318" s="5">
        <v>29</v>
      </c>
      <c r="C318" s="5" t="s">
        <v>26</v>
      </c>
      <c r="D318" s="4">
        <f t="shared" si="62"/>
        <v>0</v>
      </c>
      <c r="E318" s="4"/>
      <c r="F318" s="4"/>
      <c r="G318" s="15" t="str">
        <f>IF($D318=1,TRIM(CLEAN('入力シート（2事業場以降）'!AB77)),"")&amp;""</f>
        <v/>
      </c>
      <c r="W318" s="117" t="str">
        <f t="shared" si="63"/>
        <v>OK</v>
      </c>
      <c r="X318" t="str">
        <f t="shared" ca="1" si="74"/>
        <v>都道府県を選択してください。</v>
      </c>
      <c r="Y318">
        <f>IF(G318&lt;&gt;"",0,1)</f>
        <v>1</v>
      </c>
      <c r="AA318" t="str">
        <f>C318&amp;"を選択してください。"</f>
        <v>都道府県を選択してください。</v>
      </c>
    </row>
    <row r="319" spans="2:28" x14ac:dyDescent="0.15">
      <c r="B319" s="5">
        <v>29</v>
      </c>
      <c r="C319" s="5" t="s">
        <v>29</v>
      </c>
      <c r="D319" s="4">
        <f t="shared" si="62"/>
        <v>0</v>
      </c>
      <c r="E319" s="110" t="str">
        <f>DBCS('入力シート（2事業場以降）'!AD77)</f>
        <v/>
      </c>
      <c r="F319" s="4"/>
      <c r="G319" s="15" t="str">
        <f>IF($D319=1,TRIM(CLEAN('入力シート（2事業場以降）'!AD77)),"")&amp;""</f>
        <v/>
      </c>
      <c r="W319" s="117" t="str">
        <f t="shared" si="63"/>
        <v>OK</v>
      </c>
      <c r="X319" t="str">
        <f t="shared" ca="1" si="74"/>
        <v>市区町村を入力してください。</v>
      </c>
      <c r="Y319">
        <f>IF(G319&lt;&gt;"",0,1)</f>
        <v>1</v>
      </c>
      <c r="AA319" t="str">
        <f>C319&amp;"を入力してください。"</f>
        <v>市区町村を入力してください。</v>
      </c>
    </row>
    <row r="320" spans="2:28" x14ac:dyDescent="0.15">
      <c r="B320" s="5">
        <v>29</v>
      </c>
      <c r="C320" s="5" t="s">
        <v>31</v>
      </c>
      <c r="D320" s="4">
        <f t="shared" si="62"/>
        <v>0</v>
      </c>
      <c r="E320" s="110" t="str">
        <f>DBCS('入力シート（2事業場以降）'!AH77)</f>
        <v/>
      </c>
      <c r="F320" s="4"/>
      <c r="G320" s="15" t="str">
        <f>IF($D320=1,TRIM(CLEAN('入力シート（2事業場以降）'!AH77)),"")&amp;""</f>
        <v/>
      </c>
      <c r="W320" s="117" t="str">
        <f t="shared" si="63"/>
        <v>OK</v>
      </c>
      <c r="X320" t="str">
        <f t="shared" ca="1" si="74"/>
        <v>町名地番を入力してください。</v>
      </c>
      <c r="Y320">
        <f>IF(G320&lt;&gt;"",0,1)</f>
        <v>1</v>
      </c>
      <c r="AA320" t="str">
        <f>C320&amp;"を入力してください。"</f>
        <v>町名地番を入力してください。</v>
      </c>
    </row>
    <row r="321" spans="2:28" x14ac:dyDescent="0.15">
      <c r="B321" s="5">
        <v>29</v>
      </c>
      <c r="C321" s="5" t="s">
        <v>34</v>
      </c>
      <c r="D321" s="4">
        <f t="shared" si="62"/>
        <v>0</v>
      </c>
      <c r="E321" s="110" t="str">
        <f>DBCS('入力シート（2事業場以降）'!AL77)</f>
        <v/>
      </c>
      <c r="F321" s="4"/>
      <c r="G321" s="15" t="str">
        <f>IF($D321=1,TRIM(CLEAN('入力シート（2事業場以降）'!AL77)),"")&amp;""</f>
        <v/>
      </c>
      <c r="W321" s="117" t="str">
        <f t="shared" si="63"/>
        <v>OK</v>
      </c>
    </row>
    <row r="322" spans="2:28" x14ac:dyDescent="0.15">
      <c r="B322" s="5">
        <v>30</v>
      </c>
      <c r="C322" s="5" t="s">
        <v>53</v>
      </c>
      <c r="D322" s="4">
        <f t="shared" si="62"/>
        <v>0</v>
      </c>
      <c r="E322" s="4"/>
      <c r="F322" s="4"/>
      <c r="G322" s="16" t="str">
        <f>IF($D322=1,'入力シート（2事業場以降）'!F79,"")&amp;""</f>
        <v/>
      </c>
      <c r="W322" s="117" t="str">
        <f t="shared" si="63"/>
        <v>OK</v>
      </c>
      <c r="X322" t="str">
        <f t="shared" ref="X322:X329" ca="1" si="76">IF(Y322=0,IF(Z322&lt;&gt;0,OFFSET(AA322,0,Z322),$V$1),AA322)</f>
        <v>書類の種類を選択してください。</v>
      </c>
      <c r="Y322">
        <f>IF(G322&lt;&gt;"",0,1)</f>
        <v>1</v>
      </c>
      <c r="AA322" t="str">
        <f>C322&amp;"を選択してください。"</f>
        <v>書類の種類を選択してください。</v>
      </c>
    </row>
    <row r="323" spans="2:28" x14ac:dyDescent="0.15">
      <c r="B323" s="5">
        <v>30</v>
      </c>
      <c r="C323" s="5" t="s">
        <v>424</v>
      </c>
      <c r="D323" s="4">
        <f t="shared" si="62"/>
        <v>0</v>
      </c>
      <c r="E323" s="110" t="str">
        <f>SUBSTITUTE(SUBSTITUTE(SUBSTITUTE(SUBSTITUTE(SUBSTITUTE(SUBSTITUTE(SUBSTITUTE(SUBSTITUTE(SUBSTITUTE(SUBSTITUTE(SUBSTITUTE('入力シート（2事業場以降）'!J79,"０","0"),"１","1"),"２","2"),"３","3"),"４","4"),"５","5"),"６","6"),"７","7"),"８","8"),"９","9"),"．",".")</f>
        <v/>
      </c>
      <c r="F323" s="4" t="str">
        <f t="shared" ref="F323" si="7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323,"Ａ","A"),"Ｂ","B"),"Ｃ","C"),"Ｄ","D"),"Ｅ","E"),"Ｆ","F"),"Ｇ","G"),"Ｈ","H"),"Ｉ","I"),"Ｊ","J"),"Ｋ","K"),"Ｌ","L"),"Ｍ","M"),"Ｎ","N"),"Ｏ","O"),"Ｐ","P"),"Ｑ","Q"),"Ｒ","R"),"Ｓ","S"),"Ｔ","T"),"Ｕ","U"),"Ｖ","V"),"Ｗ","W"),"Ｘ","X"),"Ｙ","Y"),"Ｚ","Z"),"ａ","a"),"ｂ","b"),"ｃ","c"),"ｄ","d"),"ｅ","e"),"ｆ","f"),"ｇ","g"),"ｈ","h"),"ｉ","i"),"ｊ","j"),"ｋ","k"),"ｌ","l"),"ｍ","m"),"ｎ","n"),"ｏ","o"),"ｐ","p"),"ｑ","q"),"ｒ","r"),"ｓ","s"),"ｔ","t"),"ｕ","u"),"ｖ","v"),"ｗ","w"),"ｘ","x"),"ｙ","y"),"ｚ","z"),"＆","&amp;"),"－","-"),"．",".")</f>
        <v/>
      </c>
      <c r="G323" s="15" t="str">
        <f>IF($D323=1,TRIM(CLEAN(F323)),"")&amp;""</f>
        <v/>
      </c>
      <c r="H323" t="str">
        <f>IF(G322&lt;&gt;"",IF(G322="自動車整備士である証明","整備士合格証書番号",LEFT(G322,2)&amp;"番号"),C323)</f>
        <v>認証・指定・認定番号または、整備士合格証書番号</v>
      </c>
      <c r="W323" s="117" t="str">
        <f t="shared" si="63"/>
        <v>OK</v>
      </c>
      <c r="X323" t="str">
        <f t="shared" ca="1" si="76"/>
        <v>認証・指定・認定番号または、整備士合格証書番号を入力してください。</v>
      </c>
      <c r="Y323">
        <f>IF(G323&lt;&gt;"",0,1)</f>
        <v>1</v>
      </c>
      <c r="AA323" t="str">
        <f>H323&amp;"を入力してください。"</f>
        <v>認証・指定・認定番号または、整備士合格証書番号を入力してください。</v>
      </c>
    </row>
    <row r="324" spans="2:28" x14ac:dyDescent="0.15">
      <c r="B324" s="5">
        <v>30</v>
      </c>
      <c r="C324" s="5" t="s">
        <v>54</v>
      </c>
      <c r="D324" s="4">
        <f t="shared" si="62"/>
        <v>0</v>
      </c>
      <c r="E324" s="4"/>
      <c r="F324" s="4" t="s">
        <v>402</v>
      </c>
      <c r="G324" s="15" t="str">
        <f>IF($D324=1,TRIM(CLEAN('入力シート（2事業場以降）'!N79)),"")&amp;""</f>
        <v/>
      </c>
      <c r="W324" s="117" t="str">
        <f t="shared" si="63"/>
        <v>OK</v>
      </c>
      <c r="X324" t="str">
        <f t="shared" ca="1" si="76"/>
        <v>管轄運輸局を入力してください。</v>
      </c>
      <c r="Y324">
        <f>IF(G322&lt;&gt;"自動車整備士である証明",IF(G324&lt;&gt;"",0,1),0)</f>
        <v>1</v>
      </c>
      <c r="AA324" t="str">
        <f>C324&amp;"を入力してください。"</f>
        <v>管轄運輸局を入力してください。</v>
      </c>
    </row>
    <row r="325" spans="2:28" x14ac:dyDescent="0.15">
      <c r="B325" s="5">
        <v>30</v>
      </c>
      <c r="C325" s="5" t="s">
        <v>56</v>
      </c>
      <c r="D325" s="4">
        <f t="shared" si="62"/>
        <v>0</v>
      </c>
      <c r="E325" s="110" t="str">
        <f>DBCS('入力シート（2事業場以降）'!R79)</f>
        <v/>
      </c>
      <c r="F325" s="4" t="str">
        <f>SUBSTITUTE(SUBSTITUTE(SUBSTITUTE(SUBSTITUTE(E325,"　株式会社","株式会社"),"会社　","会社"),"　有限会社","有限会社"),"　合同会社","合同会社")</f>
        <v/>
      </c>
      <c r="G325" s="16" t="str">
        <f>IF($D325=1,TRIM(CLEAN(F325)),"")&amp;""</f>
        <v/>
      </c>
      <c r="W325" s="117" t="str">
        <f t="shared" si="63"/>
        <v>OK</v>
      </c>
      <c r="X325" t="str">
        <f t="shared" ca="1" si="76"/>
        <v>事業場名を入力してください。</v>
      </c>
      <c r="Y325">
        <f>IF(G325&lt;&gt;"",0,1)</f>
        <v>1</v>
      </c>
      <c r="AA325" t="str">
        <f>C325&amp;"を入力してください。"</f>
        <v>事業場名を入力してください。</v>
      </c>
    </row>
    <row r="326" spans="2:28" x14ac:dyDescent="0.15">
      <c r="B326" s="5">
        <v>30</v>
      </c>
      <c r="C326" s="5" t="s">
        <v>24</v>
      </c>
      <c r="D326" s="4">
        <f t="shared" si="62"/>
        <v>0</v>
      </c>
      <c r="E326" s="4"/>
      <c r="F326" s="4"/>
      <c r="G326" s="15" t="str">
        <f>IF($D326=1,TRIM(CLEAN(ASC('入力シート（2事業場以降）'!X79))),"")&amp;""</f>
        <v/>
      </c>
      <c r="H326" s="15" t="str">
        <f>IF($D326=1,TRIM(CLEAN(ASC('入力シート（2事業場以降）'!Z79))),"")&amp;""</f>
        <v/>
      </c>
      <c r="W326" s="117" t="str">
        <f t="shared" si="63"/>
        <v>OK</v>
      </c>
      <c r="X326" t="str">
        <f t="shared" ca="1" si="76"/>
        <v>郵便番号を入力してください。</v>
      </c>
      <c r="Y326">
        <f>IF(AND(LEN(G326)=3,LEN(H326)=4)=TRUE,0,1)</f>
        <v>1</v>
      </c>
      <c r="Z326">
        <f>IFERROR(IF(0&lt;VALUE(G326),0,1),1)</f>
        <v>1</v>
      </c>
      <c r="AA326" t="str">
        <f>C326&amp;"を入力してください。"</f>
        <v>郵便番号を入力してください。</v>
      </c>
      <c r="AB326" t="str">
        <f>"正しい"&amp;C326&amp;"を入力してください。"</f>
        <v>正しい郵便番号を入力してください。</v>
      </c>
    </row>
    <row r="327" spans="2:28" x14ac:dyDescent="0.15">
      <c r="B327" s="5">
        <v>30</v>
      </c>
      <c r="C327" s="5" t="s">
        <v>26</v>
      </c>
      <c r="D327" s="4">
        <f t="shared" ref="D327:D390" si="78">IF(AND(B327&lt;=$G$60),1,0)</f>
        <v>0</v>
      </c>
      <c r="E327" s="4"/>
      <c r="F327" s="4"/>
      <c r="G327" s="15" t="str">
        <f>IF($D327=1,TRIM(CLEAN('入力シート（2事業場以降）'!AB79)),"")&amp;""</f>
        <v/>
      </c>
      <c r="W327" s="117" t="str">
        <f t="shared" ref="W327:W390" si="79">IF(B327&lt;=$G$60,IF(X327="OK",X327,"NG"),"OK")</f>
        <v>OK</v>
      </c>
      <c r="X327" t="str">
        <f t="shared" ca="1" si="76"/>
        <v>都道府県を選択してください。</v>
      </c>
      <c r="Y327">
        <f>IF(G327&lt;&gt;"",0,1)</f>
        <v>1</v>
      </c>
      <c r="AA327" t="str">
        <f>C327&amp;"を選択してください。"</f>
        <v>都道府県を選択してください。</v>
      </c>
    </row>
    <row r="328" spans="2:28" x14ac:dyDescent="0.15">
      <c r="B328" s="5">
        <v>30</v>
      </c>
      <c r="C328" s="5" t="s">
        <v>29</v>
      </c>
      <c r="D328" s="4">
        <f t="shared" si="78"/>
        <v>0</v>
      </c>
      <c r="E328" s="110" t="str">
        <f>DBCS('入力シート（2事業場以降）'!AD79)</f>
        <v/>
      </c>
      <c r="F328" s="4"/>
      <c r="G328" s="15" t="str">
        <f>IF($D328=1,TRIM(CLEAN('入力シート（2事業場以降）'!AD79)),"")&amp;""</f>
        <v/>
      </c>
      <c r="W328" s="117" t="str">
        <f t="shared" si="79"/>
        <v>OK</v>
      </c>
      <c r="X328" t="str">
        <f t="shared" ca="1" si="76"/>
        <v>市区町村を入力してください。</v>
      </c>
      <c r="Y328">
        <f>IF(G328&lt;&gt;"",0,1)</f>
        <v>1</v>
      </c>
      <c r="AA328" t="str">
        <f>C328&amp;"を入力してください。"</f>
        <v>市区町村を入力してください。</v>
      </c>
    </row>
    <row r="329" spans="2:28" x14ac:dyDescent="0.15">
      <c r="B329" s="5">
        <v>30</v>
      </c>
      <c r="C329" s="5" t="s">
        <v>31</v>
      </c>
      <c r="D329" s="4">
        <f t="shared" si="78"/>
        <v>0</v>
      </c>
      <c r="E329" s="110" t="str">
        <f>DBCS('入力シート（2事業場以降）'!AH79)</f>
        <v/>
      </c>
      <c r="F329" s="4"/>
      <c r="G329" s="15" t="str">
        <f>IF($D329=1,TRIM(CLEAN('入力シート（2事業場以降）'!AH79)),"")&amp;""</f>
        <v/>
      </c>
      <c r="W329" s="117" t="str">
        <f t="shared" si="79"/>
        <v>OK</v>
      </c>
      <c r="X329" t="str">
        <f t="shared" ca="1" si="76"/>
        <v>町名地番を入力してください。</v>
      </c>
      <c r="Y329">
        <f>IF(G329&lt;&gt;"",0,1)</f>
        <v>1</v>
      </c>
      <c r="AA329" t="str">
        <f>C329&amp;"を入力してください。"</f>
        <v>町名地番を入力してください。</v>
      </c>
    </row>
    <row r="330" spans="2:28" x14ac:dyDescent="0.15">
      <c r="B330" s="5">
        <v>30</v>
      </c>
      <c r="C330" s="5" t="s">
        <v>34</v>
      </c>
      <c r="D330" s="4">
        <f t="shared" si="78"/>
        <v>0</v>
      </c>
      <c r="E330" s="110" t="str">
        <f>DBCS('入力シート（2事業場以降）'!AL79)</f>
        <v/>
      </c>
      <c r="F330" s="4"/>
      <c r="G330" s="15" t="str">
        <f>IF($D330=1,TRIM(CLEAN('入力シート（2事業場以降）'!AL79)),"")&amp;""</f>
        <v/>
      </c>
      <c r="W330" s="117" t="str">
        <f t="shared" si="79"/>
        <v>OK</v>
      </c>
    </row>
    <row r="331" spans="2:28" x14ac:dyDescent="0.15">
      <c r="B331" s="5">
        <v>31</v>
      </c>
      <c r="C331" s="5" t="s">
        <v>53</v>
      </c>
      <c r="D331" s="4">
        <f t="shared" si="78"/>
        <v>0</v>
      </c>
      <c r="E331" s="4"/>
      <c r="F331" s="4"/>
      <c r="G331" s="16" t="str">
        <f>IF($D331=1,'入力シート（2事業場以降）'!F81,"")&amp;""</f>
        <v/>
      </c>
      <c r="W331" s="117" t="str">
        <f t="shared" si="79"/>
        <v>OK</v>
      </c>
      <c r="X331" t="str">
        <f t="shared" ref="X331:X338" ca="1" si="80">IF(Y331=0,IF(Z331&lt;&gt;0,OFFSET(AA331,0,Z331),$V$1),AA331)</f>
        <v>書類の種類を選択してください。</v>
      </c>
      <c r="Y331">
        <f>IF(G331&lt;&gt;"",0,1)</f>
        <v>1</v>
      </c>
      <c r="AA331" t="str">
        <f>C331&amp;"を選択してください。"</f>
        <v>書類の種類を選択してください。</v>
      </c>
    </row>
    <row r="332" spans="2:28" x14ac:dyDescent="0.15">
      <c r="B332" s="5">
        <v>31</v>
      </c>
      <c r="C332" s="5" t="s">
        <v>424</v>
      </c>
      <c r="D332" s="4">
        <f t="shared" si="78"/>
        <v>0</v>
      </c>
      <c r="E332" s="110" t="str">
        <f>SUBSTITUTE(SUBSTITUTE(SUBSTITUTE(SUBSTITUTE(SUBSTITUTE(SUBSTITUTE(SUBSTITUTE(SUBSTITUTE(SUBSTITUTE(SUBSTITUTE(SUBSTITUTE('入力シート（2事業場以降）'!J81,"０","0"),"１","1"),"２","2"),"３","3"),"４","4"),"５","5"),"６","6"),"７","7"),"８","8"),"９","9"),"．",".")</f>
        <v/>
      </c>
      <c r="F332" s="4" t="str">
        <f t="shared" ref="F332" si="8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332,"Ａ","A"),"Ｂ","B"),"Ｃ","C"),"Ｄ","D"),"Ｅ","E"),"Ｆ","F"),"Ｇ","G"),"Ｈ","H"),"Ｉ","I"),"Ｊ","J"),"Ｋ","K"),"Ｌ","L"),"Ｍ","M"),"Ｎ","N"),"Ｏ","O"),"Ｐ","P"),"Ｑ","Q"),"Ｒ","R"),"Ｓ","S"),"Ｔ","T"),"Ｕ","U"),"Ｖ","V"),"Ｗ","W"),"Ｘ","X"),"Ｙ","Y"),"Ｚ","Z"),"ａ","a"),"ｂ","b"),"ｃ","c"),"ｄ","d"),"ｅ","e"),"ｆ","f"),"ｇ","g"),"ｈ","h"),"ｉ","i"),"ｊ","j"),"ｋ","k"),"ｌ","l"),"ｍ","m"),"ｎ","n"),"ｏ","o"),"ｐ","p"),"ｑ","q"),"ｒ","r"),"ｓ","s"),"ｔ","t"),"ｕ","u"),"ｖ","v"),"ｗ","w"),"ｘ","x"),"ｙ","y"),"ｚ","z"),"＆","&amp;"),"－","-"),"．",".")</f>
        <v/>
      </c>
      <c r="G332" s="15" t="str">
        <f>IF($D332=1,TRIM(CLEAN(F332)),"")&amp;""</f>
        <v/>
      </c>
      <c r="H332" t="str">
        <f>IF(G331&lt;&gt;"",IF(G331="自動車整備士である証明","整備士合格証書番号",LEFT(G331,2)&amp;"番号"),C332)</f>
        <v>認証・指定・認定番号または、整備士合格証書番号</v>
      </c>
      <c r="W332" s="117" t="str">
        <f t="shared" si="79"/>
        <v>OK</v>
      </c>
      <c r="X332" t="str">
        <f t="shared" ca="1" si="80"/>
        <v>認証・指定・認定番号または、整備士合格証書番号を入力してください。</v>
      </c>
      <c r="Y332">
        <f>IF(G332&lt;&gt;"",0,1)</f>
        <v>1</v>
      </c>
      <c r="AA332" t="str">
        <f>H332&amp;"を入力してください。"</f>
        <v>認証・指定・認定番号または、整備士合格証書番号を入力してください。</v>
      </c>
    </row>
    <row r="333" spans="2:28" x14ac:dyDescent="0.15">
      <c r="B333" s="5">
        <v>31</v>
      </c>
      <c r="C333" s="5" t="s">
        <v>155</v>
      </c>
      <c r="D333" s="4">
        <f t="shared" si="78"/>
        <v>0</v>
      </c>
      <c r="E333" s="4"/>
      <c r="F333" s="4" t="s">
        <v>402</v>
      </c>
      <c r="G333" s="15" t="str">
        <f>IF($D333=1,TRIM(CLEAN('入力シート（2事業場以降）'!N81)),"")&amp;""</f>
        <v/>
      </c>
      <c r="W333" s="117" t="str">
        <f t="shared" si="79"/>
        <v>OK</v>
      </c>
      <c r="X333" t="str">
        <f t="shared" ca="1" si="80"/>
        <v>管轄運輸局を入力してください。</v>
      </c>
      <c r="Y333">
        <f>IF(G331&lt;&gt;"自動車整備士である証明",IF(G333&lt;&gt;"",0,1),0)</f>
        <v>1</v>
      </c>
      <c r="AA333" t="str">
        <f>C333&amp;"を入力してください。"</f>
        <v>管轄運輸局を入力してください。</v>
      </c>
    </row>
    <row r="334" spans="2:28" x14ac:dyDescent="0.15">
      <c r="B334" s="5">
        <v>31</v>
      </c>
      <c r="C334" s="5" t="s">
        <v>56</v>
      </c>
      <c r="D334" s="4">
        <f t="shared" si="78"/>
        <v>0</v>
      </c>
      <c r="E334" s="110" t="str">
        <f>DBCS('入力シート（2事業場以降）'!R81)</f>
        <v/>
      </c>
      <c r="F334" s="4" t="str">
        <f>SUBSTITUTE(SUBSTITUTE(SUBSTITUTE(SUBSTITUTE(E334,"　株式会社","株式会社"),"会社　","会社"),"　有限会社","有限会社"),"　合同会社","合同会社")</f>
        <v/>
      </c>
      <c r="G334" s="16" t="str">
        <f>IF($D334=1,TRIM(CLEAN(F334)),"")&amp;""</f>
        <v/>
      </c>
      <c r="W334" s="117" t="str">
        <f t="shared" si="79"/>
        <v>OK</v>
      </c>
      <c r="X334" t="str">
        <f t="shared" ca="1" si="80"/>
        <v>事業場名を入力してください。</v>
      </c>
      <c r="Y334">
        <f>IF(G334&lt;&gt;"",0,1)</f>
        <v>1</v>
      </c>
      <c r="AA334" t="str">
        <f>C334&amp;"を入力してください。"</f>
        <v>事業場名を入力してください。</v>
      </c>
    </row>
    <row r="335" spans="2:28" x14ac:dyDescent="0.15">
      <c r="B335" s="5">
        <v>31</v>
      </c>
      <c r="C335" s="5" t="s">
        <v>24</v>
      </c>
      <c r="D335" s="4">
        <f t="shared" si="78"/>
        <v>0</v>
      </c>
      <c r="E335" s="4"/>
      <c r="F335" s="4"/>
      <c r="G335" s="15" t="str">
        <f>IF($D335=1,TRIM(CLEAN(ASC('入力シート（2事業場以降）'!X81))),"")&amp;""</f>
        <v/>
      </c>
      <c r="H335" s="15" t="str">
        <f>IF($D335=1,TRIM(CLEAN(ASC('入力シート（2事業場以降）'!Z81))),"")&amp;""</f>
        <v/>
      </c>
      <c r="W335" s="117" t="str">
        <f t="shared" si="79"/>
        <v>OK</v>
      </c>
      <c r="X335" t="str">
        <f t="shared" ca="1" si="80"/>
        <v>郵便番号を入力してください。</v>
      </c>
      <c r="Y335">
        <f>IF(AND(LEN(G335)=3,LEN(H335)=4)=TRUE,0,1)</f>
        <v>1</v>
      </c>
      <c r="Z335">
        <f>IFERROR(IF(0&lt;VALUE(G335),0,1),1)</f>
        <v>1</v>
      </c>
      <c r="AA335" t="str">
        <f>C335&amp;"を入力してください。"</f>
        <v>郵便番号を入力してください。</v>
      </c>
      <c r="AB335" t="str">
        <f>"正しい"&amp;C335&amp;"を入力してください。"</f>
        <v>正しい郵便番号を入力してください。</v>
      </c>
    </row>
    <row r="336" spans="2:28" x14ac:dyDescent="0.15">
      <c r="B336" s="5">
        <v>31</v>
      </c>
      <c r="C336" s="5" t="s">
        <v>26</v>
      </c>
      <c r="D336" s="4">
        <f t="shared" si="78"/>
        <v>0</v>
      </c>
      <c r="E336" s="4"/>
      <c r="F336" s="4"/>
      <c r="G336" s="15" t="str">
        <f>IF($D336=1,TRIM(CLEAN('入力シート（2事業場以降）'!AB81)),"")&amp;""</f>
        <v/>
      </c>
      <c r="W336" s="117" t="str">
        <f t="shared" si="79"/>
        <v>OK</v>
      </c>
      <c r="X336" t="str">
        <f t="shared" ca="1" si="80"/>
        <v>都道府県を選択してください。</v>
      </c>
      <c r="Y336">
        <f>IF(G336&lt;&gt;"",0,1)</f>
        <v>1</v>
      </c>
      <c r="AA336" t="str">
        <f>C336&amp;"を選択してください。"</f>
        <v>都道府県を選択してください。</v>
      </c>
    </row>
    <row r="337" spans="2:28" x14ac:dyDescent="0.15">
      <c r="B337" s="5">
        <v>31</v>
      </c>
      <c r="C337" s="5" t="s">
        <v>29</v>
      </c>
      <c r="D337" s="4">
        <f t="shared" si="78"/>
        <v>0</v>
      </c>
      <c r="E337" s="110" t="str">
        <f>DBCS('入力シート（2事業場以降）'!$AD81)</f>
        <v/>
      </c>
      <c r="F337" s="4"/>
      <c r="G337" s="15" t="str">
        <f>IF($D337=1,TRIM(CLEAN('入力シート（2事業場以降）'!AD81)),"")&amp;""</f>
        <v/>
      </c>
      <c r="W337" s="117" t="str">
        <f t="shared" si="79"/>
        <v>OK</v>
      </c>
      <c r="X337" t="str">
        <f t="shared" ca="1" si="80"/>
        <v>市区町村を入力してください。</v>
      </c>
      <c r="Y337">
        <f>IF(G337&lt;&gt;"",0,1)</f>
        <v>1</v>
      </c>
      <c r="AA337" t="str">
        <f>C337&amp;"を入力してください。"</f>
        <v>市区町村を入力してください。</v>
      </c>
    </row>
    <row r="338" spans="2:28" x14ac:dyDescent="0.15">
      <c r="B338" s="5">
        <v>31</v>
      </c>
      <c r="C338" s="5" t="s">
        <v>31</v>
      </c>
      <c r="D338" s="4">
        <f t="shared" si="78"/>
        <v>0</v>
      </c>
      <c r="E338" s="110" t="str">
        <f>DBCS('入力シート（2事業場以降）'!$AH81)</f>
        <v/>
      </c>
      <c r="F338" s="4"/>
      <c r="G338" s="15" t="str">
        <f>IF($D338=1,TRIM(CLEAN('入力シート（2事業場以降）'!AH81)),"")&amp;""</f>
        <v/>
      </c>
      <c r="W338" s="117" t="str">
        <f t="shared" si="79"/>
        <v>OK</v>
      </c>
      <c r="X338" t="str">
        <f t="shared" ca="1" si="80"/>
        <v>町名地番を入力してください。</v>
      </c>
      <c r="Y338">
        <f>IF(G338&lt;&gt;"",0,1)</f>
        <v>1</v>
      </c>
      <c r="AA338" t="str">
        <f>C338&amp;"を入力してください。"</f>
        <v>町名地番を入力してください。</v>
      </c>
    </row>
    <row r="339" spans="2:28" x14ac:dyDescent="0.15">
      <c r="B339" s="5">
        <v>31</v>
      </c>
      <c r="C339" s="5" t="s">
        <v>34</v>
      </c>
      <c r="D339" s="4">
        <f t="shared" si="78"/>
        <v>0</v>
      </c>
      <c r="E339" s="110" t="str">
        <f>DBCS('入力シート（2事業場以降）'!$AL81)</f>
        <v/>
      </c>
      <c r="F339" s="4"/>
      <c r="G339" s="15" t="str">
        <f>IF($D339=1,TRIM(CLEAN('入力シート（2事業場以降）'!AL81)),"")&amp;""</f>
        <v/>
      </c>
      <c r="W339" s="117" t="str">
        <f t="shared" si="79"/>
        <v>OK</v>
      </c>
    </row>
    <row r="340" spans="2:28" x14ac:dyDescent="0.15">
      <c r="B340" s="5">
        <v>32</v>
      </c>
      <c r="C340" s="5" t="s">
        <v>53</v>
      </c>
      <c r="D340" s="4">
        <f t="shared" si="78"/>
        <v>0</v>
      </c>
      <c r="E340" s="4"/>
      <c r="F340" s="4"/>
      <c r="G340" s="16" t="str">
        <f>IF($D340=1,'入力シート（2事業場以降）'!F83,"")&amp;""</f>
        <v/>
      </c>
      <c r="W340" s="117" t="str">
        <f t="shared" si="79"/>
        <v>OK</v>
      </c>
      <c r="X340" t="str">
        <f t="shared" ref="X340:X347" ca="1" si="82">IF(Y340=0,IF(Z340&lt;&gt;0,OFFSET(AA340,0,Z340),$V$1),AA340)</f>
        <v>書類の種類を選択してください。</v>
      </c>
      <c r="Y340">
        <f>IF(G340&lt;&gt;"",0,1)</f>
        <v>1</v>
      </c>
      <c r="AA340" t="str">
        <f>C340&amp;"を選択してください。"</f>
        <v>書類の種類を選択してください。</v>
      </c>
    </row>
    <row r="341" spans="2:28" x14ac:dyDescent="0.15">
      <c r="B341" s="5">
        <v>32</v>
      </c>
      <c r="C341" s="5" t="s">
        <v>424</v>
      </c>
      <c r="D341" s="4">
        <f t="shared" si="78"/>
        <v>0</v>
      </c>
      <c r="E341" s="110" t="str">
        <f>SUBSTITUTE(SUBSTITUTE(SUBSTITUTE(SUBSTITUTE(SUBSTITUTE(SUBSTITUTE(SUBSTITUTE(SUBSTITUTE(SUBSTITUTE(SUBSTITUTE(SUBSTITUTE('入力シート（2事業場以降）'!J83,"０","0"),"１","1"),"２","2"),"３","3"),"４","4"),"５","5"),"６","6"),"７","7"),"８","8"),"９","9"),"．",".")</f>
        <v/>
      </c>
      <c r="F341" s="4" t="str">
        <f t="shared" ref="F341" si="8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341,"Ａ","A"),"Ｂ","B"),"Ｃ","C"),"Ｄ","D"),"Ｅ","E"),"Ｆ","F"),"Ｇ","G"),"Ｈ","H"),"Ｉ","I"),"Ｊ","J"),"Ｋ","K"),"Ｌ","L"),"Ｍ","M"),"Ｎ","N"),"Ｏ","O"),"Ｐ","P"),"Ｑ","Q"),"Ｒ","R"),"Ｓ","S"),"Ｔ","T"),"Ｕ","U"),"Ｖ","V"),"Ｗ","W"),"Ｘ","X"),"Ｙ","Y"),"Ｚ","Z"),"ａ","a"),"ｂ","b"),"ｃ","c"),"ｄ","d"),"ｅ","e"),"ｆ","f"),"ｇ","g"),"ｈ","h"),"ｉ","i"),"ｊ","j"),"ｋ","k"),"ｌ","l"),"ｍ","m"),"ｎ","n"),"ｏ","o"),"ｐ","p"),"ｑ","q"),"ｒ","r"),"ｓ","s"),"ｔ","t"),"ｕ","u"),"ｖ","v"),"ｗ","w"),"ｘ","x"),"ｙ","y"),"ｚ","z"),"＆","&amp;"),"－","-"),"．",".")</f>
        <v/>
      </c>
      <c r="G341" s="15" t="str">
        <f>IF($D341=1,TRIM(CLEAN(F341)),"")&amp;""</f>
        <v/>
      </c>
      <c r="H341" t="str">
        <f>IF(G340&lt;&gt;"",IF(G340="自動車整備士である証明","整備士合格証書番号",LEFT(G340,2)&amp;"番号"),C341)</f>
        <v>認証・指定・認定番号または、整備士合格証書番号</v>
      </c>
      <c r="W341" s="117" t="str">
        <f t="shared" si="79"/>
        <v>OK</v>
      </c>
      <c r="X341" t="str">
        <f t="shared" ca="1" si="82"/>
        <v>認証・指定・認定番号または、整備士合格証書番号を入力してください。</v>
      </c>
      <c r="Y341">
        <f>IF(G341&lt;&gt;"",0,1)</f>
        <v>1</v>
      </c>
      <c r="AA341" t="str">
        <f>H341&amp;"を入力してください。"</f>
        <v>認証・指定・認定番号または、整備士合格証書番号を入力してください。</v>
      </c>
    </row>
    <row r="342" spans="2:28" x14ac:dyDescent="0.15">
      <c r="B342" s="5">
        <v>32</v>
      </c>
      <c r="C342" s="5" t="s">
        <v>54</v>
      </c>
      <c r="D342" s="4">
        <f t="shared" si="78"/>
        <v>0</v>
      </c>
      <c r="E342" s="4"/>
      <c r="F342" s="4" t="s">
        <v>402</v>
      </c>
      <c r="G342" s="15" t="str">
        <f>IF($D342=1,TRIM(CLEAN('入力シート（2事業場以降）'!N83)),"")&amp;""</f>
        <v/>
      </c>
      <c r="W342" s="117" t="str">
        <f t="shared" si="79"/>
        <v>OK</v>
      </c>
      <c r="X342" t="str">
        <f t="shared" ca="1" si="82"/>
        <v>管轄運輸局を入力してください。</v>
      </c>
      <c r="Y342">
        <f>IF(G340&lt;&gt;"自動車整備士である証明",IF(G342&lt;&gt;"",0,1),0)</f>
        <v>1</v>
      </c>
      <c r="AA342" t="str">
        <f>C342&amp;"を入力してください。"</f>
        <v>管轄運輸局を入力してください。</v>
      </c>
    </row>
    <row r="343" spans="2:28" x14ac:dyDescent="0.15">
      <c r="B343" s="5">
        <v>32</v>
      </c>
      <c r="C343" s="5" t="s">
        <v>56</v>
      </c>
      <c r="D343" s="4">
        <f t="shared" si="78"/>
        <v>0</v>
      </c>
      <c r="E343" s="110" t="str">
        <f>DBCS('入力シート（2事業場以降）'!R83)</f>
        <v/>
      </c>
      <c r="F343" s="4" t="str">
        <f>SUBSTITUTE(SUBSTITUTE(SUBSTITUTE(SUBSTITUTE(E343,"　株式会社","株式会社"),"会社　","会社"),"　有限会社","有限会社"),"　合同会社","合同会社")</f>
        <v/>
      </c>
      <c r="G343" s="16" t="str">
        <f>IF($D343=1,TRIM(CLEAN(F343)),"")&amp;""</f>
        <v/>
      </c>
      <c r="W343" s="117" t="str">
        <f t="shared" si="79"/>
        <v>OK</v>
      </c>
      <c r="X343" t="str">
        <f t="shared" ca="1" si="82"/>
        <v>事業場名を入力してください。</v>
      </c>
      <c r="Y343">
        <f>IF(G343&lt;&gt;"",0,1)</f>
        <v>1</v>
      </c>
      <c r="AA343" t="str">
        <f>C343&amp;"を入力してください。"</f>
        <v>事業場名を入力してください。</v>
      </c>
    </row>
    <row r="344" spans="2:28" x14ac:dyDescent="0.15">
      <c r="B344" s="5">
        <v>32</v>
      </c>
      <c r="C344" s="5" t="s">
        <v>24</v>
      </c>
      <c r="D344" s="4">
        <f t="shared" si="78"/>
        <v>0</v>
      </c>
      <c r="E344" s="4"/>
      <c r="F344" s="4"/>
      <c r="G344" s="15" t="str">
        <f>IF($D344=1,TRIM(CLEAN(ASC('入力シート（2事業場以降）'!X83))),"")&amp;""</f>
        <v/>
      </c>
      <c r="H344" s="15" t="str">
        <f>IF($D344=1,TRIM(CLEAN(ASC('入力シート（2事業場以降）'!Z83))),"")&amp;""</f>
        <v/>
      </c>
      <c r="W344" s="117" t="str">
        <f t="shared" si="79"/>
        <v>OK</v>
      </c>
      <c r="X344" t="str">
        <f t="shared" ca="1" si="82"/>
        <v>郵便番号を入力してください。</v>
      </c>
      <c r="Y344">
        <f>IF(AND(LEN(G344)=3,LEN(H344)=4)=TRUE,0,1)</f>
        <v>1</v>
      </c>
      <c r="Z344">
        <f>IFERROR(IF(0&lt;VALUE(G344),0,1),1)</f>
        <v>1</v>
      </c>
      <c r="AA344" t="str">
        <f>C344&amp;"を入力してください。"</f>
        <v>郵便番号を入力してください。</v>
      </c>
      <c r="AB344" t="str">
        <f>"正しい"&amp;C344&amp;"を入力してください。"</f>
        <v>正しい郵便番号を入力してください。</v>
      </c>
    </row>
    <row r="345" spans="2:28" x14ac:dyDescent="0.15">
      <c r="B345" s="5">
        <v>32</v>
      </c>
      <c r="C345" s="5" t="s">
        <v>26</v>
      </c>
      <c r="D345" s="4">
        <f t="shared" si="78"/>
        <v>0</v>
      </c>
      <c r="E345" s="4"/>
      <c r="F345" s="4"/>
      <c r="G345" s="15" t="str">
        <f>IF($D345=1,TRIM(CLEAN('入力シート（2事業場以降）'!AB83)),"")&amp;""</f>
        <v/>
      </c>
      <c r="W345" s="117" t="str">
        <f t="shared" si="79"/>
        <v>OK</v>
      </c>
      <c r="X345" t="str">
        <f t="shared" ca="1" si="82"/>
        <v>都道府県を選択してください。</v>
      </c>
      <c r="Y345">
        <f>IF(G345&lt;&gt;"",0,1)</f>
        <v>1</v>
      </c>
      <c r="AA345" t="str">
        <f>C345&amp;"を選択してください。"</f>
        <v>都道府県を選択してください。</v>
      </c>
    </row>
    <row r="346" spans="2:28" x14ac:dyDescent="0.15">
      <c r="B346" s="5">
        <v>32</v>
      </c>
      <c r="C346" s="5" t="s">
        <v>29</v>
      </c>
      <c r="D346" s="4">
        <f t="shared" si="78"/>
        <v>0</v>
      </c>
      <c r="E346" s="110" t="str">
        <f>DBCS('入力シート（2事業場以降）'!$AD83)</f>
        <v/>
      </c>
      <c r="F346" s="4"/>
      <c r="G346" s="15" t="str">
        <f>IF($D346=1,TRIM(CLEAN('入力シート（2事業場以降）'!AD83)),"")&amp;""</f>
        <v/>
      </c>
      <c r="W346" s="117" t="str">
        <f t="shared" si="79"/>
        <v>OK</v>
      </c>
      <c r="X346" t="str">
        <f t="shared" ca="1" si="82"/>
        <v>市区町村を入力してください。</v>
      </c>
      <c r="Y346">
        <f>IF(G346&lt;&gt;"",0,1)</f>
        <v>1</v>
      </c>
      <c r="AA346" t="str">
        <f>C346&amp;"を入力してください。"</f>
        <v>市区町村を入力してください。</v>
      </c>
    </row>
    <row r="347" spans="2:28" x14ac:dyDescent="0.15">
      <c r="B347" s="5">
        <v>32</v>
      </c>
      <c r="C347" s="5" t="s">
        <v>31</v>
      </c>
      <c r="D347" s="4">
        <f t="shared" si="78"/>
        <v>0</v>
      </c>
      <c r="E347" s="110" t="str">
        <f>DBCS('入力シート（2事業場以降）'!$AH83)</f>
        <v/>
      </c>
      <c r="F347" s="4"/>
      <c r="G347" s="15" t="str">
        <f>IF($D347=1,TRIM(CLEAN('入力シート（2事業場以降）'!AH83)),"")&amp;""</f>
        <v/>
      </c>
      <c r="W347" s="117" t="str">
        <f t="shared" si="79"/>
        <v>OK</v>
      </c>
      <c r="X347" t="str">
        <f t="shared" ca="1" si="82"/>
        <v>町名地番を入力してください。</v>
      </c>
      <c r="Y347">
        <f>IF(G347&lt;&gt;"",0,1)</f>
        <v>1</v>
      </c>
      <c r="AA347" t="str">
        <f>C347&amp;"を入力してください。"</f>
        <v>町名地番を入力してください。</v>
      </c>
    </row>
    <row r="348" spans="2:28" x14ac:dyDescent="0.15">
      <c r="B348" s="5">
        <v>32</v>
      </c>
      <c r="C348" s="5" t="s">
        <v>34</v>
      </c>
      <c r="D348" s="4">
        <f t="shared" si="78"/>
        <v>0</v>
      </c>
      <c r="E348" s="110" t="str">
        <f>DBCS('入力シート（2事業場以降）'!$AL83)</f>
        <v/>
      </c>
      <c r="F348" s="4"/>
      <c r="G348" s="15" t="str">
        <f>IF($D348=1,TRIM(CLEAN('入力シート（2事業場以降）'!AL83)),"")&amp;""</f>
        <v/>
      </c>
      <c r="W348" s="117" t="str">
        <f t="shared" si="79"/>
        <v>OK</v>
      </c>
    </row>
    <row r="349" spans="2:28" x14ac:dyDescent="0.15">
      <c r="B349" s="5">
        <v>33</v>
      </c>
      <c r="C349" s="5" t="s">
        <v>53</v>
      </c>
      <c r="D349" s="4">
        <f t="shared" si="78"/>
        <v>0</v>
      </c>
      <c r="E349" s="4"/>
      <c r="F349" s="4"/>
      <c r="G349" s="16" t="str">
        <f>IF($D349=1,'入力シート（2事業場以降）'!F85,"")&amp;""</f>
        <v/>
      </c>
      <c r="W349" s="117" t="str">
        <f t="shared" si="79"/>
        <v>OK</v>
      </c>
      <c r="X349" t="str">
        <f t="shared" ref="X349:X356" ca="1" si="84">IF(Y349=0,IF(Z349&lt;&gt;0,OFFSET(AA349,0,Z349),$V$1),AA349)</f>
        <v>書類の種類を選択してください。</v>
      </c>
      <c r="Y349">
        <f>IF(G349&lt;&gt;"",0,1)</f>
        <v>1</v>
      </c>
      <c r="AA349" t="str">
        <f>C349&amp;"を選択してください。"</f>
        <v>書類の種類を選択してください。</v>
      </c>
    </row>
    <row r="350" spans="2:28" x14ac:dyDescent="0.15">
      <c r="B350" s="5">
        <v>33</v>
      </c>
      <c r="C350" s="5" t="s">
        <v>424</v>
      </c>
      <c r="D350" s="4">
        <f t="shared" si="78"/>
        <v>0</v>
      </c>
      <c r="E350" s="110" t="str">
        <f>SUBSTITUTE(SUBSTITUTE(SUBSTITUTE(SUBSTITUTE(SUBSTITUTE(SUBSTITUTE(SUBSTITUTE(SUBSTITUTE(SUBSTITUTE(SUBSTITUTE(SUBSTITUTE('入力シート（2事業場以降）'!J85,"０","0"),"１","1"),"２","2"),"３","3"),"４","4"),"５","5"),"６","6"),"７","7"),"８","8"),"９","9"),"．",".")</f>
        <v/>
      </c>
      <c r="F350" s="4" t="str">
        <f t="shared" ref="F350" si="8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350,"Ａ","A"),"Ｂ","B"),"Ｃ","C"),"Ｄ","D"),"Ｅ","E"),"Ｆ","F"),"Ｇ","G"),"Ｈ","H"),"Ｉ","I"),"Ｊ","J"),"Ｋ","K"),"Ｌ","L"),"Ｍ","M"),"Ｎ","N"),"Ｏ","O"),"Ｐ","P"),"Ｑ","Q"),"Ｒ","R"),"Ｓ","S"),"Ｔ","T"),"Ｕ","U"),"Ｖ","V"),"Ｗ","W"),"Ｘ","X"),"Ｙ","Y"),"Ｚ","Z"),"ａ","a"),"ｂ","b"),"ｃ","c"),"ｄ","d"),"ｅ","e"),"ｆ","f"),"ｇ","g"),"ｈ","h"),"ｉ","i"),"ｊ","j"),"ｋ","k"),"ｌ","l"),"ｍ","m"),"ｎ","n"),"ｏ","o"),"ｐ","p"),"ｑ","q"),"ｒ","r"),"ｓ","s"),"ｔ","t"),"ｕ","u"),"ｖ","v"),"ｗ","w"),"ｘ","x"),"ｙ","y"),"ｚ","z"),"＆","&amp;"),"－","-"),"．",".")</f>
        <v/>
      </c>
      <c r="G350" s="15" t="str">
        <f>IF($D350=1,TRIM(CLEAN(F350)),"")&amp;""</f>
        <v/>
      </c>
      <c r="H350" t="str">
        <f>IF(G349&lt;&gt;"",IF(G349="自動車整備士である証明","整備士合格証書番号",LEFT(G349,2)&amp;"番号"),C350)</f>
        <v>認証・指定・認定番号または、整備士合格証書番号</v>
      </c>
      <c r="W350" s="117" t="str">
        <f t="shared" si="79"/>
        <v>OK</v>
      </c>
      <c r="X350" t="str">
        <f t="shared" ca="1" si="84"/>
        <v>認証・指定・認定番号または、整備士合格証書番号を入力してください。</v>
      </c>
      <c r="Y350">
        <f>IF(G350&lt;&gt;"",0,1)</f>
        <v>1</v>
      </c>
      <c r="AA350" t="str">
        <f>H350&amp;"を入力してください。"</f>
        <v>認証・指定・認定番号または、整備士合格証書番号を入力してください。</v>
      </c>
    </row>
    <row r="351" spans="2:28" x14ac:dyDescent="0.15">
      <c r="B351" s="5">
        <v>33</v>
      </c>
      <c r="C351" s="5" t="s">
        <v>54</v>
      </c>
      <c r="D351" s="4">
        <f t="shared" si="78"/>
        <v>0</v>
      </c>
      <c r="E351" s="4"/>
      <c r="F351" s="4" t="s">
        <v>402</v>
      </c>
      <c r="G351" s="15" t="str">
        <f>IF($D351=1,TRIM(CLEAN('入力シート（2事業場以降）'!N85)),"")&amp;""</f>
        <v/>
      </c>
      <c r="W351" s="117" t="str">
        <f t="shared" si="79"/>
        <v>OK</v>
      </c>
      <c r="X351" t="str">
        <f t="shared" ca="1" si="84"/>
        <v>管轄運輸局を入力してください。</v>
      </c>
      <c r="Y351">
        <f>IF(G349&lt;&gt;"自動車整備士である証明",IF(G351&lt;&gt;"",0,1),0)</f>
        <v>1</v>
      </c>
      <c r="AA351" t="str">
        <f>C351&amp;"を入力してください。"</f>
        <v>管轄運輸局を入力してください。</v>
      </c>
    </row>
    <row r="352" spans="2:28" x14ac:dyDescent="0.15">
      <c r="B352" s="5">
        <v>33</v>
      </c>
      <c r="C352" s="5" t="s">
        <v>56</v>
      </c>
      <c r="D352" s="4">
        <f t="shared" si="78"/>
        <v>0</v>
      </c>
      <c r="E352" s="110" t="str">
        <f>DBCS('入力シート（2事業場以降）'!R85)</f>
        <v/>
      </c>
      <c r="F352" s="4" t="str">
        <f>SUBSTITUTE(SUBSTITUTE(SUBSTITUTE(SUBSTITUTE(E352,"　株式会社","株式会社"),"会社　","会社"),"　有限会社","有限会社"),"　合同会社","合同会社")</f>
        <v/>
      </c>
      <c r="G352" s="16" t="str">
        <f>IF($D352=1,TRIM(CLEAN(F352)),"")&amp;""</f>
        <v/>
      </c>
      <c r="W352" s="117" t="str">
        <f t="shared" si="79"/>
        <v>OK</v>
      </c>
      <c r="X352" t="str">
        <f t="shared" ca="1" si="84"/>
        <v>事業場名を入力してください。</v>
      </c>
      <c r="Y352">
        <f>IF(G352&lt;&gt;"",0,1)</f>
        <v>1</v>
      </c>
      <c r="AA352" t="str">
        <f>C352&amp;"を入力してください。"</f>
        <v>事業場名を入力してください。</v>
      </c>
    </row>
    <row r="353" spans="2:28" x14ac:dyDescent="0.15">
      <c r="B353" s="5">
        <v>33</v>
      </c>
      <c r="C353" s="5" t="s">
        <v>24</v>
      </c>
      <c r="D353" s="4">
        <f t="shared" si="78"/>
        <v>0</v>
      </c>
      <c r="E353" s="4"/>
      <c r="F353" s="4"/>
      <c r="G353" s="15" t="str">
        <f>IF($D353=1,TRIM(CLEAN(ASC('入力シート（2事業場以降）'!X85))),"")&amp;""</f>
        <v/>
      </c>
      <c r="H353" s="15" t="str">
        <f>IF($D353=1,TRIM(CLEAN(ASC('入力シート（2事業場以降）'!Z85))),"")&amp;""</f>
        <v/>
      </c>
      <c r="W353" s="117" t="str">
        <f t="shared" si="79"/>
        <v>OK</v>
      </c>
      <c r="X353" t="str">
        <f t="shared" ca="1" si="84"/>
        <v>郵便番号を入力してください。</v>
      </c>
      <c r="Y353">
        <f>IF(AND(LEN(G353)=3,LEN(H353)=4)=TRUE,0,1)</f>
        <v>1</v>
      </c>
      <c r="Z353">
        <f>IFERROR(IF(0&lt;VALUE(G353),0,1),1)</f>
        <v>1</v>
      </c>
      <c r="AA353" t="str">
        <f>C353&amp;"を入力してください。"</f>
        <v>郵便番号を入力してください。</v>
      </c>
      <c r="AB353" t="str">
        <f>"正しい"&amp;C353&amp;"を入力してください。"</f>
        <v>正しい郵便番号を入力してください。</v>
      </c>
    </row>
    <row r="354" spans="2:28" x14ac:dyDescent="0.15">
      <c r="B354" s="5">
        <v>33</v>
      </c>
      <c r="C354" s="5" t="s">
        <v>26</v>
      </c>
      <c r="D354" s="4">
        <f t="shared" si="78"/>
        <v>0</v>
      </c>
      <c r="E354" s="4"/>
      <c r="F354" s="4"/>
      <c r="G354" s="15" t="str">
        <f>IF($D354=1,TRIM(CLEAN('入力シート（2事業場以降）'!AB85)),"")&amp;""</f>
        <v/>
      </c>
      <c r="W354" s="117" t="str">
        <f t="shared" si="79"/>
        <v>OK</v>
      </c>
      <c r="X354" t="str">
        <f t="shared" ca="1" si="84"/>
        <v>都道府県を選択してください。</v>
      </c>
      <c r="Y354">
        <f>IF(G354&lt;&gt;"",0,1)</f>
        <v>1</v>
      </c>
      <c r="AA354" t="str">
        <f>C354&amp;"を選択してください。"</f>
        <v>都道府県を選択してください。</v>
      </c>
    </row>
    <row r="355" spans="2:28" x14ac:dyDescent="0.15">
      <c r="B355" s="5">
        <v>33</v>
      </c>
      <c r="C355" s="5" t="s">
        <v>29</v>
      </c>
      <c r="D355" s="4">
        <f t="shared" si="78"/>
        <v>0</v>
      </c>
      <c r="E355" s="110" t="str">
        <f>DBCS('入力シート（2事業場以降）'!$AD83)</f>
        <v/>
      </c>
      <c r="F355" s="4"/>
      <c r="G355" s="15" t="str">
        <f>IF($D355=1,TRIM(CLEAN('入力シート（2事業場以降）'!AD85)),"")&amp;""</f>
        <v/>
      </c>
      <c r="W355" s="117" t="str">
        <f t="shared" si="79"/>
        <v>OK</v>
      </c>
      <c r="X355" t="str">
        <f t="shared" ca="1" si="84"/>
        <v>市区町村を入力してください。</v>
      </c>
      <c r="Y355">
        <f>IF(G355&lt;&gt;"",0,1)</f>
        <v>1</v>
      </c>
      <c r="AA355" t="str">
        <f>C355&amp;"を入力してください。"</f>
        <v>市区町村を入力してください。</v>
      </c>
    </row>
    <row r="356" spans="2:28" x14ac:dyDescent="0.15">
      <c r="B356" s="5">
        <v>33</v>
      </c>
      <c r="C356" s="5" t="s">
        <v>31</v>
      </c>
      <c r="D356" s="4">
        <f t="shared" si="78"/>
        <v>0</v>
      </c>
      <c r="E356" s="110" t="str">
        <f>DBCS('入力シート（2事業場以降）'!$AH85)</f>
        <v/>
      </c>
      <c r="F356" s="4"/>
      <c r="G356" s="15" t="str">
        <f>IF($D356=1,TRIM(CLEAN('入力シート（2事業場以降）'!AH85)),"")&amp;""</f>
        <v/>
      </c>
      <c r="W356" s="117" t="str">
        <f t="shared" si="79"/>
        <v>OK</v>
      </c>
      <c r="X356" t="str">
        <f t="shared" ca="1" si="84"/>
        <v>町名地番を入力してください。</v>
      </c>
      <c r="Y356">
        <f>IF(G356&lt;&gt;"",0,1)</f>
        <v>1</v>
      </c>
      <c r="AA356" t="str">
        <f>C356&amp;"を入力してください。"</f>
        <v>町名地番を入力してください。</v>
      </c>
    </row>
    <row r="357" spans="2:28" x14ac:dyDescent="0.15">
      <c r="B357" s="5">
        <v>33</v>
      </c>
      <c r="C357" s="5" t="s">
        <v>34</v>
      </c>
      <c r="D357" s="4">
        <f t="shared" si="78"/>
        <v>0</v>
      </c>
      <c r="E357" s="110" t="str">
        <f>DBCS('入力シート（2事業場以降）'!$AL85)</f>
        <v/>
      </c>
      <c r="F357" s="4"/>
      <c r="G357" s="15" t="str">
        <f>IF($D357=1,TRIM(CLEAN('入力シート（2事業場以降）'!AL85)),"")&amp;""</f>
        <v/>
      </c>
      <c r="W357" s="117" t="str">
        <f t="shared" si="79"/>
        <v>OK</v>
      </c>
    </row>
    <row r="358" spans="2:28" x14ac:dyDescent="0.15">
      <c r="B358" s="5">
        <v>34</v>
      </c>
      <c r="C358" s="5" t="s">
        <v>53</v>
      </c>
      <c r="D358" s="4">
        <f t="shared" si="78"/>
        <v>0</v>
      </c>
      <c r="E358" s="4"/>
      <c r="F358" s="4"/>
      <c r="G358" s="16" t="str">
        <f>IF($D358=1,'入力シート（2事業場以降）'!F87,"")&amp;""</f>
        <v/>
      </c>
      <c r="W358" s="117" t="str">
        <f t="shared" si="79"/>
        <v>OK</v>
      </c>
      <c r="X358" t="str">
        <f t="shared" ref="X358:X365" ca="1" si="86">IF(Y358=0,IF(Z358&lt;&gt;0,OFFSET(AA358,0,Z358),$V$1),AA358)</f>
        <v>書類の種類を選択してください。</v>
      </c>
      <c r="Y358">
        <f>IF(G358&lt;&gt;"",0,1)</f>
        <v>1</v>
      </c>
      <c r="AA358" t="str">
        <f>C358&amp;"を選択してください。"</f>
        <v>書類の種類を選択してください。</v>
      </c>
    </row>
    <row r="359" spans="2:28" x14ac:dyDescent="0.15">
      <c r="B359" s="5">
        <v>34</v>
      </c>
      <c r="C359" s="5" t="s">
        <v>424</v>
      </c>
      <c r="D359" s="4">
        <f t="shared" si="78"/>
        <v>0</v>
      </c>
      <c r="E359" s="110" t="str">
        <f>SUBSTITUTE(SUBSTITUTE(SUBSTITUTE(SUBSTITUTE(SUBSTITUTE(SUBSTITUTE(SUBSTITUTE(SUBSTITUTE(SUBSTITUTE(SUBSTITUTE(SUBSTITUTE('入力シート（2事業場以降）'!J87,"０","0"),"１","1"),"２","2"),"３","3"),"４","4"),"５","5"),"６","6"),"７","7"),"８","8"),"９","9"),"．",".")</f>
        <v/>
      </c>
      <c r="F359" s="4" t="str">
        <f t="shared" ref="F359" si="8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359,"Ａ","A"),"Ｂ","B"),"Ｃ","C"),"Ｄ","D"),"Ｅ","E"),"Ｆ","F"),"Ｇ","G"),"Ｈ","H"),"Ｉ","I"),"Ｊ","J"),"Ｋ","K"),"Ｌ","L"),"Ｍ","M"),"Ｎ","N"),"Ｏ","O"),"Ｐ","P"),"Ｑ","Q"),"Ｒ","R"),"Ｓ","S"),"Ｔ","T"),"Ｕ","U"),"Ｖ","V"),"Ｗ","W"),"Ｘ","X"),"Ｙ","Y"),"Ｚ","Z"),"ａ","a"),"ｂ","b"),"ｃ","c"),"ｄ","d"),"ｅ","e"),"ｆ","f"),"ｇ","g"),"ｈ","h"),"ｉ","i"),"ｊ","j"),"ｋ","k"),"ｌ","l"),"ｍ","m"),"ｎ","n"),"ｏ","o"),"ｐ","p"),"ｑ","q"),"ｒ","r"),"ｓ","s"),"ｔ","t"),"ｕ","u"),"ｖ","v"),"ｗ","w"),"ｘ","x"),"ｙ","y"),"ｚ","z"),"＆","&amp;"),"－","-"),"．",".")</f>
        <v/>
      </c>
      <c r="G359" s="15" t="str">
        <f>IF($D359=1,TRIM(CLEAN(F359)),"")&amp;""</f>
        <v/>
      </c>
      <c r="H359" t="str">
        <f>IF(G358&lt;&gt;"",IF(G358="自動車整備士である証明","整備士合格証書番号",LEFT(G358,2)&amp;"番号"),C359)</f>
        <v>認証・指定・認定番号または、整備士合格証書番号</v>
      </c>
      <c r="W359" s="117" t="str">
        <f t="shared" si="79"/>
        <v>OK</v>
      </c>
      <c r="X359" t="str">
        <f t="shared" ca="1" si="86"/>
        <v>認証・指定・認定番号または、整備士合格証書番号を入力してください。</v>
      </c>
      <c r="Y359">
        <f>IF(G359&lt;&gt;"",0,1)</f>
        <v>1</v>
      </c>
      <c r="AA359" t="str">
        <f>H359&amp;"を入力してください。"</f>
        <v>認証・指定・認定番号または、整備士合格証書番号を入力してください。</v>
      </c>
    </row>
    <row r="360" spans="2:28" x14ac:dyDescent="0.15">
      <c r="B360" s="5">
        <v>34</v>
      </c>
      <c r="C360" s="5" t="s">
        <v>54</v>
      </c>
      <c r="D360" s="4">
        <f t="shared" si="78"/>
        <v>0</v>
      </c>
      <c r="E360" s="4"/>
      <c r="F360" s="4" t="s">
        <v>402</v>
      </c>
      <c r="G360" s="15" t="str">
        <f>IF($D360=1,TRIM(CLEAN('入力シート（2事業場以降）'!N87)),"")&amp;""</f>
        <v/>
      </c>
      <c r="W360" s="117" t="str">
        <f t="shared" si="79"/>
        <v>OK</v>
      </c>
      <c r="X360" t="str">
        <f t="shared" ca="1" si="86"/>
        <v>管轄運輸局を入力してください。</v>
      </c>
      <c r="Y360">
        <f>IF(G358&lt;&gt;"自動車整備士である証明",IF(G360&lt;&gt;"",0,1),0)</f>
        <v>1</v>
      </c>
      <c r="AA360" t="str">
        <f>C360&amp;"を入力してください。"</f>
        <v>管轄運輸局を入力してください。</v>
      </c>
    </row>
    <row r="361" spans="2:28" x14ac:dyDescent="0.15">
      <c r="B361" s="5">
        <v>34</v>
      </c>
      <c r="C361" s="5" t="s">
        <v>56</v>
      </c>
      <c r="D361" s="4">
        <f t="shared" si="78"/>
        <v>0</v>
      </c>
      <c r="E361" s="110" t="str">
        <f>DBCS('入力シート（2事業場以降）'!R87)</f>
        <v/>
      </c>
      <c r="F361" s="4" t="str">
        <f>SUBSTITUTE(SUBSTITUTE(SUBSTITUTE(SUBSTITUTE(E361,"　株式会社","株式会社"),"会社　","会社"),"　有限会社","有限会社"),"　合同会社","合同会社")</f>
        <v/>
      </c>
      <c r="G361" s="16" t="str">
        <f>IF($D361=1,TRIM(CLEAN(F361)),"")&amp;""</f>
        <v/>
      </c>
      <c r="W361" s="117" t="str">
        <f t="shared" si="79"/>
        <v>OK</v>
      </c>
      <c r="X361" t="str">
        <f t="shared" ca="1" si="86"/>
        <v>事業場名を入力してください。</v>
      </c>
      <c r="Y361">
        <f>IF(G361&lt;&gt;"",0,1)</f>
        <v>1</v>
      </c>
      <c r="AA361" t="str">
        <f>C361&amp;"を入力してください。"</f>
        <v>事業場名を入力してください。</v>
      </c>
    </row>
    <row r="362" spans="2:28" x14ac:dyDescent="0.15">
      <c r="B362" s="5">
        <v>34</v>
      </c>
      <c r="C362" s="5" t="s">
        <v>24</v>
      </c>
      <c r="D362" s="4">
        <f t="shared" si="78"/>
        <v>0</v>
      </c>
      <c r="E362" s="4"/>
      <c r="F362" s="4"/>
      <c r="G362" s="15" t="str">
        <f>IF($D362=1,TRIM(CLEAN(ASC('入力シート（2事業場以降）'!X87))),"")&amp;""</f>
        <v/>
      </c>
      <c r="H362" s="15" t="str">
        <f>IF($D362=1,TRIM(CLEAN(ASC('入力シート（2事業場以降）'!Z87))),"")&amp;""</f>
        <v/>
      </c>
      <c r="W362" s="117" t="str">
        <f t="shared" si="79"/>
        <v>OK</v>
      </c>
      <c r="X362" t="str">
        <f t="shared" ca="1" si="86"/>
        <v>郵便番号を入力してください。</v>
      </c>
      <c r="Y362">
        <f>IF(AND(LEN(G362)=3,LEN(H362)=4)=TRUE,0,1)</f>
        <v>1</v>
      </c>
      <c r="Z362">
        <f>IFERROR(IF(0&lt;VALUE(G362),0,1),1)</f>
        <v>1</v>
      </c>
      <c r="AA362" t="str">
        <f>C362&amp;"を入力してください。"</f>
        <v>郵便番号を入力してください。</v>
      </c>
      <c r="AB362" t="str">
        <f>"正しい"&amp;C362&amp;"を入力してください。"</f>
        <v>正しい郵便番号を入力してください。</v>
      </c>
    </row>
    <row r="363" spans="2:28" x14ac:dyDescent="0.15">
      <c r="B363" s="5">
        <v>34</v>
      </c>
      <c r="C363" s="5" t="s">
        <v>26</v>
      </c>
      <c r="D363" s="4">
        <f t="shared" si="78"/>
        <v>0</v>
      </c>
      <c r="E363" s="4"/>
      <c r="F363" s="4"/>
      <c r="G363" s="15" t="str">
        <f>IF($D363=1,TRIM(CLEAN('入力シート（2事業場以降）'!AB87)),"")&amp;""</f>
        <v/>
      </c>
      <c r="W363" s="117" t="str">
        <f t="shared" si="79"/>
        <v>OK</v>
      </c>
      <c r="X363" t="str">
        <f t="shared" ca="1" si="86"/>
        <v>都道府県を選択してください。</v>
      </c>
      <c r="Y363">
        <f>IF(G363&lt;&gt;"",0,1)</f>
        <v>1</v>
      </c>
      <c r="AA363" t="str">
        <f>C363&amp;"を選択してください。"</f>
        <v>都道府県を選択してください。</v>
      </c>
    </row>
    <row r="364" spans="2:28" x14ac:dyDescent="0.15">
      <c r="B364" s="5">
        <v>34</v>
      </c>
      <c r="C364" s="5" t="s">
        <v>29</v>
      </c>
      <c r="D364" s="4">
        <f t="shared" si="78"/>
        <v>0</v>
      </c>
      <c r="E364" s="110" t="str">
        <f>DBCS('入力シート（2事業場以降）'!$AD87)</f>
        <v/>
      </c>
      <c r="F364" s="4"/>
      <c r="G364" s="15" t="str">
        <f>IF($D364=1,TRIM(CLEAN('入力シート（2事業場以降）'!AD87)),"")&amp;""</f>
        <v/>
      </c>
      <c r="W364" s="117" t="str">
        <f t="shared" si="79"/>
        <v>OK</v>
      </c>
      <c r="X364" t="str">
        <f t="shared" ca="1" si="86"/>
        <v>市区町村を入力してください。</v>
      </c>
      <c r="Y364">
        <f>IF(G364&lt;&gt;"",0,1)</f>
        <v>1</v>
      </c>
      <c r="AA364" t="str">
        <f>C364&amp;"を入力してください。"</f>
        <v>市区町村を入力してください。</v>
      </c>
    </row>
    <row r="365" spans="2:28" x14ac:dyDescent="0.15">
      <c r="B365" s="5">
        <v>34</v>
      </c>
      <c r="C365" s="5" t="s">
        <v>31</v>
      </c>
      <c r="D365" s="4">
        <f t="shared" si="78"/>
        <v>0</v>
      </c>
      <c r="E365" s="110" t="str">
        <f>DBCS('入力シート（2事業場以降）'!$AH87)</f>
        <v/>
      </c>
      <c r="F365" s="4"/>
      <c r="G365" s="15" t="str">
        <f>IF($D365=1,TRIM(CLEAN('入力シート（2事業場以降）'!AH87)),"")&amp;""</f>
        <v/>
      </c>
      <c r="W365" s="117" t="str">
        <f t="shared" si="79"/>
        <v>OK</v>
      </c>
      <c r="X365" t="str">
        <f t="shared" ca="1" si="86"/>
        <v>町名地番を入力してください。</v>
      </c>
      <c r="Y365">
        <f>IF(G365&lt;&gt;"",0,1)</f>
        <v>1</v>
      </c>
      <c r="AA365" t="str">
        <f>C365&amp;"を入力してください。"</f>
        <v>町名地番を入力してください。</v>
      </c>
    </row>
    <row r="366" spans="2:28" x14ac:dyDescent="0.15">
      <c r="B366" s="5">
        <v>34</v>
      </c>
      <c r="C366" s="5" t="s">
        <v>34</v>
      </c>
      <c r="D366" s="4">
        <f t="shared" si="78"/>
        <v>0</v>
      </c>
      <c r="E366" s="110" t="str">
        <f>DBCS('入力シート（2事業場以降）'!$AL87)</f>
        <v/>
      </c>
      <c r="F366" s="4"/>
      <c r="G366" s="15" t="str">
        <f>IF($D366=1,TRIM(CLEAN('入力シート（2事業場以降）'!AL87)),"")&amp;""</f>
        <v/>
      </c>
      <c r="W366" s="117" t="str">
        <f t="shared" si="79"/>
        <v>OK</v>
      </c>
    </row>
    <row r="367" spans="2:28" x14ac:dyDescent="0.15">
      <c r="B367" s="5">
        <v>35</v>
      </c>
      <c r="C367" s="5" t="s">
        <v>53</v>
      </c>
      <c r="D367" s="4">
        <f t="shared" si="78"/>
        <v>0</v>
      </c>
      <c r="E367" s="4"/>
      <c r="F367" s="4"/>
      <c r="G367" s="16" t="str">
        <f>IF($D367=1,'入力シート（2事業場以降）'!F89,"")&amp;""</f>
        <v/>
      </c>
      <c r="W367" s="117" t="str">
        <f t="shared" si="79"/>
        <v>OK</v>
      </c>
      <c r="X367" t="str">
        <f t="shared" ref="X367:X374" ca="1" si="88">IF(Y367=0,IF(Z367&lt;&gt;0,OFFSET(AA367,0,Z367),$V$1),AA367)</f>
        <v>書類の種類を選択してください。</v>
      </c>
      <c r="Y367">
        <f>IF(G367&lt;&gt;"",0,1)</f>
        <v>1</v>
      </c>
      <c r="AA367" t="str">
        <f>C367&amp;"を選択してください。"</f>
        <v>書類の種類を選択してください。</v>
      </c>
    </row>
    <row r="368" spans="2:28" x14ac:dyDescent="0.15">
      <c r="B368" s="5">
        <v>35</v>
      </c>
      <c r="C368" s="5" t="s">
        <v>424</v>
      </c>
      <c r="D368" s="4">
        <f t="shared" si="78"/>
        <v>0</v>
      </c>
      <c r="E368" s="110" t="str">
        <f>SUBSTITUTE(SUBSTITUTE(SUBSTITUTE(SUBSTITUTE(SUBSTITUTE(SUBSTITUTE(SUBSTITUTE(SUBSTITUTE(SUBSTITUTE(SUBSTITUTE(SUBSTITUTE('入力シート（2事業場以降）'!J89,"０","0"),"１","1"),"２","2"),"３","3"),"４","4"),"５","5"),"６","6"),"７","7"),"８","8"),"９","9"),"．",".")</f>
        <v/>
      </c>
      <c r="F368" s="4" t="str">
        <f t="shared" ref="F368" si="8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368,"Ａ","A"),"Ｂ","B"),"Ｃ","C"),"Ｄ","D"),"Ｅ","E"),"Ｆ","F"),"Ｇ","G"),"Ｈ","H"),"Ｉ","I"),"Ｊ","J"),"Ｋ","K"),"Ｌ","L"),"Ｍ","M"),"Ｎ","N"),"Ｏ","O"),"Ｐ","P"),"Ｑ","Q"),"Ｒ","R"),"Ｓ","S"),"Ｔ","T"),"Ｕ","U"),"Ｖ","V"),"Ｗ","W"),"Ｘ","X"),"Ｙ","Y"),"Ｚ","Z"),"ａ","a"),"ｂ","b"),"ｃ","c"),"ｄ","d"),"ｅ","e"),"ｆ","f"),"ｇ","g"),"ｈ","h"),"ｉ","i"),"ｊ","j"),"ｋ","k"),"ｌ","l"),"ｍ","m"),"ｎ","n"),"ｏ","o"),"ｐ","p"),"ｑ","q"),"ｒ","r"),"ｓ","s"),"ｔ","t"),"ｕ","u"),"ｖ","v"),"ｗ","w"),"ｘ","x"),"ｙ","y"),"ｚ","z"),"＆","&amp;"),"－","-"),"．",".")</f>
        <v/>
      </c>
      <c r="G368" s="15" t="str">
        <f>IF($D368=1,TRIM(CLEAN(F368)),"")&amp;""</f>
        <v/>
      </c>
      <c r="H368" t="str">
        <f>IF(G367&lt;&gt;"",IF(G367="自動車整備士である証明","整備士合格証書番号",LEFT(G367,2)&amp;"番号"),C368)</f>
        <v>認証・指定・認定番号または、整備士合格証書番号</v>
      </c>
      <c r="W368" s="117" t="str">
        <f t="shared" si="79"/>
        <v>OK</v>
      </c>
      <c r="X368" t="str">
        <f t="shared" ca="1" si="88"/>
        <v>認証・指定・認定番号または、整備士合格証書番号を入力してください。</v>
      </c>
      <c r="Y368">
        <f>IF(G368&lt;&gt;"",0,1)</f>
        <v>1</v>
      </c>
      <c r="AA368" t="str">
        <f>H368&amp;"を入力してください。"</f>
        <v>認証・指定・認定番号または、整備士合格証書番号を入力してください。</v>
      </c>
    </row>
    <row r="369" spans="2:28" x14ac:dyDescent="0.15">
      <c r="B369" s="5">
        <v>35</v>
      </c>
      <c r="C369" s="5" t="s">
        <v>54</v>
      </c>
      <c r="D369" s="4">
        <f t="shared" si="78"/>
        <v>0</v>
      </c>
      <c r="E369" s="4"/>
      <c r="F369" s="4" t="s">
        <v>402</v>
      </c>
      <c r="G369" s="15" t="str">
        <f>IF($D369=1,TRIM(CLEAN('入力シート（2事業場以降）'!N89)),"")&amp;""</f>
        <v/>
      </c>
      <c r="W369" s="117" t="str">
        <f t="shared" si="79"/>
        <v>OK</v>
      </c>
      <c r="X369" t="str">
        <f t="shared" ca="1" si="88"/>
        <v>管轄運輸局を入力してください。</v>
      </c>
      <c r="Y369">
        <f>IF(G367&lt;&gt;"自動車整備士である証明",IF(G369&lt;&gt;"",0,1),0)</f>
        <v>1</v>
      </c>
      <c r="AA369" t="str">
        <f>C369&amp;"を入力してください。"</f>
        <v>管轄運輸局を入力してください。</v>
      </c>
    </row>
    <row r="370" spans="2:28" x14ac:dyDescent="0.15">
      <c r="B370" s="5">
        <v>35</v>
      </c>
      <c r="C370" s="5" t="s">
        <v>56</v>
      </c>
      <c r="D370" s="4">
        <f t="shared" si="78"/>
        <v>0</v>
      </c>
      <c r="E370" s="110" t="str">
        <f>DBCS('入力シート（2事業場以降）'!R89)</f>
        <v/>
      </c>
      <c r="F370" s="4" t="str">
        <f>SUBSTITUTE(SUBSTITUTE(SUBSTITUTE(SUBSTITUTE(E370,"　株式会社","株式会社"),"会社　","会社"),"　有限会社","有限会社"),"　合同会社","合同会社")</f>
        <v/>
      </c>
      <c r="G370" s="16" t="str">
        <f>IF($D370=1,TRIM(CLEAN(F370)),"")&amp;""</f>
        <v/>
      </c>
      <c r="W370" s="117" t="str">
        <f t="shared" si="79"/>
        <v>OK</v>
      </c>
      <c r="X370" t="str">
        <f t="shared" ca="1" si="88"/>
        <v>事業場名を入力してください。</v>
      </c>
      <c r="Y370">
        <f>IF(G370&lt;&gt;"",0,1)</f>
        <v>1</v>
      </c>
      <c r="AA370" t="str">
        <f>C370&amp;"を入力してください。"</f>
        <v>事業場名を入力してください。</v>
      </c>
    </row>
    <row r="371" spans="2:28" x14ac:dyDescent="0.15">
      <c r="B371" s="5">
        <v>35</v>
      </c>
      <c r="C371" s="5" t="s">
        <v>24</v>
      </c>
      <c r="D371" s="4">
        <f t="shared" si="78"/>
        <v>0</v>
      </c>
      <c r="E371" s="4"/>
      <c r="F371" s="4"/>
      <c r="G371" s="15" t="str">
        <f>IF($D371=1,TRIM(CLEAN(ASC('入力シート（2事業場以降）'!X89))),"")&amp;""</f>
        <v/>
      </c>
      <c r="H371" s="15" t="str">
        <f>IF($D371=1,TRIM(CLEAN(ASC('入力シート（2事業場以降）'!Z89))),"")&amp;""</f>
        <v/>
      </c>
      <c r="W371" s="117" t="str">
        <f t="shared" si="79"/>
        <v>OK</v>
      </c>
      <c r="X371" t="str">
        <f t="shared" ca="1" si="88"/>
        <v>郵便番号を入力してください。</v>
      </c>
      <c r="Y371">
        <f>IF(AND(LEN(G371)=3,LEN(H371)=4)=TRUE,0,1)</f>
        <v>1</v>
      </c>
      <c r="Z371">
        <f>IFERROR(IF(0&lt;VALUE(G371),0,1),1)</f>
        <v>1</v>
      </c>
      <c r="AA371" t="str">
        <f>C371&amp;"を入力してください。"</f>
        <v>郵便番号を入力してください。</v>
      </c>
      <c r="AB371" t="str">
        <f>"正しい"&amp;C371&amp;"を入力してください。"</f>
        <v>正しい郵便番号を入力してください。</v>
      </c>
    </row>
    <row r="372" spans="2:28" x14ac:dyDescent="0.15">
      <c r="B372" s="5">
        <v>35</v>
      </c>
      <c r="C372" s="5" t="s">
        <v>26</v>
      </c>
      <c r="D372" s="4">
        <f t="shared" si="78"/>
        <v>0</v>
      </c>
      <c r="E372" s="4"/>
      <c r="F372" s="4"/>
      <c r="G372" s="15" t="str">
        <f>IF($D372=1,TRIM(CLEAN('入力シート（2事業場以降）'!AB89)),"")&amp;""</f>
        <v/>
      </c>
      <c r="W372" s="117" t="str">
        <f t="shared" si="79"/>
        <v>OK</v>
      </c>
      <c r="X372" t="str">
        <f t="shared" ca="1" si="88"/>
        <v>都道府県を選択してください。</v>
      </c>
      <c r="Y372">
        <f>IF(G372&lt;&gt;"",0,1)</f>
        <v>1</v>
      </c>
      <c r="AA372" t="str">
        <f>C372&amp;"を選択してください。"</f>
        <v>都道府県を選択してください。</v>
      </c>
    </row>
    <row r="373" spans="2:28" x14ac:dyDescent="0.15">
      <c r="B373" s="5">
        <v>35</v>
      </c>
      <c r="C373" s="5" t="s">
        <v>29</v>
      </c>
      <c r="D373" s="4">
        <f t="shared" si="78"/>
        <v>0</v>
      </c>
      <c r="E373" s="110" t="str">
        <f>DBCS('入力シート（2事業場以降）'!$AD89)</f>
        <v/>
      </c>
      <c r="F373" s="4"/>
      <c r="G373" s="15" t="str">
        <f>IF($D373=1,TRIM(CLEAN('入力シート（2事業場以降）'!AD89)),"")&amp;""</f>
        <v/>
      </c>
      <c r="W373" s="117" t="str">
        <f t="shared" si="79"/>
        <v>OK</v>
      </c>
      <c r="X373" t="str">
        <f t="shared" ca="1" si="88"/>
        <v>市区町村を入力してください。</v>
      </c>
      <c r="Y373">
        <f>IF(G373&lt;&gt;"",0,1)</f>
        <v>1</v>
      </c>
      <c r="AA373" t="str">
        <f>C373&amp;"を入力してください。"</f>
        <v>市区町村を入力してください。</v>
      </c>
    </row>
    <row r="374" spans="2:28" x14ac:dyDescent="0.15">
      <c r="B374" s="5">
        <v>35</v>
      </c>
      <c r="C374" s="5" t="s">
        <v>31</v>
      </c>
      <c r="D374" s="4">
        <f t="shared" si="78"/>
        <v>0</v>
      </c>
      <c r="E374" s="110" t="str">
        <f>DBCS('入力シート（2事業場以降）'!$AH89)</f>
        <v/>
      </c>
      <c r="F374" s="4"/>
      <c r="G374" s="15" t="str">
        <f>IF($D374=1,TRIM(CLEAN('入力シート（2事業場以降）'!AH89)),"")&amp;""</f>
        <v/>
      </c>
      <c r="W374" s="117" t="str">
        <f t="shared" si="79"/>
        <v>OK</v>
      </c>
      <c r="X374" t="str">
        <f t="shared" ca="1" si="88"/>
        <v>町名地番を入力してください。</v>
      </c>
      <c r="Y374">
        <f>IF(G374&lt;&gt;"",0,1)</f>
        <v>1</v>
      </c>
      <c r="AA374" t="str">
        <f>C374&amp;"を入力してください。"</f>
        <v>町名地番を入力してください。</v>
      </c>
    </row>
    <row r="375" spans="2:28" x14ac:dyDescent="0.15">
      <c r="B375" s="5">
        <v>35</v>
      </c>
      <c r="C375" s="5" t="s">
        <v>34</v>
      </c>
      <c r="D375" s="4">
        <f t="shared" si="78"/>
        <v>0</v>
      </c>
      <c r="E375" s="110" t="str">
        <f>DBCS('入力シート（2事業場以降）'!$AL89)</f>
        <v/>
      </c>
      <c r="F375" s="4"/>
      <c r="G375" s="15" t="str">
        <f>IF($D375=1,TRIM(CLEAN('入力シート（2事業場以降）'!AL89)),"")&amp;""</f>
        <v/>
      </c>
      <c r="W375" s="117" t="str">
        <f t="shared" si="79"/>
        <v>OK</v>
      </c>
    </row>
    <row r="376" spans="2:28" x14ac:dyDescent="0.15">
      <c r="B376" s="5">
        <v>36</v>
      </c>
      <c r="C376" s="5" t="s">
        <v>53</v>
      </c>
      <c r="D376" s="4">
        <f t="shared" si="78"/>
        <v>0</v>
      </c>
      <c r="E376" s="4"/>
      <c r="F376" s="4"/>
      <c r="G376" s="16" t="str">
        <f>IF($D376=1,'入力シート（2事業場以降）'!F91,"")&amp;""</f>
        <v/>
      </c>
      <c r="W376" s="117" t="str">
        <f t="shared" si="79"/>
        <v>OK</v>
      </c>
      <c r="X376" t="str">
        <f t="shared" ref="X376:X383" ca="1" si="90">IF(Y376=0,IF(Z376&lt;&gt;0,OFFSET(AA376,0,Z376),$V$1),AA376)</f>
        <v>書類の種類を選択してください。</v>
      </c>
      <c r="Y376">
        <f>IF(G376&lt;&gt;"",0,1)</f>
        <v>1</v>
      </c>
      <c r="AA376" t="str">
        <f>C376&amp;"を選択してください。"</f>
        <v>書類の種類を選択してください。</v>
      </c>
    </row>
    <row r="377" spans="2:28" x14ac:dyDescent="0.15">
      <c r="B377" s="5">
        <v>36</v>
      </c>
      <c r="C377" s="5" t="s">
        <v>424</v>
      </c>
      <c r="D377" s="4">
        <f t="shared" si="78"/>
        <v>0</v>
      </c>
      <c r="E377" s="110" t="str">
        <f>SUBSTITUTE(SUBSTITUTE(SUBSTITUTE(SUBSTITUTE(SUBSTITUTE(SUBSTITUTE(SUBSTITUTE(SUBSTITUTE(SUBSTITUTE(SUBSTITUTE(SUBSTITUTE('入力シート（2事業場以降）'!J91,"０","0"),"１","1"),"２","2"),"３","3"),"４","4"),"５","5"),"６","6"),"７","7"),"８","8"),"９","9"),"．",".")</f>
        <v/>
      </c>
      <c r="F377" s="4" t="str">
        <f t="shared" ref="F377" si="9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377,"Ａ","A"),"Ｂ","B"),"Ｃ","C"),"Ｄ","D"),"Ｅ","E"),"Ｆ","F"),"Ｇ","G"),"Ｈ","H"),"Ｉ","I"),"Ｊ","J"),"Ｋ","K"),"Ｌ","L"),"Ｍ","M"),"Ｎ","N"),"Ｏ","O"),"Ｐ","P"),"Ｑ","Q"),"Ｒ","R"),"Ｓ","S"),"Ｔ","T"),"Ｕ","U"),"Ｖ","V"),"Ｗ","W"),"Ｘ","X"),"Ｙ","Y"),"Ｚ","Z"),"ａ","a"),"ｂ","b"),"ｃ","c"),"ｄ","d"),"ｅ","e"),"ｆ","f"),"ｇ","g"),"ｈ","h"),"ｉ","i"),"ｊ","j"),"ｋ","k"),"ｌ","l"),"ｍ","m"),"ｎ","n"),"ｏ","o"),"ｐ","p"),"ｑ","q"),"ｒ","r"),"ｓ","s"),"ｔ","t"),"ｕ","u"),"ｖ","v"),"ｗ","w"),"ｘ","x"),"ｙ","y"),"ｚ","z"),"＆","&amp;"),"－","-"),"．",".")</f>
        <v/>
      </c>
      <c r="G377" s="15" t="str">
        <f>IF($D377=1,TRIM(CLEAN(F377)),"")&amp;""</f>
        <v/>
      </c>
      <c r="H377" t="str">
        <f>IF(G376&lt;&gt;"",IF(G376="自動車整備士である証明","整備士合格証書番号",LEFT(G376,2)&amp;"番号"),C377)</f>
        <v>認証・指定・認定番号または、整備士合格証書番号</v>
      </c>
      <c r="W377" s="117" t="str">
        <f t="shared" si="79"/>
        <v>OK</v>
      </c>
      <c r="X377" t="str">
        <f t="shared" ca="1" si="90"/>
        <v>認証・指定・認定番号または、整備士合格証書番号を入力してください。</v>
      </c>
      <c r="Y377">
        <f>IF(G377&lt;&gt;"",0,1)</f>
        <v>1</v>
      </c>
      <c r="AA377" t="str">
        <f>H377&amp;"を入力してください。"</f>
        <v>認証・指定・認定番号または、整備士合格証書番号を入力してください。</v>
      </c>
    </row>
    <row r="378" spans="2:28" x14ac:dyDescent="0.15">
      <c r="B378" s="5">
        <v>36</v>
      </c>
      <c r="C378" s="5" t="s">
        <v>54</v>
      </c>
      <c r="D378" s="4">
        <f t="shared" si="78"/>
        <v>0</v>
      </c>
      <c r="E378" s="4"/>
      <c r="F378" s="4" t="s">
        <v>402</v>
      </c>
      <c r="G378" s="15" t="str">
        <f>IF($D378=1,TRIM(CLEAN('入力シート（2事業場以降）'!N91)),"")&amp;""</f>
        <v/>
      </c>
      <c r="W378" s="117" t="str">
        <f t="shared" si="79"/>
        <v>OK</v>
      </c>
      <c r="X378" t="str">
        <f t="shared" ca="1" si="90"/>
        <v>管轄運輸局を入力してください。</v>
      </c>
      <c r="Y378">
        <f>IF(G376&lt;&gt;"自動車整備士である証明",IF(G378&lt;&gt;"",0,1),0)</f>
        <v>1</v>
      </c>
      <c r="AA378" t="str">
        <f>C378&amp;"を入力してください。"</f>
        <v>管轄運輸局を入力してください。</v>
      </c>
    </row>
    <row r="379" spans="2:28" x14ac:dyDescent="0.15">
      <c r="B379" s="5">
        <v>36</v>
      </c>
      <c r="C379" s="5" t="s">
        <v>56</v>
      </c>
      <c r="D379" s="4">
        <f t="shared" si="78"/>
        <v>0</v>
      </c>
      <c r="E379" s="110" t="str">
        <f>DBCS('入力シート（2事業場以降）'!R91)</f>
        <v/>
      </c>
      <c r="F379" s="4" t="str">
        <f>SUBSTITUTE(SUBSTITUTE(SUBSTITUTE(SUBSTITUTE(E379,"　株式会社","株式会社"),"会社　","会社"),"　有限会社","有限会社"),"　合同会社","合同会社")</f>
        <v/>
      </c>
      <c r="G379" s="16" t="str">
        <f>IF($D379=1,TRIM(CLEAN(F379)),"")&amp;""</f>
        <v/>
      </c>
      <c r="W379" s="117" t="str">
        <f t="shared" si="79"/>
        <v>OK</v>
      </c>
      <c r="X379" t="str">
        <f t="shared" ca="1" si="90"/>
        <v>事業場名を入力してください。</v>
      </c>
      <c r="Y379">
        <f>IF(G379&lt;&gt;"",0,1)</f>
        <v>1</v>
      </c>
      <c r="AA379" t="str">
        <f>C379&amp;"を入力してください。"</f>
        <v>事業場名を入力してください。</v>
      </c>
    </row>
    <row r="380" spans="2:28" x14ac:dyDescent="0.15">
      <c r="B380" s="5">
        <v>36</v>
      </c>
      <c r="C380" s="5" t="s">
        <v>24</v>
      </c>
      <c r="D380" s="4">
        <f t="shared" si="78"/>
        <v>0</v>
      </c>
      <c r="E380" s="4"/>
      <c r="F380" s="4"/>
      <c r="G380" s="15" t="str">
        <f>IF($D380=1,TRIM(CLEAN(ASC('入力シート（2事業場以降）'!X91))),"")&amp;""</f>
        <v/>
      </c>
      <c r="H380" s="15" t="str">
        <f>IF($D380=1,TRIM(CLEAN(ASC('入力シート（2事業場以降）'!Z91))),"")&amp;""</f>
        <v/>
      </c>
      <c r="W380" s="117" t="str">
        <f t="shared" si="79"/>
        <v>OK</v>
      </c>
      <c r="X380" t="str">
        <f t="shared" ca="1" si="90"/>
        <v>郵便番号を入力してください。</v>
      </c>
      <c r="Y380">
        <f>IF(AND(LEN(G380)=3,LEN(H380)=4)=TRUE,0,1)</f>
        <v>1</v>
      </c>
      <c r="Z380">
        <f>IFERROR(IF(0&lt;VALUE(G380),0,1),1)</f>
        <v>1</v>
      </c>
      <c r="AA380" t="str">
        <f>C380&amp;"を入力してください。"</f>
        <v>郵便番号を入力してください。</v>
      </c>
      <c r="AB380" t="str">
        <f>"正しい"&amp;C380&amp;"を入力してください。"</f>
        <v>正しい郵便番号を入力してください。</v>
      </c>
    </row>
    <row r="381" spans="2:28" x14ac:dyDescent="0.15">
      <c r="B381" s="5">
        <v>36</v>
      </c>
      <c r="C381" s="5" t="s">
        <v>26</v>
      </c>
      <c r="D381" s="4">
        <f t="shared" si="78"/>
        <v>0</v>
      </c>
      <c r="E381" s="4"/>
      <c r="F381" s="4"/>
      <c r="G381" s="15" t="str">
        <f>IF($D381=1,TRIM(CLEAN('入力シート（2事業場以降）'!AB91)),"")&amp;""</f>
        <v/>
      </c>
      <c r="W381" s="117" t="str">
        <f t="shared" si="79"/>
        <v>OK</v>
      </c>
      <c r="X381" t="str">
        <f t="shared" ca="1" si="90"/>
        <v>都道府県を選択してください。</v>
      </c>
      <c r="Y381">
        <f>IF(G381&lt;&gt;"",0,1)</f>
        <v>1</v>
      </c>
      <c r="AA381" t="str">
        <f>C381&amp;"を選択してください。"</f>
        <v>都道府県を選択してください。</v>
      </c>
    </row>
    <row r="382" spans="2:28" x14ac:dyDescent="0.15">
      <c r="B382" s="5">
        <v>36</v>
      </c>
      <c r="C382" s="5" t="s">
        <v>29</v>
      </c>
      <c r="D382" s="4">
        <f t="shared" si="78"/>
        <v>0</v>
      </c>
      <c r="E382" s="110" t="str">
        <f>DBCS('入力シート（2事業場以降）'!$AD91)</f>
        <v/>
      </c>
      <c r="F382" s="4"/>
      <c r="G382" s="15" t="str">
        <f>IF($D382=1,TRIM(CLEAN('入力シート（2事業場以降）'!AD91)),"")&amp;""</f>
        <v/>
      </c>
      <c r="W382" s="117" t="str">
        <f t="shared" si="79"/>
        <v>OK</v>
      </c>
      <c r="X382" t="str">
        <f t="shared" ca="1" si="90"/>
        <v>市区町村を入力してください。</v>
      </c>
      <c r="Y382">
        <f>IF(G382&lt;&gt;"",0,1)</f>
        <v>1</v>
      </c>
      <c r="AA382" t="str">
        <f>C382&amp;"を入力してください。"</f>
        <v>市区町村を入力してください。</v>
      </c>
    </row>
    <row r="383" spans="2:28" x14ac:dyDescent="0.15">
      <c r="B383" s="5">
        <v>36</v>
      </c>
      <c r="C383" s="5" t="s">
        <v>31</v>
      </c>
      <c r="D383" s="4">
        <f t="shared" si="78"/>
        <v>0</v>
      </c>
      <c r="E383" s="110" t="str">
        <f>DBCS('入力シート（2事業場以降）'!$AH91)</f>
        <v/>
      </c>
      <c r="F383" s="4"/>
      <c r="G383" s="15" t="str">
        <f>IF($D383=1,TRIM(CLEAN('入力シート（2事業場以降）'!AH91)),"")&amp;""</f>
        <v/>
      </c>
      <c r="W383" s="117" t="str">
        <f t="shared" si="79"/>
        <v>OK</v>
      </c>
      <c r="X383" t="str">
        <f t="shared" ca="1" si="90"/>
        <v>町名地番を入力してください。</v>
      </c>
      <c r="Y383">
        <f>IF(G383&lt;&gt;"",0,1)</f>
        <v>1</v>
      </c>
      <c r="AA383" t="str">
        <f>C383&amp;"を入力してください。"</f>
        <v>町名地番を入力してください。</v>
      </c>
    </row>
    <row r="384" spans="2:28" x14ac:dyDescent="0.15">
      <c r="B384" s="5">
        <v>36</v>
      </c>
      <c r="C384" s="5" t="s">
        <v>34</v>
      </c>
      <c r="D384" s="4">
        <f t="shared" si="78"/>
        <v>0</v>
      </c>
      <c r="E384" s="110" t="str">
        <f>DBCS('入力シート（2事業場以降）'!$AL91)</f>
        <v/>
      </c>
      <c r="F384" s="4"/>
      <c r="G384" s="15" t="str">
        <f>IF($D384=1,TRIM(CLEAN('入力シート（2事業場以降）'!AL91)),"")&amp;""</f>
        <v/>
      </c>
      <c r="W384" s="117" t="str">
        <f t="shared" si="79"/>
        <v>OK</v>
      </c>
    </row>
    <row r="385" spans="2:28" x14ac:dyDescent="0.15">
      <c r="B385" s="5">
        <v>37</v>
      </c>
      <c r="C385" s="5" t="s">
        <v>53</v>
      </c>
      <c r="D385" s="4">
        <f t="shared" si="78"/>
        <v>0</v>
      </c>
      <c r="E385" s="4"/>
      <c r="F385" s="4"/>
      <c r="G385" s="16" t="str">
        <f>IF($D385=1,'入力シート（2事業場以降）'!F93,"")&amp;""</f>
        <v/>
      </c>
      <c r="W385" s="117" t="str">
        <f t="shared" si="79"/>
        <v>OK</v>
      </c>
      <c r="X385" t="str">
        <f t="shared" ref="X385:X392" ca="1" si="92">IF(Y385=0,IF(Z385&lt;&gt;0,OFFSET(AA385,0,Z385),$V$1),AA385)</f>
        <v>書類の種類を選択してください。</v>
      </c>
      <c r="Y385">
        <f>IF(G385&lt;&gt;"",0,1)</f>
        <v>1</v>
      </c>
      <c r="AA385" t="str">
        <f>C385&amp;"を選択してください。"</f>
        <v>書類の種類を選択してください。</v>
      </c>
    </row>
    <row r="386" spans="2:28" x14ac:dyDescent="0.15">
      <c r="B386" s="5">
        <v>37</v>
      </c>
      <c r="C386" s="5" t="s">
        <v>424</v>
      </c>
      <c r="D386" s="4">
        <f t="shared" si="78"/>
        <v>0</v>
      </c>
      <c r="E386" s="110" t="str">
        <f>SUBSTITUTE(SUBSTITUTE(SUBSTITUTE(SUBSTITUTE(SUBSTITUTE(SUBSTITUTE(SUBSTITUTE(SUBSTITUTE(SUBSTITUTE(SUBSTITUTE(SUBSTITUTE('入力シート（2事業場以降）'!J93,"０","0"),"１","1"),"２","2"),"３","3"),"４","4"),"５","5"),"６","6"),"７","7"),"８","8"),"９","9"),"．",".")</f>
        <v/>
      </c>
      <c r="F386" s="4" t="str">
        <f t="shared" ref="F386" si="9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386,"Ａ","A"),"Ｂ","B"),"Ｃ","C"),"Ｄ","D"),"Ｅ","E"),"Ｆ","F"),"Ｇ","G"),"Ｈ","H"),"Ｉ","I"),"Ｊ","J"),"Ｋ","K"),"Ｌ","L"),"Ｍ","M"),"Ｎ","N"),"Ｏ","O"),"Ｐ","P"),"Ｑ","Q"),"Ｒ","R"),"Ｓ","S"),"Ｔ","T"),"Ｕ","U"),"Ｖ","V"),"Ｗ","W"),"Ｘ","X"),"Ｙ","Y"),"Ｚ","Z"),"ａ","a"),"ｂ","b"),"ｃ","c"),"ｄ","d"),"ｅ","e"),"ｆ","f"),"ｇ","g"),"ｈ","h"),"ｉ","i"),"ｊ","j"),"ｋ","k"),"ｌ","l"),"ｍ","m"),"ｎ","n"),"ｏ","o"),"ｐ","p"),"ｑ","q"),"ｒ","r"),"ｓ","s"),"ｔ","t"),"ｕ","u"),"ｖ","v"),"ｗ","w"),"ｘ","x"),"ｙ","y"),"ｚ","z"),"＆","&amp;"),"－","-"),"．",".")</f>
        <v/>
      </c>
      <c r="G386" s="15" t="str">
        <f>IF($D386=1,TRIM(CLEAN(F386)),"")&amp;""</f>
        <v/>
      </c>
      <c r="H386" t="str">
        <f>IF(G385&lt;&gt;"",IF(G385="自動車整備士である証明","整備士合格証書番号",LEFT(G385,2)&amp;"番号"),C386)</f>
        <v>認証・指定・認定番号または、整備士合格証書番号</v>
      </c>
      <c r="W386" s="117" t="str">
        <f t="shared" si="79"/>
        <v>OK</v>
      </c>
      <c r="X386" t="str">
        <f t="shared" ca="1" si="92"/>
        <v>認証・指定・認定番号または、整備士合格証書番号を入力してください。</v>
      </c>
      <c r="Y386">
        <f>IF(G386&lt;&gt;"",0,1)</f>
        <v>1</v>
      </c>
      <c r="AA386" t="str">
        <f>H386&amp;"を入力してください。"</f>
        <v>認証・指定・認定番号または、整備士合格証書番号を入力してください。</v>
      </c>
    </row>
    <row r="387" spans="2:28" x14ac:dyDescent="0.15">
      <c r="B387" s="5">
        <v>37</v>
      </c>
      <c r="C387" s="5" t="s">
        <v>54</v>
      </c>
      <c r="D387" s="4">
        <f t="shared" si="78"/>
        <v>0</v>
      </c>
      <c r="E387" s="4"/>
      <c r="F387" s="4" t="s">
        <v>402</v>
      </c>
      <c r="G387" s="15" t="str">
        <f>IF($D387=1,TRIM(CLEAN('入力シート（2事業場以降）'!N93)),"")&amp;""</f>
        <v/>
      </c>
      <c r="W387" s="117" t="str">
        <f t="shared" si="79"/>
        <v>OK</v>
      </c>
      <c r="X387" t="str">
        <f t="shared" ca="1" si="92"/>
        <v>管轄運輸局を入力してください。</v>
      </c>
      <c r="Y387">
        <f>IF(G385&lt;&gt;"自動車整備士である証明",IF(G387&lt;&gt;"",0,1),0)</f>
        <v>1</v>
      </c>
      <c r="AA387" t="str">
        <f>C387&amp;"を入力してください。"</f>
        <v>管轄運輸局を入力してください。</v>
      </c>
    </row>
    <row r="388" spans="2:28" x14ac:dyDescent="0.15">
      <c r="B388" s="5">
        <v>37</v>
      </c>
      <c r="C388" s="5" t="s">
        <v>56</v>
      </c>
      <c r="D388" s="4">
        <f t="shared" si="78"/>
        <v>0</v>
      </c>
      <c r="E388" s="110" t="str">
        <f>DBCS('入力シート（2事業場以降）'!R93)</f>
        <v/>
      </c>
      <c r="F388" s="4" t="str">
        <f>SUBSTITUTE(SUBSTITUTE(SUBSTITUTE(SUBSTITUTE(E388,"　株式会社","株式会社"),"会社　","会社"),"　有限会社","有限会社"),"　合同会社","合同会社")</f>
        <v/>
      </c>
      <c r="G388" s="16" t="str">
        <f>IF($D388=1,TRIM(CLEAN(F388)),"")&amp;""</f>
        <v/>
      </c>
      <c r="W388" s="117" t="str">
        <f t="shared" si="79"/>
        <v>OK</v>
      </c>
      <c r="X388" t="str">
        <f t="shared" ca="1" si="92"/>
        <v>事業場名を入力してください。</v>
      </c>
      <c r="Y388">
        <f>IF(G388&lt;&gt;"",0,1)</f>
        <v>1</v>
      </c>
      <c r="AA388" t="str">
        <f>C388&amp;"を入力してください。"</f>
        <v>事業場名を入力してください。</v>
      </c>
    </row>
    <row r="389" spans="2:28" x14ac:dyDescent="0.15">
      <c r="B389" s="5">
        <v>37</v>
      </c>
      <c r="C389" s="5" t="s">
        <v>24</v>
      </c>
      <c r="D389" s="4">
        <f t="shared" si="78"/>
        <v>0</v>
      </c>
      <c r="E389" s="4"/>
      <c r="F389" s="4"/>
      <c r="G389" s="15" t="str">
        <f>IF($D389=1,TRIM(CLEAN(ASC('入力シート（2事業場以降）'!X93))),"")&amp;""</f>
        <v/>
      </c>
      <c r="H389" s="15" t="str">
        <f>IF($D389=1,TRIM(CLEAN(ASC('入力シート（2事業場以降）'!Z93))),"")&amp;""</f>
        <v/>
      </c>
      <c r="W389" s="117" t="str">
        <f t="shared" si="79"/>
        <v>OK</v>
      </c>
      <c r="X389" t="str">
        <f t="shared" ca="1" si="92"/>
        <v>郵便番号を入力してください。</v>
      </c>
      <c r="Y389">
        <f>IF(AND(LEN(G389)=3,LEN(H389)=4)=TRUE,0,1)</f>
        <v>1</v>
      </c>
      <c r="Z389">
        <f>IFERROR(IF(0&lt;VALUE(G389),0,1),1)</f>
        <v>1</v>
      </c>
      <c r="AA389" t="str">
        <f>C389&amp;"を入力してください。"</f>
        <v>郵便番号を入力してください。</v>
      </c>
      <c r="AB389" t="str">
        <f>"正しい"&amp;C389&amp;"を入力してください。"</f>
        <v>正しい郵便番号を入力してください。</v>
      </c>
    </row>
    <row r="390" spans="2:28" x14ac:dyDescent="0.15">
      <c r="B390" s="5">
        <v>37</v>
      </c>
      <c r="C390" s="5" t="s">
        <v>26</v>
      </c>
      <c r="D390" s="4">
        <f t="shared" si="78"/>
        <v>0</v>
      </c>
      <c r="E390" s="4"/>
      <c r="F390" s="4"/>
      <c r="G390" s="15" t="str">
        <f>IF($D390=1,TRIM(CLEAN('入力シート（2事業場以降）'!AB93)),"")&amp;""</f>
        <v/>
      </c>
      <c r="W390" s="117" t="str">
        <f t="shared" si="79"/>
        <v>OK</v>
      </c>
      <c r="X390" t="str">
        <f t="shared" ca="1" si="92"/>
        <v>都道府県を選択してください。</v>
      </c>
      <c r="Y390">
        <f>IF(G390&lt;&gt;"",0,1)</f>
        <v>1</v>
      </c>
      <c r="AA390" t="str">
        <f>C390&amp;"を選択してください。"</f>
        <v>都道府県を選択してください。</v>
      </c>
    </row>
    <row r="391" spans="2:28" x14ac:dyDescent="0.15">
      <c r="B391" s="5">
        <v>37</v>
      </c>
      <c r="C391" s="5" t="s">
        <v>29</v>
      </c>
      <c r="D391" s="4">
        <f t="shared" ref="D391:D454" si="94">IF(AND(B391&lt;=$G$60),1,0)</f>
        <v>0</v>
      </c>
      <c r="E391" s="110" t="str">
        <f>DBCS('入力シート（2事業場以降）'!$AD93)</f>
        <v/>
      </c>
      <c r="F391" s="4"/>
      <c r="G391" s="15" t="str">
        <f>IF($D391=1,TRIM(CLEAN('入力シート（2事業場以降）'!AD93)),"")&amp;""</f>
        <v/>
      </c>
      <c r="W391" s="117" t="str">
        <f t="shared" ref="W391:W454" si="95">IF(B391&lt;=$G$60,IF(X391="OK",X391,"NG"),"OK")</f>
        <v>OK</v>
      </c>
      <c r="X391" t="str">
        <f t="shared" ca="1" si="92"/>
        <v>市区町村を入力してください。</v>
      </c>
      <c r="Y391">
        <f>IF(G391&lt;&gt;"",0,1)</f>
        <v>1</v>
      </c>
      <c r="AA391" t="str">
        <f>C391&amp;"を入力してください。"</f>
        <v>市区町村を入力してください。</v>
      </c>
    </row>
    <row r="392" spans="2:28" x14ac:dyDescent="0.15">
      <c r="B392" s="5">
        <v>37</v>
      </c>
      <c r="C392" s="5" t="s">
        <v>31</v>
      </c>
      <c r="D392" s="4">
        <f t="shared" si="94"/>
        <v>0</v>
      </c>
      <c r="E392" s="110" t="str">
        <f>DBCS('入力シート（2事業場以降）'!$AH93)</f>
        <v/>
      </c>
      <c r="F392" s="4"/>
      <c r="G392" s="15" t="str">
        <f>IF($D392=1,TRIM(CLEAN('入力シート（2事業場以降）'!AH93)),"")&amp;""</f>
        <v/>
      </c>
      <c r="W392" s="117" t="str">
        <f t="shared" si="95"/>
        <v>OK</v>
      </c>
      <c r="X392" t="str">
        <f t="shared" ca="1" si="92"/>
        <v>町名地番を入力してください。</v>
      </c>
      <c r="Y392">
        <f>IF(G392&lt;&gt;"",0,1)</f>
        <v>1</v>
      </c>
      <c r="AA392" t="str">
        <f>C392&amp;"を入力してください。"</f>
        <v>町名地番を入力してください。</v>
      </c>
    </row>
    <row r="393" spans="2:28" x14ac:dyDescent="0.15">
      <c r="B393" s="5">
        <v>37</v>
      </c>
      <c r="C393" s="5" t="s">
        <v>34</v>
      </c>
      <c r="D393" s="4">
        <f t="shared" si="94"/>
        <v>0</v>
      </c>
      <c r="E393" s="110" t="str">
        <f>DBCS('入力シート（2事業場以降）'!$AL93)</f>
        <v/>
      </c>
      <c r="F393" s="4"/>
      <c r="G393" s="15" t="str">
        <f>IF($D393=1,TRIM(CLEAN('入力シート（2事業場以降）'!AL93)),"")&amp;""</f>
        <v/>
      </c>
      <c r="W393" s="117" t="str">
        <f t="shared" si="95"/>
        <v>OK</v>
      </c>
    </row>
    <row r="394" spans="2:28" x14ac:dyDescent="0.15">
      <c r="B394" s="5">
        <v>38</v>
      </c>
      <c r="C394" s="5" t="s">
        <v>53</v>
      </c>
      <c r="D394" s="4">
        <f t="shared" si="94"/>
        <v>0</v>
      </c>
      <c r="E394" s="4"/>
      <c r="F394" s="4"/>
      <c r="G394" s="16" t="str">
        <f>IF($D394=1,'入力シート（2事業場以降）'!F95,"")&amp;""</f>
        <v/>
      </c>
      <c r="W394" s="117" t="str">
        <f t="shared" si="95"/>
        <v>OK</v>
      </c>
      <c r="X394" t="str">
        <f t="shared" ref="X394:X401" ca="1" si="96">IF(Y394=0,IF(Z394&lt;&gt;0,OFFSET(AA394,0,Z394),$V$1),AA394)</f>
        <v>書類の種類を選択してください。</v>
      </c>
      <c r="Y394">
        <f>IF(G394&lt;&gt;"",0,1)</f>
        <v>1</v>
      </c>
      <c r="AA394" t="str">
        <f>C394&amp;"を選択してください。"</f>
        <v>書類の種類を選択してください。</v>
      </c>
    </row>
    <row r="395" spans="2:28" x14ac:dyDescent="0.15">
      <c r="B395" s="5">
        <v>38</v>
      </c>
      <c r="C395" s="5" t="s">
        <v>424</v>
      </c>
      <c r="D395" s="4">
        <f t="shared" si="94"/>
        <v>0</v>
      </c>
      <c r="E395" s="110" t="str">
        <f>SUBSTITUTE(SUBSTITUTE(SUBSTITUTE(SUBSTITUTE(SUBSTITUTE(SUBSTITUTE(SUBSTITUTE(SUBSTITUTE(SUBSTITUTE(SUBSTITUTE(SUBSTITUTE('入力シート（2事業場以降）'!J95,"０","0"),"１","1"),"２","2"),"３","3"),"４","4"),"５","5"),"６","6"),"７","7"),"８","8"),"９","9"),"．",".")</f>
        <v/>
      </c>
      <c r="F395" s="4" t="str">
        <f t="shared" ref="F395" si="9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395,"Ａ","A"),"Ｂ","B"),"Ｃ","C"),"Ｄ","D"),"Ｅ","E"),"Ｆ","F"),"Ｇ","G"),"Ｈ","H"),"Ｉ","I"),"Ｊ","J"),"Ｋ","K"),"Ｌ","L"),"Ｍ","M"),"Ｎ","N"),"Ｏ","O"),"Ｐ","P"),"Ｑ","Q"),"Ｒ","R"),"Ｓ","S"),"Ｔ","T"),"Ｕ","U"),"Ｖ","V"),"Ｗ","W"),"Ｘ","X"),"Ｙ","Y"),"Ｚ","Z"),"ａ","a"),"ｂ","b"),"ｃ","c"),"ｄ","d"),"ｅ","e"),"ｆ","f"),"ｇ","g"),"ｈ","h"),"ｉ","i"),"ｊ","j"),"ｋ","k"),"ｌ","l"),"ｍ","m"),"ｎ","n"),"ｏ","o"),"ｐ","p"),"ｑ","q"),"ｒ","r"),"ｓ","s"),"ｔ","t"),"ｕ","u"),"ｖ","v"),"ｗ","w"),"ｘ","x"),"ｙ","y"),"ｚ","z"),"＆","&amp;"),"－","-"),"．",".")</f>
        <v/>
      </c>
      <c r="G395" s="15" t="str">
        <f>IF($D395=1,TRIM(CLEAN(F395)),"")&amp;""</f>
        <v/>
      </c>
      <c r="H395" t="str">
        <f>IF(G394&lt;&gt;"",IF(G394="自動車整備士である証明","整備士合格証書番号",LEFT(G394,2)&amp;"番号"),C395)</f>
        <v>認証・指定・認定番号または、整備士合格証書番号</v>
      </c>
      <c r="W395" s="117" t="str">
        <f t="shared" si="95"/>
        <v>OK</v>
      </c>
      <c r="X395" t="str">
        <f t="shared" ca="1" si="96"/>
        <v>認証・指定・認定番号または、整備士合格証書番号を入力してください。</v>
      </c>
      <c r="Y395">
        <f>IF(G395&lt;&gt;"",0,1)</f>
        <v>1</v>
      </c>
      <c r="AA395" t="str">
        <f>H395&amp;"を入力してください。"</f>
        <v>認証・指定・認定番号または、整備士合格証書番号を入力してください。</v>
      </c>
    </row>
    <row r="396" spans="2:28" x14ac:dyDescent="0.15">
      <c r="B396" s="5">
        <v>38</v>
      </c>
      <c r="C396" s="5" t="s">
        <v>54</v>
      </c>
      <c r="D396" s="4">
        <f t="shared" si="94"/>
        <v>0</v>
      </c>
      <c r="E396" s="4"/>
      <c r="F396" s="4" t="s">
        <v>402</v>
      </c>
      <c r="G396" s="15" t="str">
        <f>IF($D396=1,TRIM(CLEAN('入力シート（2事業場以降）'!N95)),"")&amp;""</f>
        <v/>
      </c>
      <c r="W396" s="117" t="str">
        <f t="shared" si="95"/>
        <v>OK</v>
      </c>
      <c r="X396" t="str">
        <f t="shared" ca="1" si="96"/>
        <v>管轄運輸局を入力してください。</v>
      </c>
      <c r="Y396">
        <f>IF(G394&lt;&gt;"自動車整備士である証明",IF(G396&lt;&gt;"",0,1),0)</f>
        <v>1</v>
      </c>
      <c r="AA396" t="str">
        <f>C396&amp;"を入力してください。"</f>
        <v>管轄運輸局を入力してください。</v>
      </c>
    </row>
    <row r="397" spans="2:28" x14ac:dyDescent="0.15">
      <c r="B397" s="5">
        <v>38</v>
      </c>
      <c r="C397" s="5" t="s">
        <v>56</v>
      </c>
      <c r="D397" s="4">
        <f t="shared" si="94"/>
        <v>0</v>
      </c>
      <c r="E397" s="110" t="str">
        <f>DBCS('入力シート（2事業場以降）'!R95)</f>
        <v/>
      </c>
      <c r="F397" s="4" t="str">
        <f>SUBSTITUTE(SUBSTITUTE(SUBSTITUTE(SUBSTITUTE(E397,"　株式会社","株式会社"),"会社　","会社"),"　有限会社","有限会社"),"　合同会社","合同会社")</f>
        <v/>
      </c>
      <c r="G397" s="16" t="str">
        <f>IF($D397=1,TRIM(CLEAN(F397)),"")&amp;""</f>
        <v/>
      </c>
      <c r="W397" s="117" t="str">
        <f t="shared" si="95"/>
        <v>OK</v>
      </c>
      <c r="X397" t="str">
        <f t="shared" ca="1" si="96"/>
        <v>事業場名を入力してください。</v>
      </c>
      <c r="Y397">
        <f>IF(G397&lt;&gt;"",0,1)</f>
        <v>1</v>
      </c>
      <c r="AA397" t="str">
        <f>C397&amp;"を入力してください。"</f>
        <v>事業場名を入力してください。</v>
      </c>
    </row>
    <row r="398" spans="2:28" x14ac:dyDescent="0.15">
      <c r="B398" s="5">
        <v>38</v>
      </c>
      <c r="C398" s="5" t="s">
        <v>24</v>
      </c>
      <c r="D398" s="4">
        <f t="shared" si="94"/>
        <v>0</v>
      </c>
      <c r="E398" s="4"/>
      <c r="F398" s="4"/>
      <c r="G398" s="15" t="str">
        <f>IF($D398=1,TRIM(CLEAN(ASC('入力シート（2事業場以降）'!X95))),"")&amp;""</f>
        <v/>
      </c>
      <c r="H398" s="15" t="str">
        <f>IF($D398=1,TRIM(CLEAN(ASC('入力シート（2事業場以降）'!Z95))),"")&amp;""</f>
        <v/>
      </c>
      <c r="W398" s="117" t="str">
        <f t="shared" si="95"/>
        <v>OK</v>
      </c>
      <c r="X398" t="str">
        <f t="shared" ca="1" si="96"/>
        <v>郵便番号を入力してください。</v>
      </c>
      <c r="Y398">
        <f>IF(AND(LEN(G398)=3,LEN(H398)=4)=TRUE,0,1)</f>
        <v>1</v>
      </c>
      <c r="Z398">
        <f>IFERROR(IF(0&lt;VALUE(G398),0,1),1)</f>
        <v>1</v>
      </c>
      <c r="AA398" t="str">
        <f>C398&amp;"を入力してください。"</f>
        <v>郵便番号を入力してください。</v>
      </c>
      <c r="AB398" t="str">
        <f>"正しい"&amp;C398&amp;"を入力してください。"</f>
        <v>正しい郵便番号を入力してください。</v>
      </c>
    </row>
    <row r="399" spans="2:28" x14ac:dyDescent="0.15">
      <c r="B399" s="5">
        <v>38</v>
      </c>
      <c r="C399" s="5" t="s">
        <v>26</v>
      </c>
      <c r="D399" s="4">
        <f t="shared" si="94"/>
        <v>0</v>
      </c>
      <c r="E399" s="4"/>
      <c r="F399" s="4"/>
      <c r="G399" s="15" t="str">
        <f>IF($D399=1,TRIM(CLEAN('入力シート（2事業場以降）'!AB95)),"")&amp;""</f>
        <v/>
      </c>
      <c r="W399" s="117" t="str">
        <f t="shared" si="95"/>
        <v>OK</v>
      </c>
      <c r="X399" t="str">
        <f t="shared" ca="1" si="96"/>
        <v>都道府県を選択してください。</v>
      </c>
      <c r="Y399">
        <f>IF(G399&lt;&gt;"",0,1)</f>
        <v>1</v>
      </c>
      <c r="AA399" t="str">
        <f>C399&amp;"を選択してください。"</f>
        <v>都道府県を選択してください。</v>
      </c>
    </row>
    <row r="400" spans="2:28" x14ac:dyDescent="0.15">
      <c r="B400" s="5">
        <v>38</v>
      </c>
      <c r="C400" s="5" t="s">
        <v>29</v>
      </c>
      <c r="D400" s="4">
        <f t="shared" si="94"/>
        <v>0</v>
      </c>
      <c r="E400" s="110" t="str">
        <f>DBCS('入力シート（2事業場以降）'!$AD95)</f>
        <v/>
      </c>
      <c r="F400" s="4"/>
      <c r="G400" s="15" t="str">
        <f>IF($D400=1,TRIM(CLEAN('入力シート（2事業場以降）'!AD95)),"")&amp;""</f>
        <v/>
      </c>
      <c r="W400" s="117" t="str">
        <f t="shared" si="95"/>
        <v>OK</v>
      </c>
      <c r="X400" t="str">
        <f t="shared" ca="1" si="96"/>
        <v>市区町村を入力してください。</v>
      </c>
      <c r="Y400">
        <f>IF(G400&lt;&gt;"",0,1)</f>
        <v>1</v>
      </c>
      <c r="AA400" t="str">
        <f>C400&amp;"を入力してください。"</f>
        <v>市区町村を入力してください。</v>
      </c>
    </row>
    <row r="401" spans="2:28" x14ac:dyDescent="0.15">
      <c r="B401" s="5">
        <v>38</v>
      </c>
      <c r="C401" s="5" t="s">
        <v>31</v>
      </c>
      <c r="D401" s="4">
        <f t="shared" si="94"/>
        <v>0</v>
      </c>
      <c r="E401" s="110" t="str">
        <f>DBCS('入力シート（2事業場以降）'!$AH95)</f>
        <v/>
      </c>
      <c r="F401" s="4"/>
      <c r="G401" s="15" t="str">
        <f>IF($D401=1,TRIM(CLEAN('入力シート（2事業場以降）'!AH95)),"")&amp;""</f>
        <v/>
      </c>
      <c r="W401" s="117" t="str">
        <f t="shared" si="95"/>
        <v>OK</v>
      </c>
      <c r="X401" t="str">
        <f t="shared" ca="1" si="96"/>
        <v>町名地番を入力してください。</v>
      </c>
      <c r="Y401">
        <f>IF(G401&lt;&gt;"",0,1)</f>
        <v>1</v>
      </c>
      <c r="AA401" t="str">
        <f>C401&amp;"を入力してください。"</f>
        <v>町名地番を入力してください。</v>
      </c>
    </row>
    <row r="402" spans="2:28" x14ac:dyDescent="0.15">
      <c r="B402" s="5">
        <v>38</v>
      </c>
      <c r="C402" s="5" t="s">
        <v>34</v>
      </c>
      <c r="D402" s="4">
        <f t="shared" si="94"/>
        <v>0</v>
      </c>
      <c r="E402" s="110" t="str">
        <f>DBCS('入力シート（2事業場以降）'!$AL95)</f>
        <v/>
      </c>
      <c r="F402" s="4"/>
      <c r="G402" s="15" t="str">
        <f>IF($D402=1,TRIM(CLEAN('入力シート（2事業場以降）'!AL95)),"")&amp;""</f>
        <v/>
      </c>
      <c r="W402" s="117" t="str">
        <f t="shared" si="95"/>
        <v>OK</v>
      </c>
    </row>
    <row r="403" spans="2:28" x14ac:dyDescent="0.15">
      <c r="B403" s="5">
        <v>39</v>
      </c>
      <c r="C403" s="5" t="s">
        <v>53</v>
      </c>
      <c r="D403" s="4">
        <f t="shared" si="94"/>
        <v>0</v>
      </c>
      <c r="E403" s="4"/>
      <c r="F403" s="4"/>
      <c r="G403" s="16" t="str">
        <f>IF($D403=1,'入力シート（2事業場以降）'!F97,"")&amp;""</f>
        <v/>
      </c>
      <c r="W403" s="117" t="str">
        <f t="shared" si="95"/>
        <v>OK</v>
      </c>
      <c r="X403" t="str">
        <f t="shared" ref="X403:X410" ca="1" si="98">IF(Y403=0,IF(Z403&lt;&gt;0,OFFSET(AA403,0,Z403),$V$1),AA403)</f>
        <v>書類の種類を選択してください。</v>
      </c>
      <c r="Y403">
        <f>IF(G403&lt;&gt;"",0,1)</f>
        <v>1</v>
      </c>
      <c r="AA403" t="str">
        <f>C403&amp;"を選択してください。"</f>
        <v>書類の種類を選択してください。</v>
      </c>
    </row>
    <row r="404" spans="2:28" x14ac:dyDescent="0.15">
      <c r="B404" s="5">
        <v>39</v>
      </c>
      <c r="C404" s="5" t="s">
        <v>424</v>
      </c>
      <c r="D404" s="4">
        <f t="shared" si="94"/>
        <v>0</v>
      </c>
      <c r="E404" s="110" t="str">
        <f>SUBSTITUTE(SUBSTITUTE(SUBSTITUTE(SUBSTITUTE(SUBSTITUTE(SUBSTITUTE(SUBSTITUTE(SUBSTITUTE(SUBSTITUTE(SUBSTITUTE(SUBSTITUTE('入力シート（2事業場以降）'!J97,"０","0"),"１","1"),"２","2"),"３","3"),"４","4"),"５","5"),"６","6"),"７","7"),"８","8"),"９","9"),"．",".")</f>
        <v/>
      </c>
      <c r="F404" s="4" t="str">
        <f t="shared" ref="F404" si="9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404,"Ａ","A"),"Ｂ","B"),"Ｃ","C"),"Ｄ","D"),"Ｅ","E"),"Ｆ","F"),"Ｇ","G"),"Ｈ","H"),"Ｉ","I"),"Ｊ","J"),"Ｋ","K"),"Ｌ","L"),"Ｍ","M"),"Ｎ","N"),"Ｏ","O"),"Ｐ","P"),"Ｑ","Q"),"Ｒ","R"),"Ｓ","S"),"Ｔ","T"),"Ｕ","U"),"Ｖ","V"),"Ｗ","W"),"Ｘ","X"),"Ｙ","Y"),"Ｚ","Z"),"ａ","a"),"ｂ","b"),"ｃ","c"),"ｄ","d"),"ｅ","e"),"ｆ","f"),"ｇ","g"),"ｈ","h"),"ｉ","i"),"ｊ","j"),"ｋ","k"),"ｌ","l"),"ｍ","m"),"ｎ","n"),"ｏ","o"),"ｐ","p"),"ｑ","q"),"ｒ","r"),"ｓ","s"),"ｔ","t"),"ｕ","u"),"ｖ","v"),"ｗ","w"),"ｘ","x"),"ｙ","y"),"ｚ","z"),"＆","&amp;"),"－","-"),"．",".")</f>
        <v/>
      </c>
      <c r="G404" s="15" t="str">
        <f>IF($D404=1,TRIM(CLEAN(F404)),"")&amp;""</f>
        <v/>
      </c>
      <c r="H404" t="str">
        <f>IF(G403&lt;&gt;"",IF(G403="自動車整備士である証明","整備士合格証書番号",LEFT(G403,2)&amp;"番号"),C404)</f>
        <v>認証・指定・認定番号または、整備士合格証書番号</v>
      </c>
      <c r="W404" s="117" t="str">
        <f t="shared" si="95"/>
        <v>OK</v>
      </c>
      <c r="X404" t="str">
        <f t="shared" ca="1" si="98"/>
        <v>認証・指定・認定番号または、整備士合格証書番号を入力してください。</v>
      </c>
      <c r="Y404">
        <f>IF(G404&lt;&gt;"",0,1)</f>
        <v>1</v>
      </c>
      <c r="AA404" t="str">
        <f>H404&amp;"を入力してください。"</f>
        <v>認証・指定・認定番号または、整備士合格証書番号を入力してください。</v>
      </c>
    </row>
    <row r="405" spans="2:28" x14ac:dyDescent="0.15">
      <c r="B405" s="5">
        <v>39</v>
      </c>
      <c r="C405" s="5" t="s">
        <v>54</v>
      </c>
      <c r="D405" s="4">
        <f t="shared" si="94"/>
        <v>0</v>
      </c>
      <c r="E405" s="4"/>
      <c r="F405" s="4" t="s">
        <v>402</v>
      </c>
      <c r="G405" s="15" t="str">
        <f>IF($D405=1,TRIM(CLEAN('入力シート（2事業場以降）'!N97)),"")&amp;""</f>
        <v/>
      </c>
      <c r="W405" s="117" t="str">
        <f t="shared" si="95"/>
        <v>OK</v>
      </c>
      <c r="X405" t="str">
        <f t="shared" ca="1" si="98"/>
        <v>管轄運輸局を入力してください。</v>
      </c>
      <c r="Y405">
        <f>IF(G403&lt;&gt;"自動車整備士である証明",IF(G405&lt;&gt;"",0,1),0)</f>
        <v>1</v>
      </c>
      <c r="AA405" t="str">
        <f>C405&amp;"を入力してください。"</f>
        <v>管轄運輸局を入力してください。</v>
      </c>
    </row>
    <row r="406" spans="2:28" x14ac:dyDescent="0.15">
      <c r="B406" s="5">
        <v>39</v>
      </c>
      <c r="C406" s="5" t="s">
        <v>56</v>
      </c>
      <c r="D406" s="4">
        <f t="shared" si="94"/>
        <v>0</v>
      </c>
      <c r="E406" s="110" t="str">
        <f>DBCS('入力シート（2事業場以降）'!R97)</f>
        <v/>
      </c>
      <c r="F406" s="4" t="str">
        <f>SUBSTITUTE(SUBSTITUTE(SUBSTITUTE(SUBSTITUTE(E406,"　株式会社","株式会社"),"会社　","会社"),"　有限会社","有限会社"),"　合同会社","合同会社")</f>
        <v/>
      </c>
      <c r="G406" s="16" t="str">
        <f>IF($D406=1,TRIM(CLEAN(F406)),"")&amp;""</f>
        <v/>
      </c>
      <c r="W406" s="117" t="str">
        <f t="shared" si="95"/>
        <v>OK</v>
      </c>
      <c r="X406" t="str">
        <f t="shared" ca="1" si="98"/>
        <v>事業場名を入力してください。</v>
      </c>
      <c r="Y406">
        <f>IF(G406&lt;&gt;"",0,1)</f>
        <v>1</v>
      </c>
      <c r="AA406" t="str">
        <f>C406&amp;"を入力してください。"</f>
        <v>事業場名を入力してください。</v>
      </c>
    </row>
    <row r="407" spans="2:28" x14ac:dyDescent="0.15">
      <c r="B407" s="5">
        <v>39</v>
      </c>
      <c r="C407" s="5" t="s">
        <v>24</v>
      </c>
      <c r="D407" s="4">
        <f t="shared" si="94"/>
        <v>0</v>
      </c>
      <c r="E407" s="4"/>
      <c r="F407" s="4"/>
      <c r="G407" s="15" t="str">
        <f>IF($D407=1,TRIM(CLEAN(ASC('入力シート（2事業場以降）'!X97))),"")&amp;""</f>
        <v/>
      </c>
      <c r="H407" s="15" t="str">
        <f>IF($D407=1,TRIM(CLEAN(ASC('入力シート（2事業場以降）'!Z97))),"")&amp;""</f>
        <v/>
      </c>
      <c r="W407" s="117" t="str">
        <f t="shared" si="95"/>
        <v>OK</v>
      </c>
      <c r="X407" t="str">
        <f t="shared" ca="1" si="98"/>
        <v>郵便番号を入力してください。</v>
      </c>
      <c r="Y407">
        <f>IF(AND(LEN(G407)=3,LEN(H407)=4)=TRUE,0,1)</f>
        <v>1</v>
      </c>
      <c r="Z407">
        <f>IFERROR(IF(0&lt;VALUE(G407),0,1),1)</f>
        <v>1</v>
      </c>
      <c r="AA407" t="str">
        <f>C407&amp;"を入力してください。"</f>
        <v>郵便番号を入力してください。</v>
      </c>
      <c r="AB407" t="str">
        <f>"正しい"&amp;C407&amp;"を入力してください。"</f>
        <v>正しい郵便番号を入力してください。</v>
      </c>
    </row>
    <row r="408" spans="2:28" x14ac:dyDescent="0.15">
      <c r="B408" s="5">
        <v>39</v>
      </c>
      <c r="C408" s="5" t="s">
        <v>26</v>
      </c>
      <c r="D408" s="4">
        <f t="shared" si="94"/>
        <v>0</v>
      </c>
      <c r="E408" s="4"/>
      <c r="F408" s="4"/>
      <c r="G408" s="15" t="str">
        <f>IF($D408=1,TRIM(CLEAN('入力シート（2事業場以降）'!AB97)),"")&amp;""</f>
        <v/>
      </c>
      <c r="W408" s="117" t="str">
        <f t="shared" si="95"/>
        <v>OK</v>
      </c>
      <c r="X408" t="str">
        <f t="shared" ca="1" si="98"/>
        <v>都道府県を選択してください。</v>
      </c>
      <c r="Y408">
        <f>IF(G408&lt;&gt;"",0,1)</f>
        <v>1</v>
      </c>
      <c r="AA408" t="str">
        <f>C408&amp;"を選択してください。"</f>
        <v>都道府県を選択してください。</v>
      </c>
    </row>
    <row r="409" spans="2:28" x14ac:dyDescent="0.15">
      <c r="B409" s="5">
        <v>39</v>
      </c>
      <c r="C409" s="5" t="s">
        <v>29</v>
      </c>
      <c r="D409" s="4">
        <f t="shared" si="94"/>
        <v>0</v>
      </c>
      <c r="E409" s="110" t="str">
        <f>DBCS('入力シート（2事業場以降）'!$AD97)</f>
        <v/>
      </c>
      <c r="F409" s="4"/>
      <c r="G409" s="15" t="str">
        <f>IF($D409=1,TRIM(CLEAN('入力シート（2事業場以降）'!AD97)),"")&amp;""</f>
        <v/>
      </c>
      <c r="W409" s="117" t="str">
        <f t="shared" si="95"/>
        <v>OK</v>
      </c>
      <c r="X409" t="str">
        <f t="shared" ca="1" si="98"/>
        <v>市区町村を入力してください。</v>
      </c>
      <c r="Y409">
        <f>IF(G409&lt;&gt;"",0,1)</f>
        <v>1</v>
      </c>
      <c r="AA409" t="str">
        <f>C409&amp;"を入力してください。"</f>
        <v>市区町村を入力してください。</v>
      </c>
    </row>
    <row r="410" spans="2:28" x14ac:dyDescent="0.15">
      <c r="B410" s="5">
        <v>39</v>
      </c>
      <c r="C410" s="5" t="s">
        <v>31</v>
      </c>
      <c r="D410" s="4">
        <f t="shared" si="94"/>
        <v>0</v>
      </c>
      <c r="E410" s="110" t="str">
        <f>DBCS('入力シート（2事業場以降）'!$AH97)</f>
        <v/>
      </c>
      <c r="F410" s="4"/>
      <c r="G410" s="15" t="str">
        <f>IF($D410=1,TRIM(CLEAN('入力シート（2事業場以降）'!AH97)),"")&amp;""</f>
        <v/>
      </c>
      <c r="W410" s="117" t="str">
        <f t="shared" si="95"/>
        <v>OK</v>
      </c>
      <c r="X410" t="str">
        <f t="shared" ca="1" si="98"/>
        <v>町名地番を入力してください。</v>
      </c>
      <c r="Y410">
        <f>IF(G410&lt;&gt;"",0,1)</f>
        <v>1</v>
      </c>
      <c r="AA410" t="str">
        <f>C410&amp;"を入力してください。"</f>
        <v>町名地番を入力してください。</v>
      </c>
    </row>
    <row r="411" spans="2:28" x14ac:dyDescent="0.15">
      <c r="B411" s="5">
        <v>39</v>
      </c>
      <c r="C411" s="5" t="s">
        <v>34</v>
      </c>
      <c r="D411" s="4">
        <f t="shared" si="94"/>
        <v>0</v>
      </c>
      <c r="E411" s="110" t="str">
        <f>DBCS('入力シート（2事業場以降）'!$AL97)</f>
        <v/>
      </c>
      <c r="F411" s="4"/>
      <c r="G411" s="15" t="str">
        <f>IF($D411=1,TRIM(CLEAN('入力シート（2事業場以降）'!AL97)),"")&amp;""</f>
        <v/>
      </c>
      <c r="W411" s="117" t="str">
        <f t="shared" si="95"/>
        <v>OK</v>
      </c>
    </row>
    <row r="412" spans="2:28" x14ac:dyDescent="0.15">
      <c r="B412" s="5">
        <v>40</v>
      </c>
      <c r="C412" s="5" t="s">
        <v>53</v>
      </c>
      <c r="D412" s="4">
        <f t="shared" si="94"/>
        <v>0</v>
      </c>
      <c r="E412" s="4"/>
      <c r="F412" s="4"/>
      <c r="G412" s="16" t="str">
        <f>IF($D412=1,'入力シート（2事業場以降）'!F99,"")&amp;""</f>
        <v/>
      </c>
      <c r="W412" s="117" t="str">
        <f t="shared" si="95"/>
        <v>OK</v>
      </c>
      <c r="X412" t="str">
        <f t="shared" ref="X412:X419" ca="1" si="100">IF(Y412=0,IF(Z412&lt;&gt;0,OFFSET(AA412,0,Z412),$V$1),AA412)</f>
        <v>書類の種類を選択してください。</v>
      </c>
      <c r="Y412">
        <f>IF(G412&lt;&gt;"",0,1)</f>
        <v>1</v>
      </c>
      <c r="AA412" t="str">
        <f>C412&amp;"を選択してください。"</f>
        <v>書類の種類を選択してください。</v>
      </c>
    </row>
    <row r="413" spans="2:28" x14ac:dyDescent="0.15">
      <c r="B413" s="5">
        <v>40</v>
      </c>
      <c r="C413" s="5" t="s">
        <v>424</v>
      </c>
      <c r="D413" s="4">
        <f t="shared" si="94"/>
        <v>0</v>
      </c>
      <c r="E413" s="110" t="str">
        <f>SUBSTITUTE(SUBSTITUTE(SUBSTITUTE(SUBSTITUTE(SUBSTITUTE(SUBSTITUTE(SUBSTITUTE(SUBSTITUTE(SUBSTITUTE(SUBSTITUTE(SUBSTITUTE('入力シート（2事業場以降）'!J99,"０","0"),"１","1"),"２","2"),"３","3"),"４","4"),"５","5"),"６","6"),"７","7"),"８","8"),"９","9"),"．",".")</f>
        <v/>
      </c>
      <c r="F413" s="4" t="str">
        <f t="shared" ref="F413" si="10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413,"Ａ","A"),"Ｂ","B"),"Ｃ","C"),"Ｄ","D"),"Ｅ","E"),"Ｆ","F"),"Ｇ","G"),"Ｈ","H"),"Ｉ","I"),"Ｊ","J"),"Ｋ","K"),"Ｌ","L"),"Ｍ","M"),"Ｎ","N"),"Ｏ","O"),"Ｐ","P"),"Ｑ","Q"),"Ｒ","R"),"Ｓ","S"),"Ｔ","T"),"Ｕ","U"),"Ｖ","V"),"Ｗ","W"),"Ｘ","X"),"Ｙ","Y"),"Ｚ","Z"),"ａ","a"),"ｂ","b"),"ｃ","c"),"ｄ","d"),"ｅ","e"),"ｆ","f"),"ｇ","g"),"ｈ","h"),"ｉ","i"),"ｊ","j"),"ｋ","k"),"ｌ","l"),"ｍ","m"),"ｎ","n"),"ｏ","o"),"ｐ","p"),"ｑ","q"),"ｒ","r"),"ｓ","s"),"ｔ","t"),"ｕ","u"),"ｖ","v"),"ｗ","w"),"ｘ","x"),"ｙ","y"),"ｚ","z"),"＆","&amp;"),"－","-"),"．",".")</f>
        <v/>
      </c>
      <c r="G413" s="15" t="str">
        <f>IF($D413=1,TRIM(CLEAN(F413)),"")&amp;""</f>
        <v/>
      </c>
      <c r="H413" t="str">
        <f>IF(G412&lt;&gt;"",IF(G412="自動車整備士である証明","整備士合格証書番号",LEFT(G412,2)&amp;"番号"),C413)</f>
        <v>認証・指定・認定番号または、整備士合格証書番号</v>
      </c>
      <c r="W413" s="117" t="str">
        <f t="shared" si="95"/>
        <v>OK</v>
      </c>
      <c r="X413" t="str">
        <f t="shared" ca="1" si="100"/>
        <v>認証・指定・認定番号または、整備士合格証書番号を入力してください。</v>
      </c>
      <c r="Y413">
        <f>IF(G413&lt;&gt;"",0,1)</f>
        <v>1</v>
      </c>
      <c r="AA413" t="str">
        <f>H413&amp;"を入力してください。"</f>
        <v>認証・指定・認定番号または、整備士合格証書番号を入力してください。</v>
      </c>
    </row>
    <row r="414" spans="2:28" x14ac:dyDescent="0.15">
      <c r="B414" s="5">
        <v>40</v>
      </c>
      <c r="C414" s="5" t="s">
        <v>54</v>
      </c>
      <c r="D414" s="4">
        <f t="shared" si="94"/>
        <v>0</v>
      </c>
      <c r="E414" s="4"/>
      <c r="F414" s="4" t="s">
        <v>402</v>
      </c>
      <c r="G414" s="15" t="str">
        <f>IF($D414=1,TRIM(CLEAN('入力シート（2事業場以降）'!N99)),"")&amp;""</f>
        <v/>
      </c>
      <c r="W414" s="117" t="str">
        <f t="shared" si="95"/>
        <v>OK</v>
      </c>
      <c r="X414" t="str">
        <f t="shared" ca="1" si="100"/>
        <v>管轄運輸局を入力してください。</v>
      </c>
      <c r="Y414">
        <f>IF(G412&lt;&gt;"自動車整備士である証明",IF(G414&lt;&gt;"",0,1),0)</f>
        <v>1</v>
      </c>
      <c r="AA414" t="str">
        <f>C414&amp;"を入力してください。"</f>
        <v>管轄運輸局を入力してください。</v>
      </c>
    </row>
    <row r="415" spans="2:28" x14ac:dyDescent="0.15">
      <c r="B415" s="5">
        <v>40</v>
      </c>
      <c r="C415" s="5" t="s">
        <v>56</v>
      </c>
      <c r="D415" s="4">
        <f t="shared" si="94"/>
        <v>0</v>
      </c>
      <c r="E415" s="110" t="str">
        <f>DBCS('入力シート（2事業場以降）'!R99)</f>
        <v/>
      </c>
      <c r="F415" s="4" t="str">
        <f>SUBSTITUTE(SUBSTITUTE(SUBSTITUTE(SUBSTITUTE(E415,"　株式会社","株式会社"),"会社　","会社"),"　有限会社","有限会社"),"　合同会社","合同会社")</f>
        <v/>
      </c>
      <c r="G415" s="16" t="str">
        <f>IF($D415=1,TRIM(CLEAN(F415)),"")&amp;""</f>
        <v/>
      </c>
      <c r="W415" s="117" t="str">
        <f t="shared" si="95"/>
        <v>OK</v>
      </c>
      <c r="X415" t="str">
        <f t="shared" ca="1" si="100"/>
        <v>事業場名を入力してください。</v>
      </c>
      <c r="Y415">
        <f>IF(G415&lt;&gt;"",0,1)</f>
        <v>1</v>
      </c>
      <c r="AA415" t="str">
        <f>C415&amp;"を入力してください。"</f>
        <v>事業場名を入力してください。</v>
      </c>
    </row>
    <row r="416" spans="2:28" x14ac:dyDescent="0.15">
      <c r="B416" s="5">
        <v>40</v>
      </c>
      <c r="C416" s="5" t="s">
        <v>24</v>
      </c>
      <c r="D416" s="4">
        <f t="shared" si="94"/>
        <v>0</v>
      </c>
      <c r="E416" s="4"/>
      <c r="F416" s="4"/>
      <c r="G416" s="15" t="str">
        <f>IF($D416=1,TRIM(CLEAN(ASC('入力シート（2事業場以降）'!X99))),"")&amp;""</f>
        <v/>
      </c>
      <c r="H416" s="15" t="str">
        <f>IF($D416=1,TRIM(CLEAN(ASC('入力シート（2事業場以降）'!Z99))),"")&amp;""</f>
        <v/>
      </c>
      <c r="W416" s="117" t="str">
        <f t="shared" si="95"/>
        <v>OK</v>
      </c>
      <c r="X416" t="str">
        <f t="shared" ca="1" si="100"/>
        <v>郵便番号を入力してください。</v>
      </c>
      <c r="Y416">
        <f>IF(AND(LEN(G416)=3,LEN(H416)=4)=TRUE,0,1)</f>
        <v>1</v>
      </c>
      <c r="Z416">
        <f>IFERROR(IF(0&lt;VALUE(G416),0,1),1)</f>
        <v>1</v>
      </c>
      <c r="AA416" t="str">
        <f>C416&amp;"を入力してください。"</f>
        <v>郵便番号を入力してください。</v>
      </c>
      <c r="AB416" t="str">
        <f>"正しい"&amp;C416&amp;"を入力してください。"</f>
        <v>正しい郵便番号を入力してください。</v>
      </c>
    </row>
    <row r="417" spans="2:28" x14ac:dyDescent="0.15">
      <c r="B417" s="5">
        <v>40</v>
      </c>
      <c r="C417" s="5" t="s">
        <v>26</v>
      </c>
      <c r="D417" s="4">
        <f t="shared" si="94"/>
        <v>0</v>
      </c>
      <c r="E417" s="4"/>
      <c r="F417" s="4"/>
      <c r="G417" s="15" t="str">
        <f>IF($D417=1,TRIM(CLEAN('入力シート（2事業場以降）'!AB99)),"")&amp;""</f>
        <v/>
      </c>
      <c r="W417" s="117" t="str">
        <f t="shared" si="95"/>
        <v>OK</v>
      </c>
      <c r="X417" t="str">
        <f t="shared" ca="1" si="100"/>
        <v>都道府県を選択してください。</v>
      </c>
      <c r="Y417">
        <f>IF(G417&lt;&gt;"",0,1)</f>
        <v>1</v>
      </c>
      <c r="AA417" t="str">
        <f>C417&amp;"を選択してください。"</f>
        <v>都道府県を選択してください。</v>
      </c>
    </row>
    <row r="418" spans="2:28" x14ac:dyDescent="0.15">
      <c r="B418" s="5">
        <v>40</v>
      </c>
      <c r="C418" s="5" t="s">
        <v>29</v>
      </c>
      <c r="D418" s="4">
        <f t="shared" si="94"/>
        <v>0</v>
      </c>
      <c r="E418" s="110" t="str">
        <f>DBCS('入力シート（2事業場以降）'!$AD99)</f>
        <v/>
      </c>
      <c r="F418" s="4"/>
      <c r="G418" s="15" t="str">
        <f>IF($D418=1,TRIM(CLEAN('入力シート（2事業場以降）'!AD99)),"")&amp;""</f>
        <v/>
      </c>
      <c r="W418" s="117" t="str">
        <f t="shared" si="95"/>
        <v>OK</v>
      </c>
      <c r="X418" t="str">
        <f t="shared" ca="1" si="100"/>
        <v>市区町村を入力してください。</v>
      </c>
      <c r="Y418">
        <f>IF(G418&lt;&gt;"",0,1)</f>
        <v>1</v>
      </c>
      <c r="AA418" t="str">
        <f>C418&amp;"を入力してください。"</f>
        <v>市区町村を入力してください。</v>
      </c>
    </row>
    <row r="419" spans="2:28" x14ac:dyDescent="0.15">
      <c r="B419" s="5">
        <v>40</v>
      </c>
      <c r="C419" s="5" t="s">
        <v>31</v>
      </c>
      <c r="D419" s="4">
        <f t="shared" si="94"/>
        <v>0</v>
      </c>
      <c r="E419" s="110" t="str">
        <f>DBCS('入力シート（2事業場以降）'!$AH99)</f>
        <v/>
      </c>
      <c r="F419" s="4"/>
      <c r="G419" s="15" t="str">
        <f>IF($D419=1,TRIM(CLEAN('入力シート（2事業場以降）'!AH99)),"")&amp;""</f>
        <v/>
      </c>
      <c r="W419" s="117" t="str">
        <f t="shared" si="95"/>
        <v>OK</v>
      </c>
      <c r="X419" t="str">
        <f t="shared" ca="1" si="100"/>
        <v>町名地番を入力してください。</v>
      </c>
      <c r="Y419">
        <f>IF(G419&lt;&gt;"",0,1)</f>
        <v>1</v>
      </c>
      <c r="AA419" t="str">
        <f>C419&amp;"を入力してください。"</f>
        <v>町名地番を入力してください。</v>
      </c>
    </row>
    <row r="420" spans="2:28" x14ac:dyDescent="0.15">
      <c r="B420" s="5">
        <v>40</v>
      </c>
      <c r="C420" s="5" t="s">
        <v>34</v>
      </c>
      <c r="D420" s="4">
        <f t="shared" si="94"/>
        <v>0</v>
      </c>
      <c r="E420" s="110" t="str">
        <f>DBCS('入力シート（2事業場以降）'!$AL99)</f>
        <v/>
      </c>
      <c r="F420" s="4"/>
      <c r="G420" s="15" t="str">
        <f>IF($D420=1,TRIM(CLEAN('入力シート（2事業場以降）'!AL99)),"")&amp;""</f>
        <v/>
      </c>
      <c r="W420" s="117" t="str">
        <f t="shared" si="95"/>
        <v>OK</v>
      </c>
    </row>
    <row r="421" spans="2:28" x14ac:dyDescent="0.15">
      <c r="B421" s="5">
        <v>41</v>
      </c>
      <c r="C421" s="5" t="s">
        <v>53</v>
      </c>
      <c r="D421" s="4">
        <f t="shared" si="94"/>
        <v>0</v>
      </c>
      <c r="E421" s="4"/>
      <c r="F421" s="4"/>
      <c r="G421" s="16" t="str">
        <f>IF($D421=1,'入力シート（2事業場以降）'!F101,"")&amp;""</f>
        <v/>
      </c>
      <c r="W421" s="117" t="str">
        <f t="shared" si="95"/>
        <v>OK</v>
      </c>
      <c r="X421" t="str">
        <f t="shared" ref="X421:X428" ca="1" si="102">IF(Y421=0,IF(Z421&lt;&gt;0,OFFSET(AA421,0,Z421),$V$1),AA421)</f>
        <v>書類の種類を選択してください。</v>
      </c>
      <c r="Y421">
        <f>IF(G421&lt;&gt;"",0,1)</f>
        <v>1</v>
      </c>
      <c r="AA421" t="str">
        <f>C421&amp;"を選択してください。"</f>
        <v>書類の種類を選択してください。</v>
      </c>
    </row>
    <row r="422" spans="2:28" x14ac:dyDescent="0.15">
      <c r="B422" s="5">
        <v>41</v>
      </c>
      <c r="C422" s="5" t="s">
        <v>424</v>
      </c>
      <c r="D422" s="4">
        <f t="shared" si="94"/>
        <v>0</v>
      </c>
      <c r="E422" s="110" t="str">
        <f>SUBSTITUTE(SUBSTITUTE(SUBSTITUTE(SUBSTITUTE(SUBSTITUTE(SUBSTITUTE(SUBSTITUTE(SUBSTITUTE(SUBSTITUTE(SUBSTITUTE(SUBSTITUTE('入力シート（2事業場以降）'!J101,"０","0"),"１","1"),"２","2"),"３","3"),"４","4"),"５","5"),"６","6"),"７","7"),"８","8"),"９","9"),"．",".")</f>
        <v/>
      </c>
      <c r="F422" s="4" t="str">
        <f t="shared" ref="F422" si="10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422,"Ａ","A"),"Ｂ","B"),"Ｃ","C"),"Ｄ","D"),"Ｅ","E"),"Ｆ","F"),"Ｇ","G"),"Ｈ","H"),"Ｉ","I"),"Ｊ","J"),"Ｋ","K"),"Ｌ","L"),"Ｍ","M"),"Ｎ","N"),"Ｏ","O"),"Ｐ","P"),"Ｑ","Q"),"Ｒ","R"),"Ｓ","S"),"Ｔ","T"),"Ｕ","U"),"Ｖ","V"),"Ｗ","W"),"Ｘ","X"),"Ｙ","Y"),"Ｚ","Z"),"ａ","a"),"ｂ","b"),"ｃ","c"),"ｄ","d"),"ｅ","e"),"ｆ","f"),"ｇ","g"),"ｈ","h"),"ｉ","i"),"ｊ","j"),"ｋ","k"),"ｌ","l"),"ｍ","m"),"ｎ","n"),"ｏ","o"),"ｐ","p"),"ｑ","q"),"ｒ","r"),"ｓ","s"),"ｔ","t"),"ｕ","u"),"ｖ","v"),"ｗ","w"),"ｘ","x"),"ｙ","y"),"ｚ","z"),"＆","&amp;"),"－","-"),"．",".")</f>
        <v/>
      </c>
      <c r="G422" s="15" t="str">
        <f>IF($D422=1,TRIM(CLEAN(F422)),"")&amp;""</f>
        <v/>
      </c>
      <c r="H422" t="str">
        <f>IF(G421&lt;&gt;"",IF(G421="自動車整備士である証明","整備士合格証書番号",LEFT(G421,2)&amp;"番号"),C422)</f>
        <v>認証・指定・認定番号または、整備士合格証書番号</v>
      </c>
      <c r="W422" s="117" t="str">
        <f t="shared" si="95"/>
        <v>OK</v>
      </c>
      <c r="X422" t="str">
        <f t="shared" ca="1" si="102"/>
        <v>認証・指定・認定番号または、整備士合格証書番号を入力してください。</v>
      </c>
      <c r="Y422">
        <f>IF(G422&lt;&gt;"",0,1)</f>
        <v>1</v>
      </c>
      <c r="AA422" t="str">
        <f>H422&amp;"を入力してください。"</f>
        <v>認証・指定・認定番号または、整備士合格証書番号を入力してください。</v>
      </c>
    </row>
    <row r="423" spans="2:28" x14ac:dyDescent="0.15">
      <c r="B423" s="5">
        <v>41</v>
      </c>
      <c r="C423" s="5" t="s">
        <v>155</v>
      </c>
      <c r="D423" s="4">
        <f t="shared" si="94"/>
        <v>0</v>
      </c>
      <c r="E423" s="4"/>
      <c r="F423" s="4" t="s">
        <v>402</v>
      </c>
      <c r="G423" s="15" t="str">
        <f>IF($D423=1,TRIM(CLEAN('入力シート（2事業場以降）'!N101)),"")&amp;""</f>
        <v/>
      </c>
      <c r="W423" s="117" t="str">
        <f t="shared" si="95"/>
        <v>OK</v>
      </c>
      <c r="X423" t="str">
        <f t="shared" ca="1" si="102"/>
        <v>管轄運輸局を入力してください。</v>
      </c>
      <c r="Y423">
        <f>IF(G421&lt;&gt;"自動車整備士である証明",IF(G423&lt;&gt;"",0,1),0)</f>
        <v>1</v>
      </c>
      <c r="AA423" t="str">
        <f>C423&amp;"を入力してください。"</f>
        <v>管轄運輸局を入力してください。</v>
      </c>
    </row>
    <row r="424" spans="2:28" x14ac:dyDescent="0.15">
      <c r="B424" s="5">
        <v>41</v>
      </c>
      <c r="C424" s="5" t="s">
        <v>56</v>
      </c>
      <c r="D424" s="4">
        <f t="shared" si="94"/>
        <v>0</v>
      </c>
      <c r="E424" s="110" t="str">
        <f>DBCS('入力シート（2事業場以降）'!R101)</f>
        <v/>
      </c>
      <c r="F424" s="4" t="str">
        <f>SUBSTITUTE(SUBSTITUTE(SUBSTITUTE(SUBSTITUTE(E424,"　株式会社","株式会社"),"会社　","会社"),"　有限会社","有限会社"),"　合同会社","合同会社")</f>
        <v/>
      </c>
      <c r="G424" s="16" t="str">
        <f>IF($D424=1,TRIM(CLEAN(F424)),"")&amp;""</f>
        <v/>
      </c>
      <c r="W424" s="117" t="str">
        <f t="shared" si="95"/>
        <v>OK</v>
      </c>
      <c r="X424" t="str">
        <f t="shared" ca="1" si="102"/>
        <v>事業場名を入力してください。</v>
      </c>
      <c r="Y424">
        <f>IF(G424&lt;&gt;"",0,1)</f>
        <v>1</v>
      </c>
      <c r="AA424" t="str">
        <f>C424&amp;"を入力してください。"</f>
        <v>事業場名を入力してください。</v>
      </c>
    </row>
    <row r="425" spans="2:28" x14ac:dyDescent="0.15">
      <c r="B425" s="5">
        <v>41</v>
      </c>
      <c r="C425" s="5" t="s">
        <v>24</v>
      </c>
      <c r="D425" s="4">
        <f t="shared" si="94"/>
        <v>0</v>
      </c>
      <c r="E425" s="4"/>
      <c r="F425" s="4"/>
      <c r="G425" s="15" t="str">
        <f>IF($D425=1,TRIM(CLEAN(ASC('入力シート（2事業場以降）'!X101))),"")&amp;""</f>
        <v/>
      </c>
      <c r="H425" s="15" t="str">
        <f>IF($D425=1,TRIM(CLEAN(ASC('入力シート（2事業場以降）'!Z101))),"")&amp;""</f>
        <v/>
      </c>
      <c r="W425" s="117" t="str">
        <f t="shared" si="95"/>
        <v>OK</v>
      </c>
      <c r="X425" t="str">
        <f t="shared" ca="1" si="102"/>
        <v>郵便番号を入力してください。</v>
      </c>
      <c r="Y425">
        <f>IF(AND(LEN(G425)=3,LEN(H425)=4)=TRUE,0,1)</f>
        <v>1</v>
      </c>
      <c r="Z425">
        <f>IFERROR(IF(0&lt;VALUE(G425),0,1),1)</f>
        <v>1</v>
      </c>
      <c r="AA425" t="str">
        <f>C425&amp;"を入力してください。"</f>
        <v>郵便番号を入力してください。</v>
      </c>
      <c r="AB425" t="str">
        <f>"正しい"&amp;C425&amp;"を入力してください。"</f>
        <v>正しい郵便番号を入力してください。</v>
      </c>
    </row>
    <row r="426" spans="2:28" x14ac:dyDescent="0.15">
      <c r="B426" s="5">
        <v>41</v>
      </c>
      <c r="C426" s="5" t="s">
        <v>26</v>
      </c>
      <c r="D426" s="4">
        <f t="shared" si="94"/>
        <v>0</v>
      </c>
      <c r="E426" s="4"/>
      <c r="F426" s="4"/>
      <c r="G426" s="15" t="str">
        <f>IF($D426=1,TRIM(CLEAN('入力シート（2事業場以降）'!AB101)),"")&amp;""</f>
        <v/>
      </c>
      <c r="W426" s="117" t="str">
        <f t="shared" si="95"/>
        <v>OK</v>
      </c>
      <c r="X426" t="str">
        <f t="shared" ca="1" si="102"/>
        <v>都道府県を選択してください。</v>
      </c>
      <c r="Y426">
        <f>IF(G426&lt;&gt;"",0,1)</f>
        <v>1</v>
      </c>
      <c r="AA426" t="str">
        <f>C426&amp;"を選択してください。"</f>
        <v>都道府県を選択してください。</v>
      </c>
    </row>
    <row r="427" spans="2:28" x14ac:dyDescent="0.15">
      <c r="B427" s="5">
        <v>41</v>
      </c>
      <c r="C427" s="5" t="s">
        <v>29</v>
      </c>
      <c r="D427" s="4">
        <f t="shared" si="94"/>
        <v>0</v>
      </c>
      <c r="E427" s="110" t="str">
        <f>DBCS('入力シート（2事業場以降）'!$AD101)</f>
        <v/>
      </c>
      <c r="F427" s="4"/>
      <c r="G427" s="15" t="str">
        <f>IF($D427=1,TRIM(CLEAN('入力シート（2事業場以降）'!AD101)),"")&amp;""</f>
        <v/>
      </c>
      <c r="W427" s="117" t="str">
        <f t="shared" si="95"/>
        <v>OK</v>
      </c>
      <c r="X427" t="str">
        <f t="shared" ca="1" si="102"/>
        <v>市区町村を入力してください。</v>
      </c>
      <c r="Y427">
        <f>IF(G427&lt;&gt;"",0,1)</f>
        <v>1</v>
      </c>
      <c r="AA427" t="str">
        <f>C427&amp;"を入力してください。"</f>
        <v>市区町村を入力してください。</v>
      </c>
    </row>
    <row r="428" spans="2:28" x14ac:dyDescent="0.15">
      <c r="B428" s="5">
        <v>41</v>
      </c>
      <c r="C428" s="5" t="s">
        <v>31</v>
      </c>
      <c r="D428" s="4">
        <f t="shared" si="94"/>
        <v>0</v>
      </c>
      <c r="E428" s="110" t="str">
        <f>DBCS('入力シート（2事業場以降）'!$AH101)</f>
        <v/>
      </c>
      <c r="F428" s="4"/>
      <c r="G428" s="15" t="str">
        <f>IF($D428=1,TRIM(CLEAN('入力シート（2事業場以降）'!AH101)),"")&amp;""</f>
        <v/>
      </c>
      <c r="W428" s="117" t="str">
        <f t="shared" si="95"/>
        <v>OK</v>
      </c>
      <c r="X428" t="str">
        <f t="shared" ca="1" si="102"/>
        <v>町名地番を入力してください。</v>
      </c>
      <c r="Y428">
        <f>IF(G428&lt;&gt;"",0,1)</f>
        <v>1</v>
      </c>
      <c r="AA428" t="str">
        <f>C428&amp;"を入力してください。"</f>
        <v>町名地番を入力してください。</v>
      </c>
    </row>
    <row r="429" spans="2:28" x14ac:dyDescent="0.15">
      <c r="B429" s="5">
        <v>41</v>
      </c>
      <c r="C429" s="5" t="s">
        <v>34</v>
      </c>
      <c r="D429" s="4">
        <f t="shared" si="94"/>
        <v>0</v>
      </c>
      <c r="E429" s="110" t="str">
        <f>DBCS('入力シート（2事業場以降）'!$AL101)</f>
        <v/>
      </c>
      <c r="F429" s="4"/>
      <c r="G429" s="15" t="str">
        <f>IF($D429=1,TRIM(CLEAN('入力シート（2事業場以降）'!AL101)),"")&amp;""</f>
        <v/>
      </c>
      <c r="W429" s="117" t="str">
        <f t="shared" si="95"/>
        <v>OK</v>
      </c>
    </row>
    <row r="430" spans="2:28" x14ac:dyDescent="0.15">
      <c r="B430" s="5">
        <v>42</v>
      </c>
      <c r="C430" s="5" t="s">
        <v>53</v>
      </c>
      <c r="D430" s="4">
        <f t="shared" si="94"/>
        <v>0</v>
      </c>
      <c r="E430" s="4"/>
      <c r="F430" s="4"/>
      <c r="G430" s="16" t="str">
        <f>IF($D430=1,'入力シート（2事業場以降）'!F103,"")&amp;""</f>
        <v/>
      </c>
      <c r="W430" s="117" t="str">
        <f t="shared" si="95"/>
        <v>OK</v>
      </c>
      <c r="X430" t="str">
        <f t="shared" ref="X430:X437" ca="1" si="104">IF(Y430=0,IF(Z430&lt;&gt;0,OFFSET(AA430,0,Z430),$V$1),AA430)</f>
        <v>書類の種類を選択してください。</v>
      </c>
      <c r="Y430">
        <f>IF(G430&lt;&gt;"",0,1)</f>
        <v>1</v>
      </c>
      <c r="AA430" t="str">
        <f>C430&amp;"を選択してください。"</f>
        <v>書類の種類を選択してください。</v>
      </c>
    </row>
    <row r="431" spans="2:28" x14ac:dyDescent="0.15">
      <c r="B431" s="5">
        <v>42</v>
      </c>
      <c r="C431" s="5" t="s">
        <v>424</v>
      </c>
      <c r="D431" s="4">
        <f t="shared" si="94"/>
        <v>0</v>
      </c>
      <c r="E431" s="110" t="str">
        <f>SUBSTITUTE(SUBSTITUTE(SUBSTITUTE(SUBSTITUTE(SUBSTITUTE(SUBSTITUTE(SUBSTITUTE(SUBSTITUTE(SUBSTITUTE(SUBSTITUTE(SUBSTITUTE('入力シート（2事業場以降）'!J103,"０","0"),"１","1"),"２","2"),"３","3"),"４","4"),"５","5"),"６","6"),"７","7"),"８","8"),"９","9"),"．",".")</f>
        <v/>
      </c>
      <c r="F431" s="4" t="str">
        <f t="shared" ref="F431" si="10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431,"Ａ","A"),"Ｂ","B"),"Ｃ","C"),"Ｄ","D"),"Ｅ","E"),"Ｆ","F"),"Ｇ","G"),"Ｈ","H"),"Ｉ","I"),"Ｊ","J"),"Ｋ","K"),"Ｌ","L"),"Ｍ","M"),"Ｎ","N"),"Ｏ","O"),"Ｐ","P"),"Ｑ","Q"),"Ｒ","R"),"Ｓ","S"),"Ｔ","T"),"Ｕ","U"),"Ｖ","V"),"Ｗ","W"),"Ｘ","X"),"Ｙ","Y"),"Ｚ","Z"),"ａ","a"),"ｂ","b"),"ｃ","c"),"ｄ","d"),"ｅ","e"),"ｆ","f"),"ｇ","g"),"ｈ","h"),"ｉ","i"),"ｊ","j"),"ｋ","k"),"ｌ","l"),"ｍ","m"),"ｎ","n"),"ｏ","o"),"ｐ","p"),"ｑ","q"),"ｒ","r"),"ｓ","s"),"ｔ","t"),"ｕ","u"),"ｖ","v"),"ｗ","w"),"ｘ","x"),"ｙ","y"),"ｚ","z"),"＆","&amp;"),"－","-"),"．",".")</f>
        <v/>
      </c>
      <c r="G431" s="15" t="str">
        <f>IF($D431=1,TRIM(CLEAN(F431)),"")&amp;""</f>
        <v/>
      </c>
      <c r="H431" t="str">
        <f>IF(G430&lt;&gt;"",IF(G430="自動車整備士である証明","整備士合格証書番号",LEFT(G430,2)&amp;"番号"),C431)</f>
        <v>認証・指定・認定番号または、整備士合格証書番号</v>
      </c>
      <c r="W431" s="117" t="str">
        <f t="shared" si="95"/>
        <v>OK</v>
      </c>
      <c r="X431" t="str">
        <f t="shared" ca="1" si="104"/>
        <v>認証・指定・認定番号または、整備士合格証書番号を入力してください。</v>
      </c>
      <c r="Y431">
        <f>IF(G431&lt;&gt;"",0,1)</f>
        <v>1</v>
      </c>
      <c r="AA431" t="str">
        <f>H431&amp;"を入力してください。"</f>
        <v>認証・指定・認定番号または、整備士合格証書番号を入力してください。</v>
      </c>
    </row>
    <row r="432" spans="2:28" x14ac:dyDescent="0.15">
      <c r="B432" s="5">
        <v>42</v>
      </c>
      <c r="C432" s="5" t="s">
        <v>54</v>
      </c>
      <c r="D432" s="4">
        <f t="shared" si="94"/>
        <v>0</v>
      </c>
      <c r="E432" s="4"/>
      <c r="F432" s="4" t="s">
        <v>402</v>
      </c>
      <c r="G432" s="15" t="str">
        <f>IF($D432=1,TRIM(CLEAN('入力シート（2事業場以降）'!N103)),"")&amp;""</f>
        <v/>
      </c>
      <c r="W432" s="117" t="str">
        <f t="shared" si="95"/>
        <v>OK</v>
      </c>
      <c r="X432" t="str">
        <f t="shared" ca="1" si="104"/>
        <v>管轄運輸局を入力してください。</v>
      </c>
      <c r="Y432">
        <f>IF(G430&lt;&gt;"自動車整備士である証明",IF(G432&lt;&gt;"",0,1),0)</f>
        <v>1</v>
      </c>
      <c r="AA432" t="str">
        <f>C432&amp;"を入力してください。"</f>
        <v>管轄運輸局を入力してください。</v>
      </c>
    </row>
    <row r="433" spans="2:28" x14ac:dyDescent="0.15">
      <c r="B433" s="5">
        <v>42</v>
      </c>
      <c r="C433" s="5" t="s">
        <v>56</v>
      </c>
      <c r="D433" s="4">
        <f t="shared" si="94"/>
        <v>0</v>
      </c>
      <c r="E433" s="110" t="str">
        <f>DBCS('入力シート（2事業場以降）'!R103)</f>
        <v/>
      </c>
      <c r="F433" s="4" t="str">
        <f>SUBSTITUTE(SUBSTITUTE(SUBSTITUTE(SUBSTITUTE(E433,"　株式会社","株式会社"),"会社　","会社"),"　有限会社","有限会社"),"　合同会社","合同会社")</f>
        <v/>
      </c>
      <c r="G433" s="16" t="str">
        <f>IF($D433=1,TRIM(CLEAN(F433)),"")&amp;""</f>
        <v/>
      </c>
      <c r="W433" s="117" t="str">
        <f t="shared" si="95"/>
        <v>OK</v>
      </c>
      <c r="X433" t="str">
        <f t="shared" ca="1" si="104"/>
        <v>事業場名を入力してください。</v>
      </c>
      <c r="Y433">
        <f>IF(G433&lt;&gt;"",0,1)</f>
        <v>1</v>
      </c>
      <c r="AA433" t="str">
        <f>C433&amp;"を入力してください。"</f>
        <v>事業場名を入力してください。</v>
      </c>
    </row>
    <row r="434" spans="2:28" x14ac:dyDescent="0.15">
      <c r="B434" s="5">
        <v>42</v>
      </c>
      <c r="C434" s="5" t="s">
        <v>24</v>
      </c>
      <c r="D434" s="4">
        <f t="shared" si="94"/>
        <v>0</v>
      </c>
      <c r="E434" s="4"/>
      <c r="F434" s="4"/>
      <c r="G434" s="15" t="str">
        <f>IF($D434=1,TRIM(CLEAN(ASC('入力シート（2事業場以降）'!X103))),"")&amp;""</f>
        <v/>
      </c>
      <c r="H434" s="15" t="str">
        <f>IF($D434=1,TRIM(CLEAN(ASC('入力シート（2事業場以降）'!Z103))),"")&amp;""</f>
        <v/>
      </c>
      <c r="W434" s="117" t="str">
        <f t="shared" si="95"/>
        <v>OK</v>
      </c>
      <c r="X434" t="str">
        <f t="shared" ca="1" si="104"/>
        <v>郵便番号を入力してください。</v>
      </c>
      <c r="Y434">
        <f>IF(AND(LEN(G434)=3,LEN(H434)=4)=TRUE,0,1)</f>
        <v>1</v>
      </c>
      <c r="Z434">
        <f>IFERROR(IF(0&lt;VALUE(G434),0,1),1)</f>
        <v>1</v>
      </c>
      <c r="AA434" t="str">
        <f>C434&amp;"を入力してください。"</f>
        <v>郵便番号を入力してください。</v>
      </c>
      <c r="AB434" t="str">
        <f>"正しい"&amp;C434&amp;"を入力してください。"</f>
        <v>正しい郵便番号を入力してください。</v>
      </c>
    </row>
    <row r="435" spans="2:28" x14ac:dyDescent="0.15">
      <c r="B435" s="5">
        <v>42</v>
      </c>
      <c r="C435" s="5" t="s">
        <v>26</v>
      </c>
      <c r="D435" s="4">
        <f t="shared" si="94"/>
        <v>0</v>
      </c>
      <c r="E435" s="4"/>
      <c r="F435" s="4"/>
      <c r="G435" s="15" t="str">
        <f>IF($D435=1,TRIM(CLEAN('入力シート（2事業場以降）'!AB103)),"")&amp;""</f>
        <v/>
      </c>
      <c r="W435" s="117" t="str">
        <f t="shared" si="95"/>
        <v>OK</v>
      </c>
      <c r="X435" t="str">
        <f t="shared" ca="1" si="104"/>
        <v>都道府県を選択してください。</v>
      </c>
      <c r="Y435">
        <f>IF(G435&lt;&gt;"",0,1)</f>
        <v>1</v>
      </c>
      <c r="AA435" t="str">
        <f>C435&amp;"を選択してください。"</f>
        <v>都道府県を選択してください。</v>
      </c>
    </row>
    <row r="436" spans="2:28" x14ac:dyDescent="0.15">
      <c r="B436" s="5">
        <v>42</v>
      </c>
      <c r="C436" s="5" t="s">
        <v>29</v>
      </c>
      <c r="D436" s="4">
        <f t="shared" si="94"/>
        <v>0</v>
      </c>
      <c r="E436" s="110" t="str">
        <f>DBCS('入力シート（2事業場以降）'!$AD103)</f>
        <v/>
      </c>
      <c r="F436" s="4"/>
      <c r="G436" s="15" t="str">
        <f>IF($D436=1,TRIM(CLEAN('入力シート（2事業場以降）'!AD103)),"")&amp;""</f>
        <v/>
      </c>
      <c r="W436" s="117" t="str">
        <f t="shared" si="95"/>
        <v>OK</v>
      </c>
      <c r="X436" t="str">
        <f t="shared" ca="1" si="104"/>
        <v>市区町村を入力してください。</v>
      </c>
      <c r="Y436">
        <f>IF(G436&lt;&gt;"",0,1)</f>
        <v>1</v>
      </c>
      <c r="AA436" t="str">
        <f>C436&amp;"を入力してください。"</f>
        <v>市区町村を入力してください。</v>
      </c>
    </row>
    <row r="437" spans="2:28" x14ac:dyDescent="0.15">
      <c r="B437" s="5">
        <v>42</v>
      </c>
      <c r="C437" s="5" t="s">
        <v>31</v>
      </c>
      <c r="D437" s="4">
        <f t="shared" si="94"/>
        <v>0</v>
      </c>
      <c r="E437" s="110" t="str">
        <f>DBCS('入力シート（2事業場以降）'!$AH103)</f>
        <v/>
      </c>
      <c r="F437" s="4"/>
      <c r="G437" s="15" t="str">
        <f>IF($D437=1,TRIM(CLEAN('入力シート（2事業場以降）'!AH103)),"")&amp;""</f>
        <v/>
      </c>
      <c r="W437" s="117" t="str">
        <f t="shared" si="95"/>
        <v>OK</v>
      </c>
      <c r="X437" t="str">
        <f t="shared" ca="1" si="104"/>
        <v>町名地番を入力してください。</v>
      </c>
      <c r="Y437">
        <f>IF(G437&lt;&gt;"",0,1)</f>
        <v>1</v>
      </c>
      <c r="AA437" t="str">
        <f>C437&amp;"を入力してください。"</f>
        <v>町名地番を入力してください。</v>
      </c>
    </row>
    <row r="438" spans="2:28" x14ac:dyDescent="0.15">
      <c r="B438" s="5">
        <v>42</v>
      </c>
      <c r="C438" s="5" t="s">
        <v>34</v>
      </c>
      <c r="D438" s="4">
        <f t="shared" si="94"/>
        <v>0</v>
      </c>
      <c r="E438" s="110" t="str">
        <f>DBCS('入力シート（2事業場以降）'!$AL103)</f>
        <v/>
      </c>
      <c r="F438" s="4"/>
      <c r="G438" s="15" t="str">
        <f>IF($D438=1,TRIM(CLEAN('入力シート（2事業場以降）'!AL103)),"")&amp;""</f>
        <v/>
      </c>
      <c r="W438" s="117" t="str">
        <f t="shared" si="95"/>
        <v>OK</v>
      </c>
    </row>
    <row r="439" spans="2:28" x14ac:dyDescent="0.15">
      <c r="B439" s="5">
        <v>43</v>
      </c>
      <c r="C439" s="5" t="s">
        <v>53</v>
      </c>
      <c r="D439" s="4">
        <f t="shared" si="94"/>
        <v>0</v>
      </c>
      <c r="E439" s="4"/>
      <c r="F439" s="4"/>
      <c r="G439" s="16" t="str">
        <f>IF($D439=1,'入力シート（2事業場以降）'!F105,"")&amp;""</f>
        <v/>
      </c>
      <c r="W439" s="117" t="str">
        <f t="shared" si="95"/>
        <v>OK</v>
      </c>
      <c r="X439" t="str">
        <f t="shared" ref="X439:X446" ca="1" si="106">IF(Y439=0,IF(Z439&lt;&gt;0,OFFSET(AA439,0,Z439),$V$1),AA439)</f>
        <v>書類の種類を選択してください。</v>
      </c>
      <c r="Y439">
        <f>IF(G439&lt;&gt;"",0,1)</f>
        <v>1</v>
      </c>
      <c r="AA439" t="str">
        <f>C439&amp;"を選択してください。"</f>
        <v>書類の種類を選択してください。</v>
      </c>
    </row>
    <row r="440" spans="2:28" x14ac:dyDescent="0.15">
      <c r="B440" s="5">
        <v>43</v>
      </c>
      <c r="C440" s="5" t="s">
        <v>424</v>
      </c>
      <c r="D440" s="4">
        <f t="shared" si="94"/>
        <v>0</v>
      </c>
      <c r="E440" s="110" t="str">
        <f>SUBSTITUTE(SUBSTITUTE(SUBSTITUTE(SUBSTITUTE(SUBSTITUTE(SUBSTITUTE(SUBSTITUTE(SUBSTITUTE(SUBSTITUTE(SUBSTITUTE(SUBSTITUTE('入力シート（2事業場以降）'!J105,"０","0"),"１","1"),"２","2"),"３","3"),"４","4"),"５","5"),"６","6"),"７","7"),"８","8"),"９","9"),"．",".")</f>
        <v/>
      </c>
      <c r="F440" s="4" t="str">
        <f t="shared" ref="F440" si="10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440,"Ａ","A"),"Ｂ","B"),"Ｃ","C"),"Ｄ","D"),"Ｅ","E"),"Ｆ","F"),"Ｇ","G"),"Ｈ","H"),"Ｉ","I"),"Ｊ","J"),"Ｋ","K"),"Ｌ","L"),"Ｍ","M"),"Ｎ","N"),"Ｏ","O"),"Ｐ","P"),"Ｑ","Q"),"Ｒ","R"),"Ｓ","S"),"Ｔ","T"),"Ｕ","U"),"Ｖ","V"),"Ｗ","W"),"Ｘ","X"),"Ｙ","Y"),"Ｚ","Z"),"ａ","a"),"ｂ","b"),"ｃ","c"),"ｄ","d"),"ｅ","e"),"ｆ","f"),"ｇ","g"),"ｈ","h"),"ｉ","i"),"ｊ","j"),"ｋ","k"),"ｌ","l"),"ｍ","m"),"ｎ","n"),"ｏ","o"),"ｐ","p"),"ｑ","q"),"ｒ","r"),"ｓ","s"),"ｔ","t"),"ｕ","u"),"ｖ","v"),"ｗ","w"),"ｘ","x"),"ｙ","y"),"ｚ","z"),"＆","&amp;"),"－","-"),"．",".")</f>
        <v/>
      </c>
      <c r="G440" s="15" t="str">
        <f>IF($D440=1,TRIM(CLEAN(F440)),"")&amp;""</f>
        <v/>
      </c>
      <c r="H440" t="str">
        <f>IF(G439&lt;&gt;"",IF(G439="自動車整備士である証明","整備士合格証書番号",LEFT(G439,2)&amp;"番号"),C440)</f>
        <v>認証・指定・認定番号または、整備士合格証書番号</v>
      </c>
      <c r="W440" s="117" t="str">
        <f t="shared" si="95"/>
        <v>OK</v>
      </c>
      <c r="X440" t="str">
        <f t="shared" ca="1" si="106"/>
        <v>認証・指定・認定番号または、整備士合格証書番号を入力してください。</v>
      </c>
      <c r="Y440">
        <f>IF(G440&lt;&gt;"",0,1)</f>
        <v>1</v>
      </c>
      <c r="AA440" t="str">
        <f>H440&amp;"を入力してください。"</f>
        <v>認証・指定・認定番号または、整備士合格証書番号を入力してください。</v>
      </c>
    </row>
    <row r="441" spans="2:28" x14ac:dyDescent="0.15">
      <c r="B441" s="5">
        <v>43</v>
      </c>
      <c r="C441" s="5" t="s">
        <v>54</v>
      </c>
      <c r="D441" s="4">
        <f t="shared" si="94"/>
        <v>0</v>
      </c>
      <c r="E441" s="4"/>
      <c r="F441" s="4" t="s">
        <v>402</v>
      </c>
      <c r="G441" s="15" t="str">
        <f>IF($D441=1,TRIM(CLEAN('入力シート（2事業場以降）'!N105)),"")&amp;""</f>
        <v/>
      </c>
      <c r="W441" s="117" t="str">
        <f t="shared" si="95"/>
        <v>OK</v>
      </c>
      <c r="X441" t="str">
        <f t="shared" ca="1" si="106"/>
        <v>管轄運輸局を入力してください。</v>
      </c>
      <c r="Y441">
        <f>IF(G439&lt;&gt;"自動車整備士である証明",IF(G441&lt;&gt;"",0,1),0)</f>
        <v>1</v>
      </c>
      <c r="AA441" t="str">
        <f>C441&amp;"を入力してください。"</f>
        <v>管轄運輸局を入力してください。</v>
      </c>
    </row>
    <row r="442" spans="2:28" x14ac:dyDescent="0.15">
      <c r="B442" s="5">
        <v>43</v>
      </c>
      <c r="C442" s="5" t="s">
        <v>56</v>
      </c>
      <c r="D442" s="4">
        <f t="shared" si="94"/>
        <v>0</v>
      </c>
      <c r="E442" s="110" t="str">
        <f>DBCS('入力シート（2事業場以降）'!R105)</f>
        <v/>
      </c>
      <c r="F442" s="4" t="str">
        <f>SUBSTITUTE(SUBSTITUTE(SUBSTITUTE(SUBSTITUTE(E442,"　株式会社","株式会社"),"会社　","会社"),"　有限会社","有限会社"),"　合同会社","合同会社")</f>
        <v/>
      </c>
      <c r="G442" s="16" t="str">
        <f>IF($D442=1,TRIM(CLEAN(F442)),"")&amp;""</f>
        <v/>
      </c>
      <c r="W442" s="117" t="str">
        <f t="shared" si="95"/>
        <v>OK</v>
      </c>
      <c r="X442" t="str">
        <f t="shared" ca="1" si="106"/>
        <v>事業場名を入力してください。</v>
      </c>
      <c r="Y442">
        <f>IF(G442&lt;&gt;"",0,1)</f>
        <v>1</v>
      </c>
      <c r="AA442" t="str">
        <f>C442&amp;"を入力してください。"</f>
        <v>事業場名を入力してください。</v>
      </c>
    </row>
    <row r="443" spans="2:28" x14ac:dyDescent="0.15">
      <c r="B443" s="5">
        <v>43</v>
      </c>
      <c r="C443" s="5" t="s">
        <v>24</v>
      </c>
      <c r="D443" s="4">
        <f t="shared" si="94"/>
        <v>0</v>
      </c>
      <c r="E443" s="4"/>
      <c r="F443" s="4"/>
      <c r="G443" s="15" t="str">
        <f>IF($D443=1,TRIM(CLEAN(ASC('入力シート（2事業場以降）'!X105))),"")&amp;""</f>
        <v/>
      </c>
      <c r="H443" s="15" t="str">
        <f>IF($D443=1,TRIM(CLEAN(ASC('入力シート（2事業場以降）'!Z105))),"")&amp;""</f>
        <v/>
      </c>
      <c r="W443" s="117" t="str">
        <f t="shared" si="95"/>
        <v>OK</v>
      </c>
      <c r="X443" t="str">
        <f t="shared" ca="1" si="106"/>
        <v>郵便番号を入力してください。</v>
      </c>
      <c r="Y443">
        <f>IF(AND(LEN(G443)=3,LEN(H443)=4)=TRUE,0,1)</f>
        <v>1</v>
      </c>
      <c r="Z443">
        <f>IFERROR(IF(0&lt;VALUE(G443),0,1),1)</f>
        <v>1</v>
      </c>
      <c r="AA443" t="str">
        <f>C443&amp;"を入力してください。"</f>
        <v>郵便番号を入力してください。</v>
      </c>
      <c r="AB443" t="str">
        <f>"正しい"&amp;C443&amp;"を入力してください。"</f>
        <v>正しい郵便番号を入力してください。</v>
      </c>
    </row>
    <row r="444" spans="2:28" x14ac:dyDescent="0.15">
      <c r="B444" s="5">
        <v>43</v>
      </c>
      <c r="C444" s="5" t="s">
        <v>26</v>
      </c>
      <c r="D444" s="4">
        <f t="shared" si="94"/>
        <v>0</v>
      </c>
      <c r="E444" s="4"/>
      <c r="F444" s="4"/>
      <c r="G444" s="15" t="str">
        <f>IF($D444=1,TRIM(CLEAN('入力シート（2事業場以降）'!AB105)),"")&amp;""</f>
        <v/>
      </c>
      <c r="W444" s="117" t="str">
        <f t="shared" si="95"/>
        <v>OK</v>
      </c>
      <c r="X444" t="str">
        <f t="shared" ca="1" si="106"/>
        <v>都道府県を選択してください。</v>
      </c>
      <c r="Y444">
        <f>IF(G444&lt;&gt;"",0,1)</f>
        <v>1</v>
      </c>
      <c r="AA444" t="str">
        <f>C444&amp;"を選択してください。"</f>
        <v>都道府県を選択してください。</v>
      </c>
    </row>
    <row r="445" spans="2:28" x14ac:dyDescent="0.15">
      <c r="B445" s="5">
        <v>43</v>
      </c>
      <c r="C445" s="5" t="s">
        <v>29</v>
      </c>
      <c r="D445" s="4">
        <f t="shared" si="94"/>
        <v>0</v>
      </c>
      <c r="E445" s="110" t="str">
        <f>DBCS('入力シート（2事業場以降）'!$AD105)</f>
        <v/>
      </c>
      <c r="F445" s="4"/>
      <c r="G445" s="15" t="str">
        <f>IF($D445=1,TRIM(CLEAN('入力シート（2事業場以降）'!AD105)),"")&amp;""</f>
        <v/>
      </c>
      <c r="W445" s="117" t="str">
        <f t="shared" si="95"/>
        <v>OK</v>
      </c>
      <c r="X445" t="str">
        <f t="shared" ca="1" si="106"/>
        <v>市区町村を入力してください。</v>
      </c>
      <c r="Y445">
        <f>IF(G445&lt;&gt;"",0,1)</f>
        <v>1</v>
      </c>
      <c r="AA445" t="str">
        <f>C445&amp;"を入力してください。"</f>
        <v>市区町村を入力してください。</v>
      </c>
    </row>
    <row r="446" spans="2:28" x14ac:dyDescent="0.15">
      <c r="B446" s="5">
        <v>43</v>
      </c>
      <c r="C446" s="5" t="s">
        <v>31</v>
      </c>
      <c r="D446" s="4">
        <f t="shared" si="94"/>
        <v>0</v>
      </c>
      <c r="E446" s="110" t="str">
        <f>DBCS('入力シート（2事業場以降）'!$AH105)</f>
        <v/>
      </c>
      <c r="F446" s="4"/>
      <c r="G446" s="15" t="str">
        <f>IF($D446=1,TRIM(CLEAN('入力シート（2事業場以降）'!AH105)),"")&amp;""</f>
        <v/>
      </c>
      <c r="W446" s="117" t="str">
        <f t="shared" si="95"/>
        <v>OK</v>
      </c>
      <c r="X446" t="str">
        <f t="shared" ca="1" si="106"/>
        <v>町名地番を入力してください。</v>
      </c>
      <c r="Y446">
        <f>IF(G446&lt;&gt;"",0,1)</f>
        <v>1</v>
      </c>
      <c r="AA446" t="str">
        <f>C446&amp;"を入力してください。"</f>
        <v>町名地番を入力してください。</v>
      </c>
    </row>
    <row r="447" spans="2:28" x14ac:dyDescent="0.15">
      <c r="B447" s="5">
        <v>43</v>
      </c>
      <c r="C447" s="5" t="s">
        <v>34</v>
      </c>
      <c r="D447" s="4">
        <f t="shared" si="94"/>
        <v>0</v>
      </c>
      <c r="E447" s="110" t="str">
        <f>DBCS('入力シート（2事業場以降）'!$AL105)</f>
        <v/>
      </c>
      <c r="F447" s="4"/>
      <c r="G447" s="15" t="str">
        <f>IF($D447=1,TRIM(CLEAN('入力シート（2事業場以降）'!AL105)),"")&amp;""</f>
        <v/>
      </c>
      <c r="W447" s="117" t="str">
        <f t="shared" si="95"/>
        <v>OK</v>
      </c>
    </row>
    <row r="448" spans="2:28" x14ac:dyDescent="0.15">
      <c r="B448" s="5">
        <v>44</v>
      </c>
      <c r="C448" s="5" t="s">
        <v>53</v>
      </c>
      <c r="D448" s="4">
        <f t="shared" si="94"/>
        <v>0</v>
      </c>
      <c r="E448" s="4"/>
      <c r="F448" s="4"/>
      <c r="G448" s="16" t="str">
        <f>IF($D448=1,'入力シート（2事業場以降）'!F107,"")&amp;""</f>
        <v/>
      </c>
      <c r="W448" s="117" t="str">
        <f t="shared" si="95"/>
        <v>OK</v>
      </c>
      <c r="X448" t="str">
        <f t="shared" ref="X448:X455" ca="1" si="108">IF(Y448=0,IF(Z448&lt;&gt;0,OFFSET(AA448,0,Z448),$V$1),AA448)</f>
        <v>書類の種類を選択してください。</v>
      </c>
      <c r="Y448">
        <f>IF(G448&lt;&gt;"",0,1)</f>
        <v>1</v>
      </c>
      <c r="AA448" t="str">
        <f>C448&amp;"を選択してください。"</f>
        <v>書類の種類を選択してください。</v>
      </c>
    </row>
    <row r="449" spans="2:28" x14ac:dyDescent="0.15">
      <c r="B449" s="5">
        <v>44</v>
      </c>
      <c r="C449" s="5" t="s">
        <v>424</v>
      </c>
      <c r="D449" s="4">
        <f t="shared" si="94"/>
        <v>0</v>
      </c>
      <c r="E449" s="110" t="str">
        <f>SUBSTITUTE(SUBSTITUTE(SUBSTITUTE(SUBSTITUTE(SUBSTITUTE(SUBSTITUTE(SUBSTITUTE(SUBSTITUTE(SUBSTITUTE(SUBSTITUTE(SUBSTITUTE('入力シート（2事業場以降）'!J107,"０","0"),"１","1"),"２","2"),"３","3"),"４","4"),"５","5"),"６","6"),"７","7"),"８","8"),"９","9"),"．",".")</f>
        <v/>
      </c>
      <c r="F449" s="4" t="str">
        <f t="shared" ref="F449" si="10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449,"Ａ","A"),"Ｂ","B"),"Ｃ","C"),"Ｄ","D"),"Ｅ","E"),"Ｆ","F"),"Ｇ","G"),"Ｈ","H"),"Ｉ","I"),"Ｊ","J"),"Ｋ","K"),"Ｌ","L"),"Ｍ","M"),"Ｎ","N"),"Ｏ","O"),"Ｐ","P"),"Ｑ","Q"),"Ｒ","R"),"Ｓ","S"),"Ｔ","T"),"Ｕ","U"),"Ｖ","V"),"Ｗ","W"),"Ｘ","X"),"Ｙ","Y"),"Ｚ","Z"),"ａ","a"),"ｂ","b"),"ｃ","c"),"ｄ","d"),"ｅ","e"),"ｆ","f"),"ｇ","g"),"ｈ","h"),"ｉ","i"),"ｊ","j"),"ｋ","k"),"ｌ","l"),"ｍ","m"),"ｎ","n"),"ｏ","o"),"ｐ","p"),"ｑ","q"),"ｒ","r"),"ｓ","s"),"ｔ","t"),"ｕ","u"),"ｖ","v"),"ｗ","w"),"ｘ","x"),"ｙ","y"),"ｚ","z"),"＆","&amp;"),"－","-"),"．",".")</f>
        <v/>
      </c>
      <c r="G449" s="15" t="str">
        <f>IF($D449=1,TRIM(CLEAN(F449)),"")&amp;""</f>
        <v/>
      </c>
      <c r="H449" t="str">
        <f>IF(G448&lt;&gt;"",IF(G448="自動車整備士である証明","整備士合格証書番号",LEFT(G448,2)&amp;"番号"),C449)</f>
        <v>認証・指定・認定番号または、整備士合格証書番号</v>
      </c>
      <c r="W449" s="117" t="str">
        <f t="shared" si="95"/>
        <v>OK</v>
      </c>
      <c r="X449" t="str">
        <f t="shared" ca="1" si="108"/>
        <v>認証・指定・認定番号または、整備士合格証書番号を入力してください。</v>
      </c>
      <c r="Y449">
        <f>IF(G449&lt;&gt;"",0,1)</f>
        <v>1</v>
      </c>
      <c r="AA449" t="str">
        <f>H449&amp;"を入力してください。"</f>
        <v>認証・指定・認定番号または、整備士合格証書番号を入力してください。</v>
      </c>
    </row>
    <row r="450" spans="2:28" x14ac:dyDescent="0.15">
      <c r="B450" s="5">
        <v>44</v>
      </c>
      <c r="C450" s="5" t="s">
        <v>54</v>
      </c>
      <c r="D450" s="4">
        <f t="shared" si="94"/>
        <v>0</v>
      </c>
      <c r="E450" s="4"/>
      <c r="F450" s="4" t="s">
        <v>402</v>
      </c>
      <c r="G450" s="15" t="str">
        <f>IF($D450=1,TRIM(CLEAN('入力シート（2事業場以降）'!N107)),"")&amp;""</f>
        <v/>
      </c>
      <c r="W450" s="117" t="str">
        <f t="shared" si="95"/>
        <v>OK</v>
      </c>
      <c r="X450" t="str">
        <f t="shared" ca="1" si="108"/>
        <v>管轄運輸局を入力してください。</v>
      </c>
      <c r="Y450">
        <f>IF(G448&lt;&gt;"自動車整備士である証明",IF(G450&lt;&gt;"",0,1),0)</f>
        <v>1</v>
      </c>
      <c r="AA450" t="str">
        <f>C450&amp;"を入力してください。"</f>
        <v>管轄運輸局を入力してください。</v>
      </c>
    </row>
    <row r="451" spans="2:28" x14ac:dyDescent="0.15">
      <c r="B451" s="5">
        <v>44</v>
      </c>
      <c r="C451" s="5" t="s">
        <v>56</v>
      </c>
      <c r="D451" s="4">
        <f t="shared" si="94"/>
        <v>0</v>
      </c>
      <c r="E451" s="110" t="str">
        <f>DBCS('入力シート（2事業場以降）'!R107)</f>
        <v/>
      </c>
      <c r="F451" s="4" t="str">
        <f>SUBSTITUTE(SUBSTITUTE(SUBSTITUTE(SUBSTITUTE(E451,"　株式会社","株式会社"),"会社　","会社"),"　有限会社","有限会社"),"　合同会社","合同会社")</f>
        <v/>
      </c>
      <c r="G451" s="16" t="str">
        <f>IF($D451=1,TRIM(CLEAN(F451)),"")&amp;""</f>
        <v/>
      </c>
      <c r="W451" s="117" t="str">
        <f t="shared" si="95"/>
        <v>OK</v>
      </c>
      <c r="X451" t="str">
        <f t="shared" ca="1" si="108"/>
        <v>事業場名を入力してください。</v>
      </c>
      <c r="Y451">
        <f>IF(G451&lt;&gt;"",0,1)</f>
        <v>1</v>
      </c>
      <c r="AA451" t="str">
        <f>C451&amp;"を入力してください。"</f>
        <v>事業場名を入力してください。</v>
      </c>
    </row>
    <row r="452" spans="2:28" x14ac:dyDescent="0.15">
      <c r="B452" s="5">
        <v>44</v>
      </c>
      <c r="C452" s="5" t="s">
        <v>24</v>
      </c>
      <c r="D452" s="4">
        <f t="shared" si="94"/>
        <v>0</v>
      </c>
      <c r="E452" s="4"/>
      <c r="F452" s="4"/>
      <c r="G452" s="15" t="str">
        <f>IF($D452=1,TRIM(CLEAN(ASC('入力シート（2事業場以降）'!X107))),"")&amp;""</f>
        <v/>
      </c>
      <c r="H452" s="15" t="str">
        <f>IF($D452=1,TRIM(CLEAN(ASC('入力シート（2事業場以降）'!Z107))),"")&amp;""</f>
        <v/>
      </c>
      <c r="W452" s="117" t="str">
        <f t="shared" si="95"/>
        <v>OK</v>
      </c>
      <c r="X452" t="str">
        <f t="shared" ca="1" si="108"/>
        <v>郵便番号を入力してください。</v>
      </c>
      <c r="Y452">
        <f>IF(AND(LEN(G452)=3,LEN(H452)=4)=TRUE,0,1)</f>
        <v>1</v>
      </c>
      <c r="Z452">
        <f>IFERROR(IF(0&lt;VALUE(G452),0,1),1)</f>
        <v>1</v>
      </c>
      <c r="AA452" t="str">
        <f>C452&amp;"を入力してください。"</f>
        <v>郵便番号を入力してください。</v>
      </c>
      <c r="AB452" t="str">
        <f>"正しい"&amp;C452&amp;"を入力してください。"</f>
        <v>正しい郵便番号を入力してください。</v>
      </c>
    </row>
    <row r="453" spans="2:28" x14ac:dyDescent="0.15">
      <c r="B453" s="5">
        <v>44</v>
      </c>
      <c r="C453" s="5" t="s">
        <v>26</v>
      </c>
      <c r="D453" s="4">
        <f t="shared" si="94"/>
        <v>0</v>
      </c>
      <c r="E453" s="4"/>
      <c r="F453" s="4"/>
      <c r="G453" s="15" t="str">
        <f>IF($D453=1,TRIM(CLEAN('入力シート（2事業場以降）'!AB107)),"")&amp;""</f>
        <v/>
      </c>
      <c r="W453" s="117" t="str">
        <f t="shared" si="95"/>
        <v>OK</v>
      </c>
      <c r="X453" t="str">
        <f t="shared" ca="1" si="108"/>
        <v>都道府県を選択してください。</v>
      </c>
      <c r="Y453">
        <f>IF(G453&lt;&gt;"",0,1)</f>
        <v>1</v>
      </c>
      <c r="AA453" t="str">
        <f>C453&amp;"を選択してください。"</f>
        <v>都道府県を選択してください。</v>
      </c>
    </row>
    <row r="454" spans="2:28" x14ac:dyDescent="0.15">
      <c r="B454" s="5">
        <v>44</v>
      </c>
      <c r="C454" s="5" t="s">
        <v>29</v>
      </c>
      <c r="D454" s="4">
        <f t="shared" si="94"/>
        <v>0</v>
      </c>
      <c r="E454" s="110" t="str">
        <f>DBCS('入力シート（2事業場以降）'!$AD107)</f>
        <v/>
      </c>
      <c r="F454" s="4"/>
      <c r="G454" s="15" t="str">
        <f>IF($D454=1,TRIM(CLEAN('入力シート（2事業場以降）'!AD107)),"")&amp;""</f>
        <v/>
      </c>
      <c r="W454" s="117" t="str">
        <f t="shared" si="95"/>
        <v>OK</v>
      </c>
      <c r="X454" t="str">
        <f t="shared" ca="1" si="108"/>
        <v>市区町村を入力してください。</v>
      </c>
      <c r="Y454">
        <f>IF(G454&lt;&gt;"",0,1)</f>
        <v>1</v>
      </c>
      <c r="AA454" t="str">
        <f>C454&amp;"を入力してください。"</f>
        <v>市区町村を入力してください。</v>
      </c>
    </row>
    <row r="455" spans="2:28" x14ac:dyDescent="0.15">
      <c r="B455" s="5">
        <v>44</v>
      </c>
      <c r="C455" s="5" t="s">
        <v>31</v>
      </c>
      <c r="D455" s="4">
        <f t="shared" ref="D455:D510" si="110">IF(AND(B455&lt;=$G$60),1,0)</f>
        <v>0</v>
      </c>
      <c r="E455" s="110" t="str">
        <f>DBCS('入力シート（2事業場以降）'!$AH107)</f>
        <v/>
      </c>
      <c r="F455" s="4"/>
      <c r="G455" s="15" t="str">
        <f>IF($D455=1,TRIM(CLEAN('入力シート（2事業場以降）'!AH107)),"")&amp;""</f>
        <v/>
      </c>
      <c r="W455" s="117" t="str">
        <f t="shared" ref="W455:W509" si="111">IF(B455&lt;=$G$60,IF(X455="OK",X455,"NG"),"OK")</f>
        <v>OK</v>
      </c>
      <c r="X455" t="str">
        <f t="shared" ca="1" si="108"/>
        <v>町名地番を入力してください。</v>
      </c>
      <c r="Y455">
        <f>IF(G455&lt;&gt;"",0,1)</f>
        <v>1</v>
      </c>
      <c r="AA455" t="str">
        <f>C455&amp;"を入力してください。"</f>
        <v>町名地番を入力してください。</v>
      </c>
    </row>
    <row r="456" spans="2:28" x14ac:dyDescent="0.15">
      <c r="B456" s="5">
        <v>44</v>
      </c>
      <c r="C456" s="5" t="s">
        <v>34</v>
      </c>
      <c r="D456" s="4">
        <f t="shared" si="110"/>
        <v>0</v>
      </c>
      <c r="E456" s="110" t="str">
        <f>DBCS('入力シート（2事業場以降）'!$AL107)</f>
        <v/>
      </c>
      <c r="F456" s="4"/>
      <c r="G456" s="15" t="str">
        <f>IF($D456=1,TRIM(CLEAN('入力シート（2事業場以降）'!AL107)),"")&amp;""</f>
        <v/>
      </c>
      <c r="W456" s="117" t="str">
        <f t="shared" si="111"/>
        <v>OK</v>
      </c>
    </row>
    <row r="457" spans="2:28" x14ac:dyDescent="0.15">
      <c r="B457" s="5">
        <v>45</v>
      </c>
      <c r="C457" s="5" t="s">
        <v>53</v>
      </c>
      <c r="D457" s="4">
        <f t="shared" si="110"/>
        <v>0</v>
      </c>
      <c r="E457" s="4"/>
      <c r="F457" s="4"/>
      <c r="G457" s="16" t="str">
        <f>IF($D457=1,'入力シート（2事業場以降）'!F109,"")&amp;""</f>
        <v/>
      </c>
      <c r="W457" s="117" t="str">
        <f t="shared" si="111"/>
        <v>OK</v>
      </c>
      <c r="X457" t="str">
        <f t="shared" ref="X457:X464" ca="1" si="112">IF(Y457=0,IF(Z457&lt;&gt;0,OFFSET(AA457,0,Z457),$V$1),AA457)</f>
        <v>書類の種類を選択してください。</v>
      </c>
      <c r="Y457">
        <f>IF(G457&lt;&gt;"",0,1)</f>
        <v>1</v>
      </c>
      <c r="AA457" t="str">
        <f>C457&amp;"を選択してください。"</f>
        <v>書類の種類を選択してください。</v>
      </c>
    </row>
    <row r="458" spans="2:28" x14ac:dyDescent="0.15">
      <c r="B458" s="5">
        <v>45</v>
      </c>
      <c r="C458" s="5" t="s">
        <v>424</v>
      </c>
      <c r="D458" s="4">
        <f t="shared" si="110"/>
        <v>0</v>
      </c>
      <c r="E458" s="110" t="str">
        <f>SUBSTITUTE(SUBSTITUTE(SUBSTITUTE(SUBSTITUTE(SUBSTITUTE(SUBSTITUTE(SUBSTITUTE(SUBSTITUTE(SUBSTITUTE(SUBSTITUTE(SUBSTITUTE('入力シート（2事業場以降）'!J109,"０","0"),"１","1"),"２","2"),"３","3"),"４","4"),"５","5"),"６","6"),"７","7"),"８","8"),"９","9"),"．",".")</f>
        <v/>
      </c>
      <c r="F458" s="4" t="str">
        <f t="shared" ref="F458" si="11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458,"Ａ","A"),"Ｂ","B"),"Ｃ","C"),"Ｄ","D"),"Ｅ","E"),"Ｆ","F"),"Ｇ","G"),"Ｈ","H"),"Ｉ","I"),"Ｊ","J"),"Ｋ","K"),"Ｌ","L"),"Ｍ","M"),"Ｎ","N"),"Ｏ","O"),"Ｐ","P"),"Ｑ","Q"),"Ｒ","R"),"Ｓ","S"),"Ｔ","T"),"Ｕ","U"),"Ｖ","V"),"Ｗ","W"),"Ｘ","X"),"Ｙ","Y"),"Ｚ","Z"),"ａ","a"),"ｂ","b"),"ｃ","c"),"ｄ","d"),"ｅ","e"),"ｆ","f"),"ｇ","g"),"ｈ","h"),"ｉ","i"),"ｊ","j"),"ｋ","k"),"ｌ","l"),"ｍ","m"),"ｎ","n"),"ｏ","o"),"ｐ","p"),"ｑ","q"),"ｒ","r"),"ｓ","s"),"ｔ","t"),"ｕ","u"),"ｖ","v"),"ｗ","w"),"ｘ","x"),"ｙ","y"),"ｚ","z"),"＆","&amp;"),"－","-"),"．",".")</f>
        <v/>
      </c>
      <c r="G458" s="15" t="str">
        <f>IF($D458=1,TRIM(CLEAN(F458)),"")&amp;""</f>
        <v/>
      </c>
      <c r="H458" t="str">
        <f>IF(G457&lt;&gt;"",IF(G457="自動車整備士である証明","整備士合格証書番号",LEFT(G457,2)&amp;"番号"),C458)</f>
        <v>認証・指定・認定番号または、整備士合格証書番号</v>
      </c>
      <c r="W458" s="117" t="str">
        <f t="shared" si="111"/>
        <v>OK</v>
      </c>
      <c r="X458" t="str">
        <f t="shared" ca="1" si="112"/>
        <v>認証・指定・認定番号または、整備士合格証書番号を入力してください。</v>
      </c>
      <c r="Y458">
        <f>IF(G458&lt;&gt;"",0,1)</f>
        <v>1</v>
      </c>
      <c r="AA458" t="str">
        <f>H458&amp;"を入力してください。"</f>
        <v>認証・指定・認定番号または、整備士合格証書番号を入力してください。</v>
      </c>
    </row>
    <row r="459" spans="2:28" x14ac:dyDescent="0.15">
      <c r="B459" s="5">
        <v>45</v>
      </c>
      <c r="C459" s="5" t="s">
        <v>54</v>
      </c>
      <c r="D459" s="4">
        <f t="shared" si="110"/>
        <v>0</v>
      </c>
      <c r="E459" s="4"/>
      <c r="F459" s="4" t="s">
        <v>402</v>
      </c>
      <c r="G459" s="15" t="str">
        <f>IF($D459=1,TRIM(CLEAN('入力シート（2事業場以降）'!N109)),"")&amp;""</f>
        <v/>
      </c>
      <c r="W459" s="117" t="str">
        <f t="shared" si="111"/>
        <v>OK</v>
      </c>
      <c r="X459" t="str">
        <f t="shared" ca="1" si="112"/>
        <v>管轄運輸局を入力してください。</v>
      </c>
      <c r="Y459">
        <f>IF(G457&lt;&gt;"自動車整備士である証明",IF(G459&lt;&gt;"",0,1),0)</f>
        <v>1</v>
      </c>
      <c r="AA459" t="str">
        <f>C459&amp;"を入力してください。"</f>
        <v>管轄運輸局を入力してください。</v>
      </c>
    </row>
    <row r="460" spans="2:28" x14ac:dyDescent="0.15">
      <c r="B460" s="5">
        <v>45</v>
      </c>
      <c r="C460" s="5" t="s">
        <v>56</v>
      </c>
      <c r="D460" s="4">
        <f t="shared" si="110"/>
        <v>0</v>
      </c>
      <c r="E460" s="110" t="str">
        <f>DBCS('入力シート（2事業場以降）'!R109)</f>
        <v/>
      </c>
      <c r="F460" s="4" t="str">
        <f>SUBSTITUTE(SUBSTITUTE(SUBSTITUTE(SUBSTITUTE(E460,"　株式会社","株式会社"),"会社　","会社"),"　有限会社","有限会社"),"　合同会社","合同会社")</f>
        <v/>
      </c>
      <c r="G460" s="16" t="str">
        <f>IF($D460=1,TRIM(CLEAN(F460)),"")&amp;""</f>
        <v/>
      </c>
      <c r="W460" s="117" t="str">
        <f t="shared" si="111"/>
        <v>OK</v>
      </c>
      <c r="X460" t="str">
        <f t="shared" ca="1" si="112"/>
        <v>事業場名を入力してください。</v>
      </c>
      <c r="Y460">
        <f>IF(G460&lt;&gt;"",0,1)</f>
        <v>1</v>
      </c>
      <c r="AA460" t="str">
        <f>C460&amp;"を入力してください。"</f>
        <v>事業場名を入力してください。</v>
      </c>
    </row>
    <row r="461" spans="2:28" x14ac:dyDescent="0.15">
      <c r="B461" s="5">
        <v>45</v>
      </c>
      <c r="C461" s="5" t="s">
        <v>24</v>
      </c>
      <c r="D461" s="4">
        <f t="shared" si="110"/>
        <v>0</v>
      </c>
      <c r="E461" s="4"/>
      <c r="F461" s="4"/>
      <c r="G461" s="15" t="str">
        <f>IF($D461=1,TRIM(CLEAN(ASC('入力シート（2事業場以降）'!X109))),"")&amp;""</f>
        <v/>
      </c>
      <c r="H461" s="15" t="str">
        <f>IF($D461=1,TRIM(CLEAN(ASC('入力シート（2事業場以降）'!Z109))),"")&amp;""</f>
        <v/>
      </c>
      <c r="W461" s="117" t="str">
        <f t="shared" si="111"/>
        <v>OK</v>
      </c>
      <c r="X461" t="str">
        <f t="shared" ca="1" si="112"/>
        <v>郵便番号を入力してください。</v>
      </c>
      <c r="Y461">
        <f>IF(AND(LEN(G461)=3,LEN(H461)=4)=TRUE,0,1)</f>
        <v>1</v>
      </c>
      <c r="Z461">
        <f>IFERROR(IF(0&lt;VALUE(G461),0,1),1)</f>
        <v>1</v>
      </c>
      <c r="AA461" t="str">
        <f>C461&amp;"を入力してください。"</f>
        <v>郵便番号を入力してください。</v>
      </c>
      <c r="AB461" t="str">
        <f>"正しい"&amp;C461&amp;"を入力してください。"</f>
        <v>正しい郵便番号を入力してください。</v>
      </c>
    </row>
    <row r="462" spans="2:28" x14ac:dyDescent="0.15">
      <c r="B462" s="5">
        <v>45</v>
      </c>
      <c r="C462" s="5" t="s">
        <v>26</v>
      </c>
      <c r="D462" s="4">
        <f t="shared" si="110"/>
        <v>0</v>
      </c>
      <c r="E462" s="4"/>
      <c r="F462" s="4"/>
      <c r="G462" s="15" t="str">
        <f>IF($D462=1,TRIM(CLEAN('入力シート（2事業場以降）'!AB109)),"")&amp;""</f>
        <v/>
      </c>
      <c r="W462" s="117" t="str">
        <f t="shared" si="111"/>
        <v>OK</v>
      </c>
      <c r="X462" t="str">
        <f t="shared" ca="1" si="112"/>
        <v>都道府県を選択してください。</v>
      </c>
      <c r="Y462">
        <f>IF(G462&lt;&gt;"",0,1)</f>
        <v>1</v>
      </c>
      <c r="AA462" t="str">
        <f>C462&amp;"を選択してください。"</f>
        <v>都道府県を選択してください。</v>
      </c>
    </row>
    <row r="463" spans="2:28" x14ac:dyDescent="0.15">
      <c r="B463" s="5">
        <v>45</v>
      </c>
      <c r="C463" s="5" t="s">
        <v>29</v>
      </c>
      <c r="D463" s="4">
        <f t="shared" si="110"/>
        <v>0</v>
      </c>
      <c r="E463" s="110" t="str">
        <f>DBCS('入力シート（2事業場以降）'!$AD109)</f>
        <v/>
      </c>
      <c r="F463" s="4"/>
      <c r="G463" s="15" t="str">
        <f>IF($D463=1,TRIM(CLEAN('入力シート（2事業場以降）'!AD109)),"")&amp;""</f>
        <v/>
      </c>
      <c r="W463" s="117" t="str">
        <f t="shared" si="111"/>
        <v>OK</v>
      </c>
      <c r="X463" t="str">
        <f t="shared" ca="1" si="112"/>
        <v>市区町村を入力してください。</v>
      </c>
      <c r="Y463">
        <f>IF(G463&lt;&gt;"",0,1)</f>
        <v>1</v>
      </c>
      <c r="AA463" t="str">
        <f>C463&amp;"を入力してください。"</f>
        <v>市区町村を入力してください。</v>
      </c>
    </row>
    <row r="464" spans="2:28" x14ac:dyDescent="0.15">
      <c r="B464" s="5">
        <v>45</v>
      </c>
      <c r="C464" s="5" t="s">
        <v>31</v>
      </c>
      <c r="D464" s="4">
        <f t="shared" si="110"/>
        <v>0</v>
      </c>
      <c r="E464" s="110" t="str">
        <f>DBCS('入力シート（2事業場以降）'!$AH109)</f>
        <v/>
      </c>
      <c r="F464" s="4"/>
      <c r="G464" s="15" t="str">
        <f>IF($D464=1,TRIM(CLEAN('入力シート（2事業場以降）'!AH109)),"")&amp;""</f>
        <v/>
      </c>
      <c r="W464" s="117" t="str">
        <f t="shared" si="111"/>
        <v>OK</v>
      </c>
      <c r="X464" t="str">
        <f t="shared" ca="1" si="112"/>
        <v>町名地番を入力してください。</v>
      </c>
      <c r="Y464">
        <f>IF(G464&lt;&gt;"",0,1)</f>
        <v>1</v>
      </c>
      <c r="AA464" t="str">
        <f>C464&amp;"を入力してください。"</f>
        <v>町名地番を入力してください。</v>
      </c>
    </row>
    <row r="465" spans="2:28" x14ac:dyDescent="0.15">
      <c r="B465" s="5">
        <v>45</v>
      </c>
      <c r="C465" s="5" t="s">
        <v>34</v>
      </c>
      <c r="D465" s="4">
        <f t="shared" si="110"/>
        <v>0</v>
      </c>
      <c r="E465" s="110" t="str">
        <f>DBCS('入力シート（2事業場以降）'!$AL109)</f>
        <v/>
      </c>
      <c r="F465" s="4"/>
      <c r="G465" s="15" t="str">
        <f>IF($D465=1,TRIM(CLEAN('入力シート（2事業場以降）'!AL109)),"")&amp;""</f>
        <v/>
      </c>
      <c r="W465" s="117" t="str">
        <f t="shared" si="111"/>
        <v>OK</v>
      </c>
    </row>
    <row r="466" spans="2:28" x14ac:dyDescent="0.15">
      <c r="B466" s="5">
        <v>46</v>
      </c>
      <c r="C466" s="5" t="s">
        <v>53</v>
      </c>
      <c r="D466" s="4">
        <f t="shared" si="110"/>
        <v>0</v>
      </c>
      <c r="E466" s="4"/>
      <c r="F466" s="4"/>
      <c r="G466" s="16" t="str">
        <f>IF($D466=1,'入力シート（2事業場以降）'!F111,"")&amp;""</f>
        <v/>
      </c>
      <c r="W466" s="117" t="str">
        <f t="shared" si="111"/>
        <v>OK</v>
      </c>
      <c r="X466" t="str">
        <f t="shared" ref="X466:X473" ca="1" si="114">IF(Y466=0,IF(Z466&lt;&gt;0,OFFSET(AA466,0,Z466),$V$1),AA466)</f>
        <v>書類の種類を選択してください。</v>
      </c>
      <c r="Y466">
        <f>IF(G466&lt;&gt;"",0,1)</f>
        <v>1</v>
      </c>
      <c r="AA466" t="str">
        <f>C466&amp;"を選択してください。"</f>
        <v>書類の種類を選択してください。</v>
      </c>
    </row>
    <row r="467" spans="2:28" x14ac:dyDescent="0.15">
      <c r="B467" s="5">
        <v>46</v>
      </c>
      <c r="C467" s="5" t="s">
        <v>424</v>
      </c>
      <c r="D467" s="4">
        <f t="shared" si="110"/>
        <v>0</v>
      </c>
      <c r="E467" s="110" t="str">
        <f>SUBSTITUTE(SUBSTITUTE(SUBSTITUTE(SUBSTITUTE(SUBSTITUTE(SUBSTITUTE(SUBSTITUTE(SUBSTITUTE(SUBSTITUTE(SUBSTITUTE(SUBSTITUTE('入力シート（2事業場以降）'!J111,"０","0"),"１","1"),"２","2"),"３","3"),"４","4"),"５","5"),"６","6"),"７","7"),"８","8"),"９","9"),"．",".")</f>
        <v/>
      </c>
      <c r="F467" s="4" t="str">
        <f t="shared" ref="F467" si="115">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467,"Ａ","A"),"Ｂ","B"),"Ｃ","C"),"Ｄ","D"),"Ｅ","E"),"Ｆ","F"),"Ｇ","G"),"Ｈ","H"),"Ｉ","I"),"Ｊ","J"),"Ｋ","K"),"Ｌ","L"),"Ｍ","M"),"Ｎ","N"),"Ｏ","O"),"Ｐ","P"),"Ｑ","Q"),"Ｒ","R"),"Ｓ","S"),"Ｔ","T"),"Ｕ","U"),"Ｖ","V"),"Ｗ","W"),"Ｘ","X"),"Ｙ","Y"),"Ｚ","Z"),"ａ","a"),"ｂ","b"),"ｃ","c"),"ｄ","d"),"ｅ","e"),"ｆ","f"),"ｇ","g"),"ｈ","h"),"ｉ","i"),"ｊ","j"),"ｋ","k"),"ｌ","l"),"ｍ","m"),"ｎ","n"),"ｏ","o"),"ｐ","p"),"ｑ","q"),"ｒ","r"),"ｓ","s"),"ｔ","t"),"ｕ","u"),"ｖ","v"),"ｗ","w"),"ｘ","x"),"ｙ","y"),"ｚ","z"),"＆","&amp;"),"－","-"),"．",".")</f>
        <v/>
      </c>
      <c r="G467" s="15" t="str">
        <f>IF($D467=1,TRIM(CLEAN(F467)),"")&amp;""</f>
        <v/>
      </c>
      <c r="H467" t="str">
        <f>IF(G466&lt;&gt;"",IF(G466="自動車整備士である証明","整備士合格証書番号",LEFT(G466,2)&amp;"番号"),C467)</f>
        <v>認証・指定・認定番号または、整備士合格証書番号</v>
      </c>
      <c r="W467" s="117" t="str">
        <f t="shared" si="111"/>
        <v>OK</v>
      </c>
      <c r="X467" t="str">
        <f t="shared" ca="1" si="114"/>
        <v>認証・指定・認定番号または、整備士合格証書番号を入力してください。</v>
      </c>
      <c r="Y467">
        <f>IF(G467&lt;&gt;"",0,1)</f>
        <v>1</v>
      </c>
      <c r="AA467" t="str">
        <f>H467&amp;"を入力してください。"</f>
        <v>認証・指定・認定番号または、整備士合格証書番号を入力してください。</v>
      </c>
    </row>
    <row r="468" spans="2:28" x14ac:dyDescent="0.15">
      <c r="B468" s="5">
        <v>46</v>
      </c>
      <c r="C468" s="5" t="s">
        <v>54</v>
      </c>
      <c r="D468" s="4">
        <f t="shared" si="110"/>
        <v>0</v>
      </c>
      <c r="E468" s="4"/>
      <c r="F468" s="4" t="s">
        <v>402</v>
      </c>
      <c r="G468" s="15" t="str">
        <f>IF($D468=1,TRIM(CLEAN('入力シート（2事業場以降）'!N111)),"")&amp;""</f>
        <v/>
      </c>
      <c r="W468" s="117" t="str">
        <f t="shared" si="111"/>
        <v>OK</v>
      </c>
      <c r="X468" t="str">
        <f t="shared" ca="1" si="114"/>
        <v>管轄運輸局を入力してください。</v>
      </c>
      <c r="Y468">
        <f>IF(G466&lt;&gt;"自動車整備士である証明",IF(G468&lt;&gt;"",0,1),0)</f>
        <v>1</v>
      </c>
      <c r="AA468" t="str">
        <f>C468&amp;"を入力してください。"</f>
        <v>管轄運輸局を入力してください。</v>
      </c>
    </row>
    <row r="469" spans="2:28" x14ac:dyDescent="0.15">
      <c r="B469" s="5">
        <v>46</v>
      </c>
      <c r="C469" s="5" t="s">
        <v>56</v>
      </c>
      <c r="D469" s="4">
        <f t="shared" si="110"/>
        <v>0</v>
      </c>
      <c r="E469" s="110" t="str">
        <f>DBCS('入力シート（2事業場以降）'!R111)</f>
        <v/>
      </c>
      <c r="F469" s="4" t="str">
        <f>SUBSTITUTE(SUBSTITUTE(SUBSTITUTE(SUBSTITUTE(E469,"　株式会社","株式会社"),"会社　","会社"),"　有限会社","有限会社"),"　合同会社","合同会社")</f>
        <v/>
      </c>
      <c r="G469" s="16" t="str">
        <f>IF($D469=1,TRIM(CLEAN(F469)),"")&amp;""</f>
        <v/>
      </c>
      <c r="W469" s="117" t="str">
        <f t="shared" si="111"/>
        <v>OK</v>
      </c>
      <c r="X469" t="str">
        <f t="shared" ca="1" si="114"/>
        <v>事業場名を入力してください。</v>
      </c>
      <c r="Y469">
        <f>IF(G469&lt;&gt;"",0,1)</f>
        <v>1</v>
      </c>
      <c r="AA469" t="str">
        <f>C469&amp;"を入力してください。"</f>
        <v>事業場名を入力してください。</v>
      </c>
    </row>
    <row r="470" spans="2:28" x14ac:dyDescent="0.15">
      <c r="B470" s="5">
        <v>46</v>
      </c>
      <c r="C470" s="5" t="s">
        <v>24</v>
      </c>
      <c r="D470" s="4">
        <f t="shared" si="110"/>
        <v>0</v>
      </c>
      <c r="E470" s="4"/>
      <c r="F470" s="4"/>
      <c r="G470" s="15" t="str">
        <f>IF($D470=1,TRIM(CLEAN(ASC('入力シート（2事業場以降）'!X111))),"")&amp;""</f>
        <v/>
      </c>
      <c r="H470" s="15" t="str">
        <f>IF($D470=1,TRIM(CLEAN(ASC('入力シート（2事業場以降）'!Z111))),"")&amp;""</f>
        <v/>
      </c>
      <c r="W470" s="117" t="str">
        <f t="shared" si="111"/>
        <v>OK</v>
      </c>
      <c r="X470" t="str">
        <f t="shared" ca="1" si="114"/>
        <v>郵便番号を入力してください。</v>
      </c>
      <c r="Y470">
        <f>IF(AND(LEN(G470)=3,LEN(H470)=4)=TRUE,0,1)</f>
        <v>1</v>
      </c>
      <c r="Z470">
        <f>IFERROR(IF(0&lt;VALUE(G470),0,1),1)</f>
        <v>1</v>
      </c>
      <c r="AA470" t="str">
        <f>C470&amp;"を入力してください。"</f>
        <v>郵便番号を入力してください。</v>
      </c>
      <c r="AB470" t="str">
        <f>"正しい"&amp;C470&amp;"を入力してください。"</f>
        <v>正しい郵便番号を入力してください。</v>
      </c>
    </row>
    <row r="471" spans="2:28" x14ac:dyDescent="0.15">
      <c r="B471" s="5">
        <v>46</v>
      </c>
      <c r="C471" s="5" t="s">
        <v>26</v>
      </c>
      <c r="D471" s="4">
        <f t="shared" si="110"/>
        <v>0</v>
      </c>
      <c r="E471" s="4"/>
      <c r="F471" s="4"/>
      <c r="G471" s="15" t="str">
        <f>IF($D471=1,TRIM(CLEAN('入力シート（2事業場以降）'!AB111)),"")&amp;""</f>
        <v/>
      </c>
      <c r="W471" s="117" t="str">
        <f t="shared" si="111"/>
        <v>OK</v>
      </c>
      <c r="X471" t="str">
        <f t="shared" ca="1" si="114"/>
        <v>都道府県を選択してください。</v>
      </c>
      <c r="Y471">
        <f>IF(G471&lt;&gt;"",0,1)</f>
        <v>1</v>
      </c>
      <c r="AA471" t="str">
        <f>C471&amp;"を選択してください。"</f>
        <v>都道府県を選択してください。</v>
      </c>
    </row>
    <row r="472" spans="2:28" x14ac:dyDescent="0.15">
      <c r="B472" s="5">
        <v>46</v>
      </c>
      <c r="C472" s="5" t="s">
        <v>29</v>
      </c>
      <c r="D472" s="4">
        <f t="shared" si="110"/>
        <v>0</v>
      </c>
      <c r="E472" s="110" t="str">
        <f>DBCS('入力シート（2事業場以降）'!$AD111)</f>
        <v/>
      </c>
      <c r="F472" s="4"/>
      <c r="G472" s="15" t="str">
        <f>IF($D472=1,TRIM(CLEAN('入力シート（2事業場以降）'!AD111)),"")&amp;""</f>
        <v/>
      </c>
      <c r="W472" s="117" t="str">
        <f t="shared" si="111"/>
        <v>OK</v>
      </c>
      <c r="X472" t="str">
        <f t="shared" ca="1" si="114"/>
        <v>市区町村を入力してください。</v>
      </c>
      <c r="Y472">
        <f>IF(G472&lt;&gt;"",0,1)</f>
        <v>1</v>
      </c>
      <c r="AA472" t="str">
        <f>C472&amp;"を入力してください。"</f>
        <v>市区町村を入力してください。</v>
      </c>
    </row>
    <row r="473" spans="2:28" x14ac:dyDescent="0.15">
      <c r="B473" s="5">
        <v>46</v>
      </c>
      <c r="C473" s="5" t="s">
        <v>31</v>
      </c>
      <c r="D473" s="4">
        <f t="shared" si="110"/>
        <v>0</v>
      </c>
      <c r="E473" s="110" t="str">
        <f>DBCS('入力シート（2事業場以降）'!$AH111)</f>
        <v/>
      </c>
      <c r="F473" s="4"/>
      <c r="G473" s="15" t="str">
        <f>IF($D473=1,TRIM(CLEAN('入力シート（2事業場以降）'!AH111)),"")&amp;""</f>
        <v/>
      </c>
      <c r="W473" s="117" t="str">
        <f t="shared" si="111"/>
        <v>OK</v>
      </c>
      <c r="X473" t="str">
        <f t="shared" ca="1" si="114"/>
        <v>町名地番を入力してください。</v>
      </c>
      <c r="Y473">
        <f>IF(G473&lt;&gt;"",0,1)</f>
        <v>1</v>
      </c>
      <c r="AA473" t="str">
        <f>C473&amp;"を入力してください。"</f>
        <v>町名地番を入力してください。</v>
      </c>
    </row>
    <row r="474" spans="2:28" x14ac:dyDescent="0.15">
      <c r="B474" s="5">
        <v>46</v>
      </c>
      <c r="C474" s="5" t="s">
        <v>34</v>
      </c>
      <c r="D474" s="4">
        <f t="shared" si="110"/>
        <v>0</v>
      </c>
      <c r="E474" s="110" t="str">
        <f>DBCS('入力シート（2事業場以降）'!$AL111)</f>
        <v/>
      </c>
      <c r="F474" s="4"/>
      <c r="G474" s="15" t="str">
        <f>IF($D474=1,TRIM(CLEAN('入力シート（2事業場以降）'!AL111)),"")&amp;""</f>
        <v/>
      </c>
      <c r="W474" s="117" t="str">
        <f t="shared" si="111"/>
        <v>OK</v>
      </c>
    </row>
    <row r="475" spans="2:28" x14ac:dyDescent="0.15">
      <c r="B475" s="5">
        <v>47</v>
      </c>
      <c r="C475" s="5" t="s">
        <v>53</v>
      </c>
      <c r="D475" s="4">
        <f t="shared" si="110"/>
        <v>0</v>
      </c>
      <c r="E475" s="4"/>
      <c r="F475" s="4"/>
      <c r="G475" s="16" t="str">
        <f>IF($D475=1,'入力シート（2事業場以降）'!F113,"")&amp;""</f>
        <v/>
      </c>
      <c r="W475" s="117" t="str">
        <f t="shared" si="111"/>
        <v>OK</v>
      </c>
      <c r="X475" t="str">
        <f t="shared" ref="X475:X482" ca="1" si="116">IF(Y475=0,IF(Z475&lt;&gt;0,OFFSET(AA475,0,Z475),$V$1),AA475)</f>
        <v>書類の種類を選択してください。</v>
      </c>
      <c r="Y475">
        <f>IF(G475&lt;&gt;"",0,1)</f>
        <v>1</v>
      </c>
      <c r="AA475" t="str">
        <f>C475&amp;"を選択してください。"</f>
        <v>書類の種類を選択してください。</v>
      </c>
    </row>
    <row r="476" spans="2:28" x14ac:dyDescent="0.15">
      <c r="B476" s="5">
        <v>47</v>
      </c>
      <c r="C476" s="5" t="s">
        <v>424</v>
      </c>
      <c r="D476" s="4">
        <f t="shared" si="110"/>
        <v>0</v>
      </c>
      <c r="E476" s="110" t="str">
        <f>SUBSTITUTE(SUBSTITUTE(SUBSTITUTE(SUBSTITUTE(SUBSTITUTE(SUBSTITUTE(SUBSTITUTE(SUBSTITUTE(SUBSTITUTE(SUBSTITUTE(SUBSTITUTE('入力シート（2事業場以降）'!J113,"０","0"),"１","1"),"２","2"),"３","3"),"４","4"),"５","5"),"６","6"),"７","7"),"８","8"),"９","9"),"．",".")</f>
        <v/>
      </c>
      <c r="F476" s="4" t="str">
        <f t="shared" ref="F476" si="117">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476,"Ａ","A"),"Ｂ","B"),"Ｃ","C"),"Ｄ","D"),"Ｅ","E"),"Ｆ","F"),"Ｇ","G"),"Ｈ","H"),"Ｉ","I"),"Ｊ","J"),"Ｋ","K"),"Ｌ","L"),"Ｍ","M"),"Ｎ","N"),"Ｏ","O"),"Ｐ","P"),"Ｑ","Q"),"Ｒ","R"),"Ｓ","S"),"Ｔ","T"),"Ｕ","U"),"Ｖ","V"),"Ｗ","W"),"Ｘ","X"),"Ｙ","Y"),"Ｚ","Z"),"ａ","a"),"ｂ","b"),"ｃ","c"),"ｄ","d"),"ｅ","e"),"ｆ","f"),"ｇ","g"),"ｈ","h"),"ｉ","i"),"ｊ","j"),"ｋ","k"),"ｌ","l"),"ｍ","m"),"ｎ","n"),"ｏ","o"),"ｐ","p"),"ｑ","q"),"ｒ","r"),"ｓ","s"),"ｔ","t"),"ｕ","u"),"ｖ","v"),"ｗ","w"),"ｘ","x"),"ｙ","y"),"ｚ","z"),"＆","&amp;"),"－","-"),"．",".")</f>
        <v/>
      </c>
      <c r="G476" s="15" t="str">
        <f>IF($D476=1,TRIM(CLEAN(F476)),"")&amp;""</f>
        <v/>
      </c>
      <c r="H476" t="str">
        <f>IF(G475&lt;&gt;"",IF(G475="自動車整備士である証明","整備士合格証書番号",LEFT(G475,2)&amp;"番号"),C476)</f>
        <v>認証・指定・認定番号または、整備士合格証書番号</v>
      </c>
      <c r="W476" s="117" t="str">
        <f t="shared" si="111"/>
        <v>OK</v>
      </c>
      <c r="X476" t="str">
        <f t="shared" ca="1" si="116"/>
        <v>認証・指定・認定番号または、整備士合格証書番号を入力してください。</v>
      </c>
      <c r="Y476">
        <f>IF(G476&lt;&gt;"",0,1)</f>
        <v>1</v>
      </c>
      <c r="AA476" t="str">
        <f>H476&amp;"を入力してください。"</f>
        <v>認証・指定・認定番号または、整備士合格証書番号を入力してください。</v>
      </c>
    </row>
    <row r="477" spans="2:28" x14ac:dyDescent="0.15">
      <c r="B477" s="5">
        <v>47</v>
      </c>
      <c r="C477" s="5" t="s">
        <v>54</v>
      </c>
      <c r="D477" s="4">
        <f t="shared" si="110"/>
        <v>0</v>
      </c>
      <c r="E477" s="4"/>
      <c r="F477" s="4" t="s">
        <v>402</v>
      </c>
      <c r="G477" s="15" t="str">
        <f>IF($D477=1,TRIM(CLEAN('入力シート（2事業場以降）'!N113)),"")&amp;""</f>
        <v/>
      </c>
      <c r="W477" s="117" t="str">
        <f t="shared" si="111"/>
        <v>OK</v>
      </c>
      <c r="X477" t="str">
        <f t="shared" ca="1" si="116"/>
        <v>管轄運輸局を入力してください。</v>
      </c>
      <c r="Y477">
        <f>IF(G475&lt;&gt;"自動車整備士である証明",IF(G477&lt;&gt;"",0,1),0)</f>
        <v>1</v>
      </c>
      <c r="AA477" t="str">
        <f>C477&amp;"を入力してください。"</f>
        <v>管轄運輸局を入力してください。</v>
      </c>
    </row>
    <row r="478" spans="2:28" x14ac:dyDescent="0.15">
      <c r="B478" s="5">
        <v>47</v>
      </c>
      <c r="C478" s="5" t="s">
        <v>56</v>
      </c>
      <c r="D478" s="4">
        <f t="shared" si="110"/>
        <v>0</v>
      </c>
      <c r="E478" s="110" t="str">
        <f>DBCS('入力シート（2事業場以降）'!R113)</f>
        <v/>
      </c>
      <c r="F478" s="4" t="str">
        <f>SUBSTITUTE(SUBSTITUTE(SUBSTITUTE(SUBSTITUTE(E478,"　株式会社","株式会社"),"会社　","会社"),"　有限会社","有限会社"),"　合同会社","合同会社")</f>
        <v/>
      </c>
      <c r="G478" s="16" t="str">
        <f>IF($D478=1,TRIM(CLEAN(F478)),"")&amp;""</f>
        <v/>
      </c>
      <c r="W478" s="117" t="str">
        <f t="shared" si="111"/>
        <v>OK</v>
      </c>
      <c r="X478" t="str">
        <f t="shared" ca="1" si="116"/>
        <v>事業場名を入力してください。</v>
      </c>
      <c r="Y478">
        <f>IF(G478&lt;&gt;"",0,1)</f>
        <v>1</v>
      </c>
      <c r="AA478" t="str">
        <f>C478&amp;"を入力してください。"</f>
        <v>事業場名を入力してください。</v>
      </c>
    </row>
    <row r="479" spans="2:28" x14ac:dyDescent="0.15">
      <c r="B479" s="5">
        <v>47</v>
      </c>
      <c r="C479" s="5" t="s">
        <v>24</v>
      </c>
      <c r="D479" s="4">
        <f t="shared" si="110"/>
        <v>0</v>
      </c>
      <c r="E479" s="4"/>
      <c r="F479" s="4"/>
      <c r="G479" s="15" t="str">
        <f>IF($D479=1,TRIM(CLEAN(ASC('入力シート（2事業場以降）'!X113))),"")&amp;""</f>
        <v/>
      </c>
      <c r="H479" s="15" t="str">
        <f>IF($D479=1,TRIM(CLEAN(ASC('入力シート（2事業場以降）'!Z113))),"")&amp;""</f>
        <v/>
      </c>
      <c r="W479" s="117" t="str">
        <f t="shared" si="111"/>
        <v>OK</v>
      </c>
      <c r="X479" t="str">
        <f t="shared" ca="1" si="116"/>
        <v>郵便番号を入力してください。</v>
      </c>
      <c r="Y479">
        <f>IF(AND(LEN(G479)=3,LEN(H479)=4)=TRUE,0,1)</f>
        <v>1</v>
      </c>
      <c r="Z479">
        <f>IFERROR(IF(0&lt;VALUE(G479),0,1),1)</f>
        <v>1</v>
      </c>
      <c r="AA479" t="str">
        <f>C479&amp;"を入力してください。"</f>
        <v>郵便番号を入力してください。</v>
      </c>
      <c r="AB479" t="str">
        <f>"正しい"&amp;C479&amp;"を入力してください。"</f>
        <v>正しい郵便番号を入力してください。</v>
      </c>
    </row>
    <row r="480" spans="2:28" x14ac:dyDescent="0.15">
      <c r="B480" s="5">
        <v>47</v>
      </c>
      <c r="C480" s="5" t="s">
        <v>26</v>
      </c>
      <c r="D480" s="4">
        <f t="shared" si="110"/>
        <v>0</v>
      </c>
      <c r="E480" s="4"/>
      <c r="F480" s="4"/>
      <c r="G480" s="15" t="str">
        <f>IF($D480=1,TRIM(CLEAN('入力シート（2事業場以降）'!AB113)),"")&amp;""</f>
        <v/>
      </c>
      <c r="W480" s="117" t="str">
        <f t="shared" si="111"/>
        <v>OK</v>
      </c>
      <c r="X480" t="str">
        <f t="shared" ca="1" si="116"/>
        <v>都道府県を選択してください。</v>
      </c>
      <c r="Y480">
        <f>IF(G480&lt;&gt;"",0,1)</f>
        <v>1</v>
      </c>
      <c r="AA480" t="str">
        <f>C480&amp;"を選択してください。"</f>
        <v>都道府県を選択してください。</v>
      </c>
    </row>
    <row r="481" spans="2:28" x14ac:dyDescent="0.15">
      <c r="B481" s="5">
        <v>47</v>
      </c>
      <c r="C481" s="5" t="s">
        <v>29</v>
      </c>
      <c r="D481" s="4">
        <f t="shared" si="110"/>
        <v>0</v>
      </c>
      <c r="E481" s="110" t="str">
        <f>DBCS('入力シート（2事業場以降）'!$AD113)</f>
        <v/>
      </c>
      <c r="F481" s="4"/>
      <c r="G481" s="15" t="str">
        <f>IF($D481=1,TRIM(CLEAN('入力シート（2事業場以降）'!AD113)),"")&amp;""</f>
        <v/>
      </c>
      <c r="W481" s="117" t="str">
        <f t="shared" si="111"/>
        <v>OK</v>
      </c>
      <c r="X481" t="str">
        <f t="shared" ca="1" si="116"/>
        <v>市区町村を入力してください。</v>
      </c>
      <c r="Y481">
        <f>IF(G481&lt;&gt;"",0,1)</f>
        <v>1</v>
      </c>
      <c r="AA481" t="str">
        <f>C481&amp;"を入力してください。"</f>
        <v>市区町村を入力してください。</v>
      </c>
    </row>
    <row r="482" spans="2:28" x14ac:dyDescent="0.15">
      <c r="B482" s="5">
        <v>47</v>
      </c>
      <c r="C482" s="5" t="s">
        <v>31</v>
      </c>
      <c r="D482" s="4">
        <f t="shared" si="110"/>
        <v>0</v>
      </c>
      <c r="E482" s="110" t="str">
        <f>DBCS('入力シート（2事業場以降）'!$AH113)</f>
        <v/>
      </c>
      <c r="F482" s="4"/>
      <c r="G482" s="15" t="str">
        <f>IF($D482=1,TRIM(CLEAN('入力シート（2事業場以降）'!AH113)),"")&amp;""</f>
        <v/>
      </c>
      <c r="W482" s="117" t="str">
        <f t="shared" si="111"/>
        <v>OK</v>
      </c>
      <c r="X482" t="str">
        <f t="shared" ca="1" si="116"/>
        <v>町名地番を入力してください。</v>
      </c>
      <c r="Y482">
        <f>IF(G482&lt;&gt;"",0,1)</f>
        <v>1</v>
      </c>
      <c r="AA482" t="str">
        <f>C482&amp;"を入力してください。"</f>
        <v>町名地番を入力してください。</v>
      </c>
    </row>
    <row r="483" spans="2:28" x14ac:dyDescent="0.15">
      <c r="B483" s="5">
        <v>47</v>
      </c>
      <c r="C483" s="5" t="s">
        <v>34</v>
      </c>
      <c r="D483" s="4">
        <f t="shared" si="110"/>
        <v>0</v>
      </c>
      <c r="E483" s="110" t="str">
        <f>DBCS('入力シート（2事業場以降）'!$AL113)</f>
        <v/>
      </c>
      <c r="F483" s="4"/>
      <c r="G483" s="15" t="str">
        <f>IF($D483=1,TRIM(CLEAN('入力シート（2事業場以降）'!AL113)),"")&amp;""</f>
        <v/>
      </c>
      <c r="W483" s="117" t="str">
        <f t="shared" si="111"/>
        <v>OK</v>
      </c>
    </row>
    <row r="484" spans="2:28" x14ac:dyDescent="0.15">
      <c r="B484" s="5">
        <v>48</v>
      </c>
      <c r="C484" s="5" t="s">
        <v>53</v>
      </c>
      <c r="D484" s="4">
        <f t="shared" si="110"/>
        <v>0</v>
      </c>
      <c r="E484" s="4"/>
      <c r="F484" s="4"/>
      <c r="G484" s="16" t="str">
        <f>IF($D484=1,'入力シート（2事業場以降）'!F115,"")&amp;""</f>
        <v/>
      </c>
      <c r="W484" s="117" t="str">
        <f t="shared" si="111"/>
        <v>OK</v>
      </c>
      <c r="X484" t="str">
        <f t="shared" ref="X484:X491" ca="1" si="118">IF(Y484=0,IF(Z484&lt;&gt;0,OFFSET(AA484,0,Z484),$V$1),AA484)</f>
        <v>書類の種類を選択してください。</v>
      </c>
      <c r="Y484">
        <f>IF(G484&lt;&gt;"",0,1)</f>
        <v>1</v>
      </c>
      <c r="AA484" t="str">
        <f>C484&amp;"を選択してください。"</f>
        <v>書類の種類を選択してください。</v>
      </c>
    </row>
    <row r="485" spans="2:28" x14ac:dyDescent="0.15">
      <c r="B485" s="5">
        <v>48</v>
      </c>
      <c r="C485" s="5" t="s">
        <v>424</v>
      </c>
      <c r="D485" s="4">
        <f t="shared" si="110"/>
        <v>0</v>
      </c>
      <c r="E485" s="110" t="str">
        <f>SUBSTITUTE(SUBSTITUTE(SUBSTITUTE(SUBSTITUTE(SUBSTITUTE(SUBSTITUTE(SUBSTITUTE(SUBSTITUTE(SUBSTITUTE(SUBSTITUTE(SUBSTITUTE('入力シート（2事業場以降）'!J115,"０","0"),"１","1"),"２","2"),"３","3"),"４","4"),"５","5"),"６","6"),"７","7"),"８","8"),"９","9"),"．",".")</f>
        <v/>
      </c>
      <c r="F485" s="4" t="str">
        <f t="shared" ref="F485" si="119">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485,"Ａ","A"),"Ｂ","B"),"Ｃ","C"),"Ｄ","D"),"Ｅ","E"),"Ｆ","F"),"Ｇ","G"),"Ｈ","H"),"Ｉ","I"),"Ｊ","J"),"Ｋ","K"),"Ｌ","L"),"Ｍ","M"),"Ｎ","N"),"Ｏ","O"),"Ｐ","P"),"Ｑ","Q"),"Ｒ","R"),"Ｓ","S"),"Ｔ","T"),"Ｕ","U"),"Ｖ","V"),"Ｗ","W"),"Ｘ","X"),"Ｙ","Y"),"Ｚ","Z"),"ａ","a"),"ｂ","b"),"ｃ","c"),"ｄ","d"),"ｅ","e"),"ｆ","f"),"ｇ","g"),"ｈ","h"),"ｉ","i"),"ｊ","j"),"ｋ","k"),"ｌ","l"),"ｍ","m"),"ｎ","n"),"ｏ","o"),"ｐ","p"),"ｑ","q"),"ｒ","r"),"ｓ","s"),"ｔ","t"),"ｕ","u"),"ｖ","v"),"ｗ","w"),"ｘ","x"),"ｙ","y"),"ｚ","z"),"＆","&amp;"),"－","-"),"．",".")</f>
        <v/>
      </c>
      <c r="G485" s="15" t="str">
        <f>IF($D485=1,TRIM(CLEAN(F485)),"")&amp;""</f>
        <v/>
      </c>
      <c r="H485" t="str">
        <f>IF(G484&lt;&gt;"",IF(G484="自動車整備士である証明","整備士合格証書番号",LEFT(G484,2)&amp;"番号"),C485)</f>
        <v>認証・指定・認定番号または、整備士合格証書番号</v>
      </c>
      <c r="W485" s="117" t="str">
        <f t="shared" si="111"/>
        <v>OK</v>
      </c>
      <c r="X485" t="str">
        <f t="shared" ca="1" si="118"/>
        <v>認証・指定・認定番号または、整備士合格証書番号を入力してください。</v>
      </c>
      <c r="Y485">
        <f>IF(G485&lt;&gt;"",0,1)</f>
        <v>1</v>
      </c>
      <c r="AA485" t="str">
        <f>H485&amp;"を入力してください。"</f>
        <v>認証・指定・認定番号または、整備士合格証書番号を入力してください。</v>
      </c>
    </row>
    <row r="486" spans="2:28" x14ac:dyDescent="0.15">
      <c r="B486" s="5">
        <v>48</v>
      </c>
      <c r="C486" s="5" t="s">
        <v>54</v>
      </c>
      <c r="D486" s="4">
        <f t="shared" si="110"/>
        <v>0</v>
      </c>
      <c r="E486" s="4"/>
      <c r="F486" s="4" t="s">
        <v>402</v>
      </c>
      <c r="G486" s="15" t="str">
        <f>IF($D486=1,TRIM(CLEAN('入力シート（2事業場以降）'!N115)),"")&amp;""</f>
        <v/>
      </c>
      <c r="W486" s="117" t="str">
        <f t="shared" si="111"/>
        <v>OK</v>
      </c>
      <c r="X486" t="str">
        <f t="shared" ca="1" si="118"/>
        <v>管轄運輸局を入力してください。</v>
      </c>
      <c r="Y486">
        <f>IF(G484&lt;&gt;"自動車整備士である証明",IF(G486&lt;&gt;"",0,1),0)</f>
        <v>1</v>
      </c>
      <c r="AA486" t="str">
        <f>C486&amp;"を入力してください。"</f>
        <v>管轄運輸局を入力してください。</v>
      </c>
    </row>
    <row r="487" spans="2:28" x14ac:dyDescent="0.15">
      <c r="B487" s="5">
        <v>48</v>
      </c>
      <c r="C487" s="5" t="s">
        <v>56</v>
      </c>
      <c r="D487" s="4">
        <f t="shared" si="110"/>
        <v>0</v>
      </c>
      <c r="E487" s="110" t="str">
        <f>DBCS('入力シート（2事業場以降）'!R115)</f>
        <v/>
      </c>
      <c r="F487" s="4" t="str">
        <f>SUBSTITUTE(SUBSTITUTE(SUBSTITUTE(SUBSTITUTE(E487,"　株式会社","株式会社"),"会社　","会社"),"　有限会社","有限会社"),"　合同会社","合同会社")</f>
        <v/>
      </c>
      <c r="G487" s="16" t="str">
        <f>IF($D487=1,TRIM(CLEAN(F487)),"")&amp;""</f>
        <v/>
      </c>
      <c r="W487" s="117" t="str">
        <f t="shared" si="111"/>
        <v>OK</v>
      </c>
      <c r="X487" t="str">
        <f t="shared" ca="1" si="118"/>
        <v>事業場名を入力してください。</v>
      </c>
      <c r="Y487">
        <f>IF(G487&lt;&gt;"",0,1)</f>
        <v>1</v>
      </c>
      <c r="AA487" t="str">
        <f>C487&amp;"を入力してください。"</f>
        <v>事業場名を入力してください。</v>
      </c>
    </row>
    <row r="488" spans="2:28" x14ac:dyDescent="0.15">
      <c r="B488" s="5">
        <v>48</v>
      </c>
      <c r="C488" s="5" t="s">
        <v>24</v>
      </c>
      <c r="D488" s="4">
        <f t="shared" si="110"/>
        <v>0</v>
      </c>
      <c r="E488" s="4"/>
      <c r="F488" s="4"/>
      <c r="G488" s="15" t="str">
        <f>IF($D488=1,TRIM(CLEAN(ASC('入力シート（2事業場以降）'!X115))),"")&amp;""</f>
        <v/>
      </c>
      <c r="H488" s="15" t="str">
        <f>IF($D488=1,TRIM(CLEAN(ASC('入力シート（2事業場以降）'!Z115))),"")&amp;""</f>
        <v/>
      </c>
      <c r="W488" s="117" t="str">
        <f t="shared" si="111"/>
        <v>OK</v>
      </c>
      <c r="X488" t="str">
        <f t="shared" ca="1" si="118"/>
        <v>郵便番号を入力してください。</v>
      </c>
      <c r="Y488">
        <f>IF(AND(LEN(G488)=3,LEN(H488)=4)=TRUE,0,1)</f>
        <v>1</v>
      </c>
      <c r="Z488">
        <f>IFERROR(IF(0&lt;VALUE(G488),0,1),1)</f>
        <v>1</v>
      </c>
      <c r="AA488" t="str">
        <f>C488&amp;"を入力してください。"</f>
        <v>郵便番号を入力してください。</v>
      </c>
      <c r="AB488" t="str">
        <f>"正しい"&amp;C488&amp;"を入力してください。"</f>
        <v>正しい郵便番号を入力してください。</v>
      </c>
    </row>
    <row r="489" spans="2:28" x14ac:dyDescent="0.15">
      <c r="B489" s="5">
        <v>48</v>
      </c>
      <c r="C489" s="5" t="s">
        <v>26</v>
      </c>
      <c r="D489" s="4">
        <f t="shared" si="110"/>
        <v>0</v>
      </c>
      <c r="E489" s="4"/>
      <c r="F489" s="4"/>
      <c r="G489" s="15" t="str">
        <f>IF($D489=1,TRIM(CLEAN('入力シート（2事業場以降）'!AB115)),"")&amp;""</f>
        <v/>
      </c>
      <c r="W489" s="117" t="str">
        <f t="shared" si="111"/>
        <v>OK</v>
      </c>
      <c r="X489" t="str">
        <f t="shared" ca="1" si="118"/>
        <v>都道府県を選択してください。</v>
      </c>
      <c r="Y489">
        <f>IF(G489&lt;&gt;"",0,1)</f>
        <v>1</v>
      </c>
      <c r="AA489" t="str">
        <f>C489&amp;"を選択してください。"</f>
        <v>都道府県を選択してください。</v>
      </c>
    </row>
    <row r="490" spans="2:28" x14ac:dyDescent="0.15">
      <c r="B490" s="5">
        <v>48</v>
      </c>
      <c r="C490" s="5" t="s">
        <v>29</v>
      </c>
      <c r="D490" s="4">
        <f t="shared" si="110"/>
        <v>0</v>
      </c>
      <c r="E490" s="110" t="str">
        <f>DBCS('入力シート（2事業場以降）'!$AD115)</f>
        <v/>
      </c>
      <c r="F490" s="4"/>
      <c r="G490" s="15" t="str">
        <f>IF($D490=1,TRIM(CLEAN('入力シート（2事業場以降）'!AD115)),"")&amp;""</f>
        <v/>
      </c>
      <c r="W490" s="117" t="str">
        <f t="shared" si="111"/>
        <v>OK</v>
      </c>
      <c r="X490" t="str">
        <f t="shared" ca="1" si="118"/>
        <v>市区町村を入力してください。</v>
      </c>
      <c r="Y490">
        <f>IF(G490&lt;&gt;"",0,1)</f>
        <v>1</v>
      </c>
      <c r="AA490" t="str">
        <f>C490&amp;"を入力してください。"</f>
        <v>市区町村を入力してください。</v>
      </c>
    </row>
    <row r="491" spans="2:28" x14ac:dyDescent="0.15">
      <c r="B491" s="5">
        <v>48</v>
      </c>
      <c r="C491" s="5" t="s">
        <v>31</v>
      </c>
      <c r="D491" s="4">
        <f t="shared" si="110"/>
        <v>0</v>
      </c>
      <c r="E491" s="110" t="str">
        <f>DBCS('入力シート（2事業場以降）'!$AH115)</f>
        <v/>
      </c>
      <c r="F491" s="4"/>
      <c r="G491" s="15" t="str">
        <f>IF($D491=1,TRIM(CLEAN('入力シート（2事業場以降）'!AH115)),"")&amp;""</f>
        <v/>
      </c>
      <c r="W491" s="117" t="str">
        <f t="shared" si="111"/>
        <v>OK</v>
      </c>
      <c r="X491" t="str">
        <f t="shared" ca="1" si="118"/>
        <v>町名地番を入力してください。</v>
      </c>
      <c r="Y491">
        <f>IF(G491&lt;&gt;"",0,1)</f>
        <v>1</v>
      </c>
      <c r="AA491" t="str">
        <f>C491&amp;"を入力してください。"</f>
        <v>町名地番を入力してください。</v>
      </c>
    </row>
    <row r="492" spans="2:28" x14ac:dyDescent="0.15">
      <c r="B492" s="5">
        <v>48</v>
      </c>
      <c r="C492" s="5" t="s">
        <v>34</v>
      </c>
      <c r="D492" s="4">
        <f t="shared" si="110"/>
        <v>0</v>
      </c>
      <c r="E492" s="110" t="str">
        <f>DBCS('入力シート（2事業場以降）'!$AL115)</f>
        <v/>
      </c>
      <c r="F492" s="4"/>
      <c r="G492" s="15" t="str">
        <f>IF($D492=1,TRIM(CLEAN('入力シート（2事業場以降）'!AL115)),"")&amp;""</f>
        <v/>
      </c>
      <c r="W492" s="117" t="str">
        <f t="shared" si="111"/>
        <v>OK</v>
      </c>
    </row>
    <row r="493" spans="2:28" x14ac:dyDescent="0.15">
      <c r="B493" s="5">
        <v>49</v>
      </c>
      <c r="C493" s="5" t="s">
        <v>53</v>
      </c>
      <c r="D493" s="4">
        <f t="shared" si="110"/>
        <v>0</v>
      </c>
      <c r="E493" s="4"/>
      <c r="F493" s="4"/>
      <c r="G493" s="16" t="str">
        <f>IF($D493=1,'入力シート（2事業場以降）'!F117,"")&amp;""</f>
        <v/>
      </c>
      <c r="W493" s="117" t="str">
        <f t="shared" si="111"/>
        <v>OK</v>
      </c>
      <c r="X493" t="str">
        <f t="shared" ref="X493:X500" ca="1" si="120">IF(Y493=0,IF(Z493&lt;&gt;0,OFFSET(AA493,0,Z493),$V$1),AA493)</f>
        <v>書類の種類を選択してください。</v>
      </c>
      <c r="Y493">
        <f>IF(G493&lt;&gt;"",0,1)</f>
        <v>1</v>
      </c>
      <c r="AA493" t="str">
        <f>C493&amp;"を選択してください。"</f>
        <v>書類の種類を選択してください。</v>
      </c>
    </row>
    <row r="494" spans="2:28" x14ac:dyDescent="0.15">
      <c r="B494" s="5">
        <v>49</v>
      </c>
      <c r="C494" s="5" t="s">
        <v>424</v>
      </c>
      <c r="D494" s="4">
        <f t="shared" si="110"/>
        <v>0</v>
      </c>
      <c r="E494" s="110" t="str">
        <f>SUBSTITUTE(SUBSTITUTE(SUBSTITUTE(SUBSTITUTE(SUBSTITUTE(SUBSTITUTE(SUBSTITUTE(SUBSTITUTE(SUBSTITUTE(SUBSTITUTE(SUBSTITUTE('入力シート（2事業場以降）'!J117,"０","0"),"１","1"),"２","2"),"３","3"),"４","4"),"５","5"),"６","6"),"７","7"),"８","8"),"９","9"),"．",".")</f>
        <v/>
      </c>
      <c r="F494" s="4" t="str">
        <f t="shared" ref="F494" si="121">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494,"Ａ","A"),"Ｂ","B"),"Ｃ","C"),"Ｄ","D"),"Ｅ","E"),"Ｆ","F"),"Ｇ","G"),"Ｈ","H"),"Ｉ","I"),"Ｊ","J"),"Ｋ","K"),"Ｌ","L"),"Ｍ","M"),"Ｎ","N"),"Ｏ","O"),"Ｐ","P"),"Ｑ","Q"),"Ｒ","R"),"Ｓ","S"),"Ｔ","T"),"Ｕ","U"),"Ｖ","V"),"Ｗ","W"),"Ｘ","X"),"Ｙ","Y"),"Ｚ","Z"),"ａ","a"),"ｂ","b"),"ｃ","c"),"ｄ","d"),"ｅ","e"),"ｆ","f"),"ｇ","g"),"ｈ","h"),"ｉ","i"),"ｊ","j"),"ｋ","k"),"ｌ","l"),"ｍ","m"),"ｎ","n"),"ｏ","o"),"ｐ","p"),"ｑ","q"),"ｒ","r"),"ｓ","s"),"ｔ","t"),"ｕ","u"),"ｖ","v"),"ｗ","w"),"ｘ","x"),"ｙ","y"),"ｚ","z"),"＆","&amp;"),"－","-"),"．",".")</f>
        <v/>
      </c>
      <c r="G494" s="15" t="str">
        <f>IF($D494=1,TRIM(CLEAN(F494)),"")&amp;""</f>
        <v/>
      </c>
      <c r="H494" t="str">
        <f>IF(G493&lt;&gt;"",IF(G493="自動車整備士である証明","整備士合格証書番号",LEFT(G493,2)&amp;"番号"),C494)</f>
        <v>認証・指定・認定番号または、整備士合格証書番号</v>
      </c>
      <c r="W494" s="117" t="str">
        <f t="shared" si="111"/>
        <v>OK</v>
      </c>
      <c r="X494" t="str">
        <f t="shared" ca="1" si="120"/>
        <v>認証・指定・認定番号または、整備士合格証書番号を入力してください。</v>
      </c>
      <c r="Y494">
        <f>IF(G494&lt;&gt;"",0,1)</f>
        <v>1</v>
      </c>
      <c r="AA494" t="str">
        <f>H494&amp;"を入力してください。"</f>
        <v>認証・指定・認定番号または、整備士合格証書番号を入力してください。</v>
      </c>
    </row>
    <row r="495" spans="2:28" x14ac:dyDescent="0.15">
      <c r="B495" s="5">
        <v>49</v>
      </c>
      <c r="C495" s="5" t="s">
        <v>54</v>
      </c>
      <c r="D495" s="4">
        <f t="shared" si="110"/>
        <v>0</v>
      </c>
      <c r="E495" s="4"/>
      <c r="F495" s="4" t="s">
        <v>402</v>
      </c>
      <c r="G495" s="15" t="str">
        <f>IF($D495=1,TRIM(CLEAN('入力シート（2事業場以降）'!N117)),"")&amp;""</f>
        <v/>
      </c>
      <c r="W495" s="117" t="str">
        <f t="shared" si="111"/>
        <v>OK</v>
      </c>
      <c r="X495" t="str">
        <f t="shared" ca="1" si="120"/>
        <v>管轄運輸局を入力してください。</v>
      </c>
      <c r="Y495">
        <f>IF(G493&lt;&gt;"自動車整備士である証明",IF(G495&lt;&gt;"",0,1),0)</f>
        <v>1</v>
      </c>
      <c r="AA495" t="str">
        <f>C495&amp;"を入力してください。"</f>
        <v>管轄運輸局を入力してください。</v>
      </c>
    </row>
    <row r="496" spans="2:28" x14ac:dyDescent="0.15">
      <c r="B496" s="5">
        <v>49</v>
      </c>
      <c r="C496" s="5" t="s">
        <v>56</v>
      </c>
      <c r="D496" s="4">
        <f t="shared" si="110"/>
        <v>0</v>
      </c>
      <c r="E496" s="110" t="str">
        <f>DBCS('入力シート（2事業場以降）'!R117)</f>
        <v/>
      </c>
      <c r="F496" s="4" t="str">
        <f>SUBSTITUTE(SUBSTITUTE(SUBSTITUTE(SUBSTITUTE(E496,"　株式会社","株式会社"),"会社　","会社"),"　有限会社","有限会社"),"　合同会社","合同会社")</f>
        <v/>
      </c>
      <c r="G496" s="16" t="str">
        <f>IF($D496=1,TRIM(CLEAN(F496)),"")&amp;""</f>
        <v/>
      </c>
      <c r="W496" s="117" t="str">
        <f t="shared" si="111"/>
        <v>OK</v>
      </c>
      <c r="X496" t="str">
        <f t="shared" ca="1" si="120"/>
        <v>事業場名を入力してください。</v>
      </c>
      <c r="Y496">
        <f>IF(G496&lt;&gt;"",0,1)</f>
        <v>1</v>
      </c>
      <c r="AA496" t="str">
        <f>C496&amp;"を入力してください。"</f>
        <v>事業場名を入力してください。</v>
      </c>
    </row>
    <row r="497" spans="2:37" x14ac:dyDescent="0.15">
      <c r="B497" s="5">
        <v>49</v>
      </c>
      <c r="C497" s="5" t="s">
        <v>24</v>
      </c>
      <c r="D497" s="4">
        <f t="shared" si="110"/>
        <v>0</v>
      </c>
      <c r="E497" s="4"/>
      <c r="F497" s="4"/>
      <c r="G497" s="15" t="str">
        <f>IF($D497=1,TRIM(CLEAN(ASC('入力シート（2事業場以降）'!X117))),"")&amp;""</f>
        <v/>
      </c>
      <c r="H497" s="15" t="str">
        <f>IF($D497=1,TRIM(CLEAN(ASC('入力シート（2事業場以降）'!Z117))),"")&amp;""</f>
        <v/>
      </c>
      <c r="W497" s="117" t="str">
        <f t="shared" si="111"/>
        <v>OK</v>
      </c>
      <c r="X497" t="str">
        <f t="shared" ca="1" si="120"/>
        <v>郵便番号を入力してください。</v>
      </c>
      <c r="Y497">
        <f>IF(AND(LEN(G497)=3,LEN(H497)=4)=TRUE,0,1)</f>
        <v>1</v>
      </c>
      <c r="Z497">
        <f>IFERROR(IF(0&lt;VALUE(G497),0,1),1)</f>
        <v>1</v>
      </c>
      <c r="AA497" t="str">
        <f>C497&amp;"を入力してください。"</f>
        <v>郵便番号を入力してください。</v>
      </c>
      <c r="AB497" t="str">
        <f>"正しい"&amp;C497&amp;"を入力してください。"</f>
        <v>正しい郵便番号を入力してください。</v>
      </c>
    </row>
    <row r="498" spans="2:37" x14ac:dyDescent="0.15">
      <c r="B498" s="5">
        <v>49</v>
      </c>
      <c r="C498" s="5" t="s">
        <v>26</v>
      </c>
      <c r="D498" s="4">
        <f t="shared" si="110"/>
        <v>0</v>
      </c>
      <c r="E498" s="4"/>
      <c r="F498" s="4"/>
      <c r="G498" s="15" t="str">
        <f>IF($D498=1,TRIM(CLEAN('入力シート（2事業場以降）'!AB117)),"")&amp;""</f>
        <v/>
      </c>
      <c r="W498" s="117" t="str">
        <f t="shared" si="111"/>
        <v>OK</v>
      </c>
      <c r="X498" t="str">
        <f t="shared" ca="1" si="120"/>
        <v>都道府県を選択してください。</v>
      </c>
      <c r="Y498">
        <f>IF(G498&lt;&gt;"",0,1)</f>
        <v>1</v>
      </c>
      <c r="AA498" t="str">
        <f>C498&amp;"を選択してください。"</f>
        <v>都道府県を選択してください。</v>
      </c>
    </row>
    <row r="499" spans="2:37" x14ac:dyDescent="0.15">
      <c r="B499" s="5">
        <v>49</v>
      </c>
      <c r="C499" s="5" t="s">
        <v>29</v>
      </c>
      <c r="D499" s="4">
        <f t="shared" si="110"/>
        <v>0</v>
      </c>
      <c r="E499" s="110" t="str">
        <f>DBCS('入力シート（2事業場以降）'!$AD117)</f>
        <v/>
      </c>
      <c r="F499" s="4"/>
      <c r="G499" s="15" t="str">
        <f>IF($D499=1,TRIM(CLEAN('入力シート（2事業場以降）'!AD117)),"")&amp;""</f>
        <v/>
      </c>
      <c r="W499" s="117" t="str">
        <f t="shared" si="111"/>
        <v>OK</v>
      </c>
      <c r="X499" t="str">
        <f t="shared" ca="1" si="120"/>
        <v>市区町村を入力してください。</v>
      </c>
      <c r="Y499">
        <f>IF(G499&lt;&gt;"",0,1)</f>
        <v>1</v>
      </c>
      <c r="AA499" t="str">
        <f>C499&amp;"を入力してください。"</f>
        <v>市区町村を入力してください。</v>
      </c>
    </row>
    <row r="500" spans="2:37" x14ac:dyDescent="0.15">
      <c r="B500" s="5">
        <v>49</v>
      </c>
      <c r="C500" s="5" t="s">
        <v>31</v>
      </c>
      <c r="D500" s="4">
        <f t="shared" si="110"/>
        <v>0</v>
      </c>
      <c r="E500" s="110" t="str">
        <f>DBCS('入力シート（2事業場以降）'!$AH117)</f>
        <v/>
      </c>
      <c r="F500" s="4"/>
      <c r="G500" s="15" t="str">
        <f>IF($D500=1,TRIM(CLEAN('入力シート（2事業場以降）'!AH117)),"")&amp;""</f>
        <v/>
      </c>
      <c r="W500" s="117" t="str">
        <f t="shared" si="111"/>
        <v>OK</v>
      </c>
      <c r="X500" t="str">
        <f t="shared" ca="1" si="120"/>
        <v>町名地番を入力してください。</v>
      </c>
      <c r="Y500">
        <f>IF(G500&lt;&gt;"",0,1)</f>
        <v>1</v>
      </c>
      <c r="AA500" t="str">
        <f>C500&amp;"を入力してください。"</f>
        <v>町名地番を入力してください。</v>
      </c>
    </row>
    <row r="501" spans="2:37" x14ac:dyDescent="0.15">
      <c r="B501" s="5">
        <v>49</v>
      </c>
      <c r="C501" s="5" t="s">
        <v>34</v>
      </c>
      <c r="D501" s="4">
        <f t="shared" si="110"/>
        <v>0</v>
      </c>
      <c r="E501" s="110" t="str">
        <f>DBCS('入力シート（2事業場以降）'!$AL117)</f>
        <v/>
      </c>
      <c r="F501" s="4"/>
      <c r="G501" s="15" t="str">
        <f>IF($D501=1,TRIM(CLEAN('入力シート（2事業場以降）'!AL117)),"")&amp;""</f>
        <v/>
      </c>
      <c r="W501" s="117" t="str">
        <f t="shared" si="111"/>
        <v>OK</v>
      </c>
    </row>
    <row r="502" spans="2:37" x14ac:dyDescent="0.15">
      <c r="B502" s="5">
        <v>50</v>
      </c>
      <c r="C502" s="5" t="s">
        <v>53</v>
      </c>
      <c r="D502" s="4">
        <f t="shared" si="110"/>
        <v>0</v>
      </c>
      <c r="E502" s="4"/>
      <c r="F502" s="4"/>
      <c r="G502" s="16" t="str">
        <f>IF($D502=1,'入力シート（2事業場以降）'!F119,"")&amp;""</f>
        <v/>
      </c>
      <c r="W502" s="117" t="str">
        <f t="shared" si="111"/>
        <v>OK</v>
      </c>
      <c r="X502" t="str">
        <f t="shared" ref="X502:X509" ca="1" si="122">IF(Y502=0,IF(Z502&lt;&gt;0,OFFSET(AA502,0,Z502),$V$1),AA502)</f>
        <v>書類の種類を選択してください。</v>
      </c>
      <c r="Y502">
        <f>IF(G502&lt;&gt;"",0,1)</f>
        <v>1</v>
      </c>
      <c r="AA502" t="str">
        <f>C502&amp;"を選択してください。"</f>
        <v>書類の種類を選択してください。</v>
      </c>
    </row>
    <row r="503" spans="2:37" x14ac:dyDescent="0.15">
      <c r="B503" s="5">
        <v>50</v>
      </c>
      <c r="C503" s="5" t="s">
        <v>424</v>
      </c>
      <c r="D503" s="4">
        <f t="shared" si="110"/>
        <v>0</v>
      </c>
      <c r="E503" s="110" t="str">
        <f>SUBSTITUTE(SUBSTITUTE(SUBSTITUTE(SUBSTITUTE(SUBSTITUTE(SUBSTITUTE(SUBSTITUTE(SUBSTITUTE(SUBSTITUTE(SUBSTITUTE(SUBSTITUTE('入力シート（2事業場以降）'!J119,"０","0"),"１","1"),"２","2"),"３","3"),"４","4"),"５","5"),"６","6"),"７","7"),"８","8"),"９","9"),"．",".")</f>
        <v/>
      </c>
      <c r="F503" s="4" t="str">
        <f t="shared" ref="F503" si="123">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E503,"Ａ","A"),"Ｂ","B"),"Ｃ","C"),"Ｄ","D"),"Ｅ","E"),"Ｆ","F"),"Ｇ","G"),"Ｈ","H"),"Ｉ","I"),"Ｊ","J"),"Ｋ","K"),"Ｌ","L"),"Ｍ","M"),"Ｎ","N"),"Ｏ","O"),"Ｐ","P"),"Ｑ","Q"),"Ｒ","R"),"Ｓ","S"),"Ｔ","T"),"Ｕ","U"),"Ｖ","V"),"Ｗ","W"),"Ｘ","X"),"Ｙ","Y"),"Ｚ","Z"),"ａ","a"),"ｂ","b"),"ｃ","c"),"ｄ","d"),"ｅ","e"),"ｆ","f"),"ｇ","g"),"ｈ","h"),"ｉ","i"),"ｊ","j"),"ｋ","k"),"ｌ","l"),"ｍ","m"),"ｎ","n"),"ｏ","o"),"ｐ","p"),"ｑ","q"),"ｒ","r"),"ｓ","s"),"ｔ","t"),"ｕ","u"),"ｖ","v"),"ｗ","w"),"ｘ","x"),"ｙ","y"),"ｚ","z"),"＆","&amp;"),"－","-"),"．",".")</f>
        <v/>
      </c>
      <c r="G503" s="15" t="str">
        <f>IF($D503=1,TRIM(CLEAN(F503)),"")&amp;""</f>
        <v/>
      </c>
      <c r="H503" t="str">
        <f>IF(G502&lt;&gt;"",IF(G502="自動車整備士である証明","整備士合格証書番号",LEFT(G502,2)&amp;"番号"),C503)</f>
        <v>認証・指定・認定番号または、整備士合格証書番号</v>
      </c>
      <c r="W503" s="117" t="str">
        <f t="shared" si="111"/>
        <v>OK</v>
      </c>
      <c r="X503" t="str">
        <f t="shared" ca="1" si="122"/>
        <v>認証・指定・認定番号または、整備士合格証書番号を入力してください。</v>
      </c>
      <c r="Y503">
        <f>IF(G503&lt;&gt;"",0,1)</f>
        <v>1</v>
      </c>
      <c r="AA503" t="str">
        <f>H503&amp;"を入力してください。"</f>
        <v>認証・指定・認定番号または、整備士合格証書番号を入力してください。</v>
      </c>
    </row>
    <row r="504" spans="2:37" x14ac:dyDescent="0.15">
      <c r="B504" s="5">
        <v>50</v>
      </c>
      <c r="C504" s="5" t="s">
        <v>54</v>
      </c>
      <c r="D504" s="4">
        <f t="shared" si="110"/>
        <v>0</v>
      </c>
      <c r="E504" s="4"/>
      <c r="F504" s="4" t="s">
        <v>402</v>
      </c>
      <c r="G504" s="15" t="str">
        <f>IF($D504=1,TRIM(CLEAN('入力シート（2事業場以降）'!N119)),"")&amp;""</f>
        <v/>
      </c>
      <c r="W504" s="117" t="str">
        <f t="shared" si="111"/>
        <v>OK</v>
      </c>
      <c r="X504" t="str">
        <f t="shared" ca="1" si="122"/>
        <v>管轄運輸局を入力してください。</v>
      </c>
      <c r="Y504">
        <f>IF(G502&lt;&gt;"自動車整備士である証明",IF(G504&lt;&gt;"",0,1),0)</f>
        <v>1</v>
      </c>
      <c r="AA504" t="str">
        <f>C504&amp;"を入力してください。"</f>
        <v>管轄運輸局を入力してください。</v>
      </c>
    </row>
    <row r="505" spans="2:37" x14ac:dyDescent="0.15">
      <c r="B505" s="5">
        <v>50</v>
      </c>
      <c r="C505" s="5" t="s">
        <v>56</v>
      </c>
      <c r="D505" s="4">
        <f t="shared" si="110"/>
        <v>0</v>
      </c>
      <c r="E505" s="110" t="str">
        <f>DBCS('入力シート（2事業場以降）'!R119)</f>
        <v/>
      </c>
      <c r="F505" s="4" t="str">
        <f>SUBSTITUTE(SUBSTITUTE(SUBSTITUTE(SUBSTITUTE(E505,"　株式会社","株式会社"),"会社　","会社"),"　有限会社","有限会社"),"　合同会社","合同会社")</f>
        <v/>
      </c>
      <c r="G505" s="16" t="str">
        <f>IF($D505=1,TRIM(CLEAN(F505)),"")&amp;""</f>
        <v/>
      </c>
      <c r="W505" s="117" t="str">
        <f t="shared" si="111"/>
        <v>OK</v>
      </c>
      <c r="X505" t="str">
        <f t="shared" ca="1" si="122"/>
        <v>事業場名を入力してください。</v>
      </c>
      <c r="Y505">
        <f>IF(G505&lt;&gt;"",0,1)</f>
        <v>1</v>
      </c>
      <c r="AA505" t="str">
        <f>C505&amp;"を入力してください。"</f>
        <v>事業場名を入力してください。</v>
      </c>
    </row>
    <row r="506" spans="2:37" x14ac:dyDescent="0.15">
      <c r="B506" s="5">
        <v>50</v>
      </c>
      <c r="C506" s="5" t="s">
        <v>24</v>
      </c>
      <c r="D506" s="4">
        <f t="shared" si="110"/>
        <v>0</v>
      </c>
      <c r="E506" s="4"/>
      <c r="F506" s="4"/>
      <c r="G506" s="15" t="str">
        <f>IF($D506=1,TRIM(CLEAN(ASC('入力シート（2事業場以降）'!X119))),"")&amp;""</f>
        <v/>
      </c>
      <c r="H506" s="15" t="str">
        <f>IF($D506=1,TRIM(CLEAN(ASC('入力シート（2事業場以降）'!Z119))),"")&amp;""</f>
        <v/>
      </c>
      <c r="W506" s="117" t="str">
        <f t="shared" si="111"/>
        <v>OK</v>
      </c>
      <c r="X506" t="str">
        <f t="shared" ca="1" si="122"/>
        <v>郵便番号を入力してください。</v>
      </c>
      <c r="Y506">
        <f>IF(AND(LEN(G506)=3,LEN(H506)=4)=TRUE,0,1)</f>
        <v>1</v>
      </c>
      <c r="Z506">
        <f>IFERROR(IF(0&lt;VALUE(G506),0,1),1)</f>
        <v>1</v>
      </c>
      <c r="AA506" t="str">
        <f>C506&amp;"を入力してください。"</f>
        <v>郵便番号を入力してください。</v>
      </c>
      <c r="AB506" t="str">
        <f>"正しい"&amp;C506&amp;"を入力してください。"</f>
        <v>正しい郵便番号を入力してください。</v>
      </c>
    </row>
    <row r="507" spans="2:37" x14ac:dyDescent="0.15">
      <c r="B507" s="5">
        <v>50</v>
      </c>
      <c r="C507" s="5" t="s">
        <v>26</v>
      </c>
      <c r="D507" s="4">
        <f t="shared" si="110"/>
        <v>0</v>
      </c>
      <c r="E507" s="4"/>
      <c r="F507" s="4"/>
      <c r="G507" s="15" t="str">
        <f>IF($D507=1,TRIM(CLEAN('入力シート（2事業場以降）'!AB119)),"")&amp;""</f>
        <v/>
      </c>
      <c r="W507" s="117" t="str">
        <f t="shared" si="111"/>
        <v>OK</v>
      </c>
      <c r="X507" t="str">
        <f t="shared" ca="1" si="122"/>
        <v>都道府県を選択してください。</v>
      </c>
      <c r="Y507">
        <f>IF(G507&lt;&gt;"",0,1)</f>
        <v>1</v>
      </c>
      <c r="AA507" t="str">
        <f>C507&amp;"を選択してください。"</f>
        <v>都道府県を選択してください。</v>
      </c>
    </row>
    <row r="508" spans="2:37" x14ac:dyDescent="0.15">
      <c r="B508" s="5">
        <v>50</v>
      </c>
      <c r="C508" s="5" t="s">
        <v>29</v>
      </c>
      <c r="D508" s="4">
        <f t="shared" si="110"/>
        <v>0</v>
      </c>
      <c r="E508" s="110" t="str">
        <f>DBCS('入力シート（2事業場以降）'!$AD119)</f>
        <v/>
      </c>
      <c r="F508" s="4"/>
      <c r="G508" s="15" t="str">
        <f>IF($D508=1,TRIM(CLEAN('入力シート（2事業場以降）'!AD119)),"")&amp;""</f>
        <v/>
      </c>
      <c r="W508" s="117" t="str">
        <f t="shared" si="111"/>
        <v>OK</v>
      </c>
      <c r="X508" t="str">
        <f t="shared" ca="1" si="122"/>
        <v>市区町村を入力してください。</v>
      </c>
      <c r="Y508">
        <f>IF(G508&lt;&gt;"",0,1)</f>
        <v>1</v>
      </c>
      <c r="AA508" t="str">
        <f>C508&amp;"を入力してください。"</f>
        <v>市区町村を入力してください。</v>
      </c>
    </row>
    <row r="509" spans="2:37" x14ac:dyDescent="0.15">
      <c r="B509" s="5">
        <v>50</v>
      </c>
      <c r="C509" s="5" t="s">
        <v>31</v>
      </c>
      <c r="D509" s="4">
        <f t="shared" si="110"/>
        <v>0</v>
      </c>
      <c r="E509" s="110" t="str">
        <f>DBCS('入力シート（2事業場以降）'!$AH119)</f>
        <v/>
      </c>
      <c r="F509" s="4"/>
      <c r="G509" s="15" t="str">
        <f>IF($D509=1,TRIM(CLEAN('入力シート（2事業場以降）'!AH119)),"")&amp;""</f>
        <v/>
      </c>
      <c r="W509" s="117" t="str">
        <f t="shared" si="111"/>
        <v>OK</v>
      </c>
      <c r="X509" t="str">
        <f t="shared" ca="1" si="122"/>
        <v>町名地番を入力してください。</v>
      </c>
      <c r="Y509">
        <f>IF(G509&lt;&gt;"",0,1)</f>
        <v>1</v>
      </c>
      <c r="AA509" t="str">
        <f>C509&amp;"を入力してください。"</f>
        <v>町名地番を入力してください。</v>
      </c>
    </row>
    <row r="510" spans="2:37" x14ac:dyDescent="0.15">
      <c r="B510" s="5">
        <v>50</v>
      </c>
      <c r="C510" s="5" t="s">
        <v>34</v>
      </c>
      <c r="D510" s="4">
        <f t="shared" si="110"/>
        <v>0</v>
      </c>
      <c r="E510" s="110" t="str">
        <f>DBCS('入力シート（2事業場以降）'!$AL119)</f>
        <v/>
      </c>
      <c r="F510" s="4"/>
      <c r="G510" s="15" t="str">
        <f>IF($D510=1,TRIM(CLEAN('入力シート（2事業場以降）'!AL119)),"")&amp;""</f>
        <v/>
      </c>
      <c r="AH510" s="132"/>
      <c r="AI510" s="133" t="s">
        <v>425</v>
      </c>
      <c r="AJ510" s="133" t="s">
        <v>426</v>
      </c>
      <c r="AK510" s="134" t="s">
        <v>427</v>
      </c>
    </row>
    <row r="511" spans="2:37" x14ac:dyDescent="0.15">
      <c r="AH511" s="137" t="s">
        <v>428</v>
      </c>
      <c r="AI511" s="135" cm="1">
        <f t="array" ref="AI511">SUM(1/COUNTIF(AK514:AK663,AK514:AK663))-1</f>
        <v>2.4424906541753444E-15</v>
      </c>
      <c r="AJ511" s="135">
        <f>COUNTIF(AH514:AH663,"&lt;&gt;9999")</f>
        <v>0</v>
      </c>
      <c r="AK511" s="136">
        <f>IF(AND(AI511&lt;=2,AJ511&lt;=2),1,IF(AND(AI511&lt;=10,AJ511&lt;=30),2,3))</f>
        <v>1</v>
      </c>
    </row>
    <row r="512" spans="2:37" x14ac:dyDescent="0.15">
      <c r="B512" s="6" t="s">
        <v>429</v>
      </c>
      <c r="C512" s="8"/>
      <c r="D512" s="7"/>
      <c r="E512" s="6" t="s">
        <v>430</v>
      </c>
      <c r="F512" s="8"/>
      <c r="G512" s="6" t="s">
        <v>431</v>
      </c>
      <c r="H512" s="7"/>
      <c r="I512" s="7"/>
      <c r="J512" s="7"/>
      <c r="K512" s="7"/>
      <c r="L512" s="7"/>
      <c r="M512" s="7"/>
      <c r="N512" s="7"/>
      <c r="O512" s="7"/>
      <c r="P512" s="8"/>
      <c r="Q512" s="6" t="s">
        <v>432</v>
      </c>
      <c r="R512" s="7"/>
      <c r="S512" s="7"/>
      <c r="T512" s="8"/>
      <c r="AH512" s="33" t="s">
        <v>433</v>
      </c>
      <c r="AI512" s="33"/>
      <c r="AJ512" s="33"/>
      <c r="AK512" s="33"/>
    </row>
    <row r="513" spans="2:37" ht="27" x14ac:dyDescent="0.15">
      <c r="B513" s="5" t="s">
        <v>423</v>
      </c>
      <c r="C513" s="5" t="s">
        <v>434</v>
      </c>
      <c r="D513" s="5"/>
      <c r="E513" s="9" t="s">
        <v>422</v>
      </c>
      <c r="F513" s="131" t="s">
        <v>435</v>
      </c>
      <c r="G513" s="5" t="s">
        <v>436</v>
      </c>
      <c r="H513" s="5" t="s">
        <v>437</v>
      </c>
      <c r="I513" s="5" t="s">
        <v>438</v>
      </c>
      <c r="J513" s="5" t="s">
        <v>439</v>
      </c>
      <c r="K513" s="5" t="s">
        <v>440</v>
      </c>
      <c r="L513" s="5" t="s">
        <v>67</v>
      </c>
      <c r="M513" s="5" t="s">
        <v>68</v>
      </c>
      <c r="N513" s="5" t="s">
        <v>69</v>
      </c>
      <c r="O513" s="5" t="s">
        <v>441</v>
      </c>
      <c r="P513" s="5" t="s">
        <v>442</v>
      </c>
      <c r="Q513" s="5" t="s">
        <v>67</v>
      </c>
      <c r="R513" s="5" t="s">
        <v>68</v>
      </c>
      <c r="S513" s="5" t="s">
        <v>69</v>
      </c>
      <c r="T513" s="5" t="s">
        <v>441</v>
      </c>
      <c r="W513" s="117"/>
      <c r="X513" s="11" t="s">
        <v>384</v>
      </c>
      <c r="Y513" s="127" t="s">
        <v>376</v>
      </c>
      <c r="Z513" s="76" t="s">
        <v>377</v>
      </c>
      <c r="AA513" t="s">
        <v>443</v>
      </c>
      <c r="AB513" t="s">
        <v>444</v>
      </c>
      <c r="AC513" t="s">
        <v>445</v>
      </c>
      <c r="AD513" t="s">
        <v>388</v>
      </c>
      <c r="AE513" t="s">
        <v>389</v>
      </c>
      <c r="AF513" t="s">
        <v>390</v>
      </c>
      <c r="AH513" t="s">
        <v>446</v>
      </c>
      <c r="AI513" t="s">
        <v>447</v>
      </c>
      <c r="AJ513" t="s">
        <v>448</v>
      </c>
      <c r="AK513" t="s">
        <v>449</v>
      </c>
    </row>
    <row r="514" spans="2:37" x14ac:dyDescent="0.15">
      <c r="B514" s="5">
        <v>1</v>
      </c>
      <c r="C514" s="5">
        <v>1</v>
      </c>
      <c r="D514" s="4">
        <v>101</v>
      </c>
      <c r="E514" s="4">
        <v>1</v>
      </c>
      <c r="F514" s="15">
        <f>入力シート!$Y128</f>
        <v>0</v>
      </c>
      <c r="G514" s="4" t="str">
        <f>IF(AND($E514=1,$F514=1),入力シート!$F128,"")&amp;""</f>
        <v/>
      </c>
      <c r="H514" s="15" t="str">
        <f>IFERROR(VLOOKUP($G514,補助対象機器一覧20220831!$A$2:$K$200,3,FALSE),"")</f>
        <v/>
      </c>
      <c r="I514" s="15" t="str">
        <f>IFERROR(VLOOKUP($G514,補助対象機器一覧20220831!$A$2:$K$200,4,FALSE),"")</f>
        <v/>
      </c>
      <c r="J514" s="15" t="str">
        <f>IFERROR(VLOOKUP($G514,補助対象機器一覧20220831!$A$2:$K$200,5,FALSE),"")</f>
        <v/>
      </c>
      <c r="K514" s="15" t="str">
        <f>IFERROR(VLOOKUP($G514,補助対象機器一覧20220831!$A$2:$K$200,6,FALSE),"")</f>
        <v/>
      </c>
      <c r="L514" s="10" t="str">
        <f>IF(AND($E514=1,$F514=1),入力シート!J128,"")&amp;""</f>
        <v/>
      </c>
      <c r="M514" s="10" t="str">
        <f>IF(AND($E514=1,$F514=1),入力シート!N128,"")&amp;""</f>
        <v/>
      </c>
      <c r="N514" s="10" t="str">
        <f>IF(AND($E514=1,$F514=1),入力シート!R128,"")&amp;""</f>
        <v/>
      </c>
      <c r="O514" s="10" t="str">
        <f>IF(AND($E514=1,$F514=1),入力シート!V128,"")&amp;""</f>
        <v/>
      </c>
      <c r="P514" s="4" t="str">
        <f>IFERROR(VLOOKUP($G514,補助対象機器一覧20220831!$A$2:$K$200,10,FALSE),"")</f>
        <v/>
      </c>
      <c r="Q514" s="15" t="str">
        <f>IF(AND($E514=1,$F514=2),TRIM(CLEAN(入力シート!$J130)),"")&amp;""</f>
        <v/>
      </c>
      <c r="R514" s="15" t="str">
        <f>IF(AND($E514=1,$F514=2),TRIM(CLEAN(入力シート!$N130)),"")&amp;""</f>
        <v/>
      </c>
      <c r="S514" s="15" t="str">
        <f>IF(AND($E514=1,$F514=2),TRIM(CLEAN(入力シート!$R130)),"")&amp;""</f>
        <v/>
      </c>
      <c r="T514" s="15" t="str">
        <f>IF(AND($E514=1,$F514=2),TRIM(CLEAN(入力シート!$V130)),"")&amp;""</f>
        <v/>
      </c>
      <c r="V514">
        <v>1</v>
      </c>
      <c r="W514" s="117" t="str">
        <f t="shared" ref="W514:W545" ca="1" si="124">IF(AND(B514&lt;=$G$60,X514&lt;&gt;""),IF(X514="OK",X514,"NG"),"OK")</f>
        <v>OK</v>
      </c>
      <c r="X514" t="str">
        <f ca="1">IF(Y514&lt;&gt;0,OFFSET(Z514,0,Y514),IF(Z514&lt;&gt;0,IF(Z514=-1,AC514,OFFSET(AC514,0,Z514)),$V$1))&amp;""</f>
        <v>交付申請時のコード番号を選択してください。
申請するコード番号が選べなかった場合は、コード番号の有無で「なし」を選択してください。</v>
      </c>
      <c r="Y514">
        <f>IF(AND(F514=0,G514=""),1,0)</f>
        <v>1</v>
      </c>
      <c r="Z514">
        <f>IF(AND(C514=3,OR(Y512&lt;&gt;0,Z512&lt;&gt;0)),1,IF(AND(1&lt;C514,OR(Y513&lt;&gt;0,Z513&lt;&gt;0)),2,IF(AND(F514&lt;&gt;2,G514&lt;&gt;"",L514=""),3,IF(AND(F514=2,0&lt;COUNTIF(Q514:T514,"")),-1,0))))</f>
        <v>0</v>
      </c>
      <c r="AA514"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14" t="str">
        <f t="shared" ref="AB514:AB545" si="125">$G$513&amp;"を選択してください。"</f>
        <v>コード番号を選択してください。</v>
      </c>
      <c r="AC514" t="s">
        <v>450</v>
      </c>
      <c r="AD514" s="36"/>
      <c r="AE514" s="36"/>
      <c r="AF514" t="s">
        <v>451</v>
      </c>
      <c r="AH514">
        <f>IF(AND(E514=1,Y514=0),VALUE(B514&amp;0&amp;C514),9999)</f>
        <v>9999</v>
      </c>
      <c r="AI514">
        <f>SMALL($AH$514:$AH$663,1)</f>
        <v>9999</v>
      </c>
      <c r="AJ514" t="e">
        <f>VLOOKUP(AI514,$D$514:$F$663,3,FALSE)</f>
        <v>#N/A</v>
      </c>
      <c r="AK514" t="str">
        <f>"事業場"&amp;IF(LEN(AI514)=3,LEFT(AI514,1),LEFT(AI514,2))</f>
        <v>事業場99</v>
      </c>
    </row>
    <row r="515" spans="2:37" x14ac:dyDescent="0.15">
      <c r="B515" s="5">
        <v>1</v>
      </c>
      <c r="C515" s="5">
        <v>2</v>
      </c>
      <c r="D515" s="4">
        <v>102</v>
      </c>
      <c r="E515" s="4">
        <v>1</v>
      </c>
      <c r="F515" s="15">
        <f>入力シート!$Y132</f>
        <v>0</v>
      </c>
      <c r="G515" s="4" t="str">
        <f>IF(AND($E515=1,$F515=1),入力シート!$F132,"")&amp;""</f>
        <v/>
      </c>
      <c r="H515" s="15" t="str">
        <f>IFERROR(VLOOKUP($G515,補助対象機器一覧20220831!$A$2:$K$200,3,FALSE),"")</f>
        <v/>
      </c>
      <c r="I515" s="15" t="str">
        <f>IFERROR(VLOOKUP($G515,補助対象機器一覧20220831!$A$2:$K$200,4,FALSE),"")</f>
        <v/>
      </c>
      <c r="J515" s="15" t="str">
        <f>IFERROR(VLOOKUP($G515,補助対象機器一覧20220831!$A$2:$K$200,5,FALSE),"")</f>
        <v/>
      </c>
      <c r="K515" s="15" t="str">
        <f>IFERROR(VLOOKUP($G515,補助対象機器一覧20220831!$A$2:$K$200,6,FALSE),"")</f>
        <v/>
      </c>
      <c r="L515" s="10" t="str">
        <f>IF(AND($E515=1,$F515=1),入力シート!J132,"")&amp;""</f>
        <v/>
      </c>
      <c r="M515" s="10" t="str">
        <f>IF(AND($E515=1,$F515=1),入力シート!N132,"")&amp;""</f>
        <v/>
      </c>
      <c r="N515" s="10" t="str">
        <f>IF(AND($E515=1,$F515=1),入力シート!R132,"")&amp;""</f>
        <v/>
      </c>
      <c r="O515" s="10" t="str">
        <f>IF(AND($E515=1,$F515=1),入力シート!V132,"")&amp;""</f>
        <v/>
      </c>
      <c r="P515" s="4" t="str">
        <f>IFERROR(VLOOKUP($G515,補助対象機器一覧20220831!$A$2:$K$200,10,FALSE),"")</f>
        <v/>
      </c>
      <c r="Q515" s="15" t="str">
        <f>IF(AND($E515=1,$F515=2),TRIM(CLEAN(入力シート!$J134)),"")&amp;""</f>
        <v/>
      </c>
      <c r="R515" s="15" t="str">
        <f>IF(AND($E515=1,$F515=2),TRIM(CLEAN(入力シート!$N134)),"")&amp;""</f>
        <v/>
      </c>
      <c r="S515" s="15" t="str">
        <f>IF(AND($E515=1,$F515=2),TRIM(CLEAN(入力シート!$R134)),"")&amp;""</f>
        <v/>
      </c>
      <c r="T515" s="15" t="str">
        <f>IF(AND($E515=1,$F515=2),TRIM(CLEAN(入力シート!$V134)),"")&amp;""</f>
        <v/>
      </c>
      <c r="W515" s="117" t="str">
        <f t="shared" ca="1" si="124"/>
        <v>OK</v>
      </c>
      <c r="X515" t="str">
        <f ca="1">IF(Y515&lt;&gt;0,OFFSET(Z515,0,Y515),IF(Z515&lt;&gt;0,IF(Z515=-1,AC515,OFFSET(AC515,0,Z515)),$V$1))&amp;""</f>
        <v/>
      </c>
      <c r="Y515">
        <f t="shared" ref="Y515:Y578" si="126">IF(AND(F515=0,G515=""),1,0)</f>
        <v>1</v>
      </c>
      <c r="Z515">
        <f>IF(AND(C515=3,OR(Y513&lt;&gt;0,Z513&lt;&gt;0)),1,IF(AND(1&lt;C515,OR(Y514&lt;&gt;0,Z514&lt;&gt;0)),2,IF(AND(F515&lt;&gt;2,G515&lt;&gt;"",L515=""),3,IF(AND(F515=2,0&lt;COUNTIF(Q515:T515,"")),-1,0))))</f>
        <v>2</v>
      </c>
      <c r="AA515" s="36"/>
      <c r="AB515" t="str">
        <f t="shared" si="125"/>
        <v>コード番号を選択してください。</v>
      </c>
      <c r="AC515" t="s">
        <v>450</v>
      </c>
      <c r="AD515" s="36"/>
      <c r="AE515" t="str">
        <f>C514&amp;"台目の機器が入力されていません。"&amp;CHAR(10)&amp;"詰めて入力してください。"</f>
        <v>1台目の機器が入力されていません。
詰めて入力してください。</v>
      </c>
      <c r="AF515" t="s">
        <v>451</v>
      </c>
      <c r="AH515">
        <f t="shared" ref="AH515:AH578" si="127">IF(AND(E515=1,Y515=0),VALUE(B515&amp;0&amp;C515),9999)</f>
        <v>9999</v>
      </c>
      <c r="AI515">
        <f>SMALL($AH$514:$AH$663,2)</f>
        <v>9999</v>
      </c>
      <c r="AJ515" t="e">
        <f t="shared" ref="AJ515:AJ578" si="128">VLOOKUP(AI515,$D$514:$F$663,3,FALSE)</f>
        <v>#N/A</v>
      </c>
      <c r="AK515" t="str">
        <f t="shared" ref="AK515:AK578" si="129">"事業場"&amp;IF(LEN(AI515)=3,LEFT(AI515,1),LEFT(AI515,2))</f>
        <v>事業場99</v>
      </c>
    </row>
    <row r="516" spans="2:37" x14ac:dyDescent="0.15">
      <c r="B516" s="5">
        <v>1</v>
      </c>
      <c r="C516" s="5">
        <v>3</v>
      </c>
      <c r="D516" s="4">
        <v>103</v>
      </c>
      <c r="E516" s="4">
        <v>1</v>
      </c>
      <c r="F516" s="15">
        <f>入力シート!$Y136</f>
        <v>0</v>
      </c>
      <c r="G516" s="4" t="str">
        <f>IF(AND($E516=1,$F516=1),入力シート!$F136,"")&amp;""</f>
        <v/>
      </c>
      <c r="H516" s="15" t="str">
        <f>IFERROR(VLOOKUP($G516,補助対象機器一覧20220831!$A$2:$K$200,3,FALSE),"")</f>
        <v/>
      </c>
      <c r="I516" s="15" t="str">
        <f>IFERROR(VLOOKUP($G516,補助対象機器一覧20220831!$A$2:$K$200,4,FALSE),"")</f>
        <v/>
      </c>
      <c r="J516" s="15" t="str">
        <f>IFERROR(VLOOKUP($G516,補助対象機器一覧20220831!$A$2:$K$200,5,FALSE),"")</f>
        <v/>
      </c>
      <c r="K516" s="15" t="str">
        <f>IFERROR(VLOOKUP($G516,補助対象機器一覧20220831!$A$2:$K$200,6,FALSE),"")</f>
        <v/>
      </c>
      <c r="L516" s="10" t="str">
        <f>IF(AND($E516=1,$F516=1),入力シート!J136,"")&amp;""</f>
        <v/>
      </c>
      <c r="M516" s="10" t="str">
        <f>IF(AND($E516=1,$F516=1),入力シート!N136,"")&amp;""</f>
        <v/>
      </c>
      <c r="N516" s="10" t="str">
        <f>IF(AND($E516=1,$F516=1),入力シート!R136,"")&amp;""</f>
        <v/>
      </c>
      <c r="O516" s="10" t="str">
        <f>IF(AND($E516=1,$F516=1),入力シート!V136,"")&amp;""</f>
        <v/>
      </c>
      <c r="P516" s="4" t="str">
        <f>IFERROR(VLOOKUP($G516,補助対象機器一覧20220831!$A$2:$K$200,10,FALSE),"")</f>
        <v/>
      </c>
      <c r="Q516" s="15" t="str">
        <f>IF(AND($E516=1,$F516=2),TRIM(CLEAN(入力シート!$J138)),"")&amp;""</f>
        <v/>
      </c>
      <c r="R516" s="15" t="str">
        <f>IF(AND($E516=1,$F516=2),TRIM(CLEAN(入力シート!$N138)),"")&amp;""</f>
        <v/>
      </c>
      <c r="S516" s="15" t="str">
        <f>IF(AND($E516=1,$F516=2),TRIM(CLEAN(入力シート!$R138)),"")&amp;""</f>
        <v/>
      </c>
      <c r="T516" s="15" t="str">
        <f>IF(AND($E516=1,$F516=2),TRIM(CLEAN(入力シート!$V138)),"")&amp;""</f>
        <v/>
      </c>
      <c r="W516" s="117" t="str">
        <f t="shared" ca="1" si="124"/>
        <v>OK</v>
      </c>
      <c r="X516" t="str">
        <f t="shared" ref="X516:X578" ca="1" si="130">IF(Y516&lt;&gt;0,OFFSET(Z516,0,Y516),IF(Z516&lt;&gt;0,IF(Z516=-1,AC516,OFFSET(AC516,0,Z516)),$V$1))&amp;""</f>
        <v/>
      </c>
      <c r="Y516">
        <f t="shared" si="126"/>
        <v>1</v>
      </c>
      <c r="Z516">
        <f>IF(AND(C516=3,OR(Y514&lt;&gt;0,Z514&lt;&gt;0)),1,IF(AND(1&lt;C516,OR(Y515&lt;&gt;0,Z515&lt;&gt;0)),2,IF(AND(F516&lt;&gt;2,G516&lt;&gt;"",L516=""),3,IF(AND(F516=2,0&lt;COUNTIF(Q516:T516,"")),-1,0))))</f>
        <v>1</v>
      </c>
      <c r="AA516" s="36"/>
      <c r="AB516" t="str">
        <f t="shared" si="125"/>
        <v>コード番号を選択してください。</v>
      </c>
      <c r="AC516" t="s">
        <v>450</v>
      </c>
      <c r="AD516" t="str">
        <f t="shared" ref="AD516" si="131">AE515</f>
        <v>1台目の機器が入力されていません。
詰めて入力してください。</v>
      </c>
      <c r="AE516" t="str">
        <f>C515&amp;"台目の機器が入力されていません。"&amp;CHAR(10)&amp;"詰めて入力してください。"</f>
        <v>2台目の機器が入力されていません。
詰めて入力してください。</v>
      </c>
      <c r="AF516" t="s">
        <v>451</v>
      </c>
      <c r="AH516">
        <f t="shared" si="127"/>
        <v>9999</v>
      </c>
      <c r="AI516">
        <f>SMALL($AH$514:$AH$663,3)</f>
        <v>9999</v>
      </c>
      <c r="AJ516" t="e">
        <f t="shared" si="128"/>
        <v>#N/A</v>
      </c>
      <c r="AK516" t="str">
        <f t="shared" si="129"/>
        <v>事業場99</v>
      </c>
    </row>
    <row r="517" spans="2:37" x14ac:dyDescent="0.15">
      <c r="B517" s="5">
        <v>2</v>
      </c>
      <c r="C517" s="5">
        <v>1</v>
      </c>
      <c r="D517" s="4">
        <v>201</v>
      </c>
      <c r="E517" s="4">
        <f t="shared" ref="E517:E548" si="132">IF(AND(B671&lt;=$G$60),1,0)</f>
        <v>0</v>
      </c>
      <c r="F517" s="15">
        <f>'入力シート（2事業場以降）'!AQ148</f>
        <v>0</v>
      </c>
      <c r="G517" s="4" t="str">
        <f>IF(AND($E517=1,$F517=1),'入力シート（2事業場以降）'!F148,"")&amp;""</f>
        <v/>
      </c>
      <c r="H517" s="15" t="str">
        <f>IFERROR(VLOOKUP($G517,補助対象機器一覧20220831!$A$2:$K$200,3,FALSE),"")</f>
        <v/>
      </c>
      <c r="I517" s="15" t="str">
        <f>IFERROR(VLOOKUP($G517,補助対象機器一覧20220831!$A$2:$K$200,4,FALSE),"")</f>
        <v/>
      </c>
      <c r="J517" s="15" t="str">
        <f>IFERROR(VLOOKUP($G517,補助対象機器一覧20220831!$A$2:$K$200,5,FALSE),"")</f>
        <v/>
      </c>
      <c r="K517" s="15" t="str">
        <f>IFERROR(VLOOKUP($G517,補助対象機器一覧20220831!$A$2:$K$200,6,FALSE),"")</f>
        <v/>
      </c>
      <c r="L517" s="4" t="str">
        <f>IF(AND($E517=1,$F517=1),'入力シート（2事業場以降）'!J148,"")&amp;""</f>
        <v/>
      </c>
      <c r="M517" s="4" t="str">
        <f>IF(AND($E517=1,$F517=1),'入力シート（2事業場以降）'!N148,"")&amp;""</f>
        <v/>
      </c>
      <c r="N517" s="4" t="str">
        <f>IF(AND($E517=1,$F517=1),'入力シート（2事業場以降）'!R148,"")&amp;""</f>
        <v/>
      </c>
      <c r="O517" s="4" t="str">
        <f>IF(AND($E517=1,$F517=1),'入力シート（2事業場以降）'!V148,"")&amp;""</f>
        <v/>
      </c>
      <c r="P517" s="4" t="str">
        <f>IFERROR(VLOOKUP($G517,補助対象機器一覧20220831!$A$2:$K$200,10,FALSE),"")</f>
        <v/>
      </c>
      <c r="Q517" s="15" t="str">
        <f>IF(AND($E517=1,$F517=2),TRIM(CLEAN('入力シート（2事業場以降）'!J150)),"")&amp;""</f>
        <v/>
      </c>
      <c r="R517" s="15" t="str">
        <f>IF(AND($E517=1,$F517=2),TRIM(CLEAN('入力シート（2事業場以降）'!N150)),"")&amp;""</f>
        <v/>
      </c>
      <c r="S517" s="15" t="str">
        <f>IF(AND($E517=1,$F517=2),TRIM(CLEAN('入力シート（2事業場以降）'!R150)),"")&amp;""</f>
        <v/>
      </c>
      <c r="T517" s="15" t="str">
        <f>IF(AND($E517=1,$F517=2),TRIM(CLEAN('入力シート（2事業場以降）'!V150)),"")&amp;""</f>
        <v/>
      </c>
      <c r="V517">
        <v>2</v>
      </c>
      <c r="W517" s="117" t="str">
        <f t="shared" ca="1" si="124"/>
        <v>OK</v>
      </c>
      <c r="X517" t="str">
        <f t="shared" ca="1" si="130"/>
        <v>交付申請時のコード番号を選択してください。
申請するコード番号が選べなかった場合は、コード番号の有無で「なし」を選択してください。</v>
      </c>
      <c r="Y517">
        <f t="shared" si="126"/>
        <v>1</v>
      </c>
      <c r="Z517">
        <f t="shared" ref="Z517:Z580" si="133">IF(AND(C517=3,OR(Y515&lt;&gt;0,Z515&lt;&gt;0)),1,IF(AND(1&lt;C517,OR(Y516&lt;&gt;0,Z516&lt;&gt;0)),2,IF(AND(F517&lt;&gt;2,G517&lt;&gt;"",L517=""),3,IF(AND(F517=2,0&lt;COUNTIF(Q517:T517,"")),-1,0))))</f>
        <v>0</v>
      </c>
      <c r="AA517"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17" t="str">
        <f t="shared" si="125"/>
        <v>コード番号を選択してください。</v>
      </c>
      <c r="AC517" t="s">
        <v>450</v>
      </c>
      <c r="AD517" s="36"/>
      <c r="AE517" s="36"/>
      <c r="AF517" t="s">
        <v>451</v>
      </c>
      <c r="AH517">
        <f t="shared" si="127"/>
        <v>9999</v>
      </c>
      <c r="AI517">
        <f>SMALL($AH$514:$AH$663,4)</f>
        <v>9999</v>
      </c>
      <c r="AJ517" t="e">
        <f t="shared" si="128"/>
        <v>#N/A</v>
      </c>
      <c r="AK517" t="str">
        <f t="shared" si="129"/>
        <v>事業場99</v>
      </c>
    </row>
    <row r="518" spans="2:37" x14ac:dyDescent="0.15">
      <c r="B518" s="5">
        <v>2</v>
      </c>
      <c r="C518" s="5">
        <v>2</v>
      </c>
      <c r="D518" s="4">
        <v>202</v>
      </c>
      <c r="E518" s="4">
        <f t="shared" si="132"/>
        <v>0</v>
      </c>
      <c r="F518" s="15">
        <f>'入力シート（2事業場以降）'!AQ152</f>
        <v>0</v>
      </c>
      <c r="G518" s="4" t="str">
        <f>IF(AND($E518=1,$F518=1),'入力シート（2事業場以降）'!F152,"")&amp;""</f>
        <v/>
      </c>
      <c r="H518" s="15" t="str">
        <f>IFERROR(VLOOKUP($G518,補助対象機器一覧20220831!$A$2:$K$200,3,FALSE),"")</f>
        <v/>
      </c>
      <c r="I518" s="15" t="str">
        <f>IFERROR(VLOOKUP($G518,補助対象機器一覧20220831!$A$2:$K$200,4,FALSE),"")</f>
        <v/>
      </c>
      <c r="J518" s="15" t="str">
        <f>IFERROR(VLOOKUP($G518,補助対象機器一覧20220831!$A$2:$K$200,5,FALSE),"")</f>
        <v/>
      </c>
      <c r="K518" s="15" t="str">
        <f>IFERROR(VLOOKUP($G518,補助対象機器一覧20220831!$A$2:$K$200,6,FALSE),"")</f>
        <v/>
      </c>
      <c r="L518" s="4" t="str">
        <f>IF(AND($E518=1,$F518=1),'入力シート（2事業場以降）'!J152,"")&amp;""</f>
        <v/>
      </c>
      <c r="M518" s="4" t="str">
        <f>IF(AND($E518=1,$F518=1),'入力シート（2事業場以降）'!N152,"")&amp;""</f>
        <v/>
      </c>
      <c r="N518" s="4" t="str">
        <f>IF(AND($E518=1,$F518=1),'入力シート（2事業場以降）'!R152,"")&amp;""</f>
        <v/>
      </c>
      <c r="O518" s="4" t="str">
        <f>IF(AND($E518=1,$F518=1),'入力シート（2事業場以降）'!V152,"")&amp;""</f>
        <v/>
      </c>
      <c r="P518" s="4" t="str">
        <f>IFERROR(VLOOKUP($G518,補助対象機器一覧20220831!$A$2:$K$200,10,FALSE),"")</f>
        <v/>
      </c>
      <c r="Q518" s="15" t="str">
        <f>IF(AND($E518=1,$F518=2),TRIM(CLEAN('入力シート（2事業場以降）'!J154)),"")&amp;""</f>
        <v/>
      </c>
      <c r="R518" s="15" t="str">
        <f>IF(AND($E518=1,$F518=2),TRIM(CLEAN('入力シート（2事業場以降）'!N154)),"")&amp;""</f>
        <v/>
      </c>
      <c r="S518" s="15" t="str">
        <f>IF(AND($E518=1,$F518=2),TRIM(CLEAN('入力シート（2事業場以降）'!R154)),"")&amp;""</f>
        <v/>
      </c>
      <c r="T518" s="15" t="str">
        <f>IF(AND($E518=1,$F518=2),TRIM(CLEAN('入力シート（2事業場以降）'!V154)),"")&amp;""</f>
        <v/>
      </c>
      <c r="W518" s="117" t="str">
        <f t="shared" ca="1" si="124"/>
        <v>OK</v>
      </c>
      <c r="X518" t="str">
        <f t="shared" ca="1" si="130"/>
        <v/>
      </c>
      <c r="Y518">
        <f t="shared" si="126"/>
        <v>1</v>
      </c>
      <c r="Z518">
        <f t="shared" si="133"/>
        <v>2</v>
      </c>
      <c r="AA518" s="36"/>
      <c r="AB518" t="str">
        <f t="shared" si="125"/>
        <v>コード番号を選択してください。</v>
      </c>
      <c r="AC518" t="s">
        <v>450</v>
      </c>
      <c r="AD518" s="36"/>
      <c r="AE518" t="str">
        <f>C517&amp;"台目の機器が入力されていません。"&amp;CHAR(10)&amp;"詰めて入力してください。"</f>
        <v>1台目の機器が入力されていません。
詰めて入力してください。</v>
      </c>
      <c r="AF518" t="s">
        <v>451</v>
      </c>
      <c r="AH518">
        <f t="shared" si="127"/>
        <v>9999</v>
      </c>
      <c r="AI518">
        <f>SMALL($AH$514:$AH$663,5)</f>
        <v>9999</v>
      </c>
      <c r="AJ518" t="e">
        <f t="shared" si="128"/>
        <v>#N/A</v>
      </c>
      <c r="AK518" t="str">
        <f t="shared" si="129"/>
        <v>事業場99</v>
      </c>
    </row>
    <row r="519" spans="2:37" x14ac:dyDescent="0.15">
      <c r="B519" s="5">
        <v>2</v>
      </c>
      <c r="C519" s="5">
        <v>3</v>
      </c>
      <c r="D519" s="4">
        <v>203</v>
      </c>
      <c r="E519" s="4">
        <f t="shared" si="132"/>
        <v>0</v>
      </c>
      <c r="F519" s="15">
        <f>'入力シート（2事業場以降）'!AQ156</f>
        <v>0</v>
      </c>
      <c r="G519" s="4" t="str">
        <f>IF(AND($E519=1,$F519=1),'入力シート（2事業場以降）'!F156,"")&amp;""</f>
        <v/>
      </c>
      <c r="H519" s="15" t="str">
        <f>IFERROR(VLOOKUP($G519,補助対象機器一覧20220831!$A$2:$K$200,3,FALSE),"")</f>
        <v/>
      </c>
      <c r="I519" s="15" t="str">
        <f>IFERROR(VLOOKUP($G519,補助対象機器一覧20220831!$A$2:$K$200,4,FALSE),"")</f>
        <v/>
      </c>
      <c r="J519" s="15" t="str">
        <f>IFERROR(VLOOKUP($G519,補助対象機器一覧20220831!$A$2:$K$200,5,FALSE),"")</f>
        <v/>
      </c>
      <c r="K519" s="15" t="str">
        <f>IFERROR(VLOOKUP($G519,補助対象機器一覧20220831!$A$2:$K$200,6,FALSE),"")</f>
        <v/>
      </c>
      <c r="L519" s="4" t="str">
        <f>IF(AND($E519=1,$F519=1),'入力シート（2事業場以降）'!J156,"")&amp;""</f>
        <v/>
      </c>
      <c r="M519" s="4" t="str">
        <f>IF(AND($E519=1,$F519=1),'入力シート（2事業場以降）'!N156,"")&amp;""</f>
        <v/>
      </c>
      <c r="N519" s="4" t="str">
        <f>IF(AND($E519=1,$F519=1),'入力シート（2事業場以降）'!R156,"")&amp;""</f>
        <v/>
      </c>
      <c r="O519" s="4" t="str">
        <f>IF(AND($E519=1,$F519=1),'入力シート（2事業場以降）'!V156,"")&amp;""</f>
        <v/>
      </c>
      <c r="P519" s="4" t="str">
        <f>IFERROR(VLOOKUP($G519,補助対象機器一覧20220831!$A$2:$K$200,10,FALSE),"")</f>
        <v/>
      </c>
      <c r="Q519" s="15" t="str">
        <f>IF(AND($E519=1,$F519=2),TRIM(CLEAN('入力シート（2事業場以降）'!J158)),"")&amp;""</f>
        <v/>
      </c>
      <c r="R519" s="15" t="str">
        <f>IF(AND($E519=1,$F519=2),TRIM(CLEAN('入力シート（2事業場以降）'!N158)),"")&amp;""</f>
        <v/>
      </c>
      <c r="S519" s="15" t="str">
        <f>IF(AND($E519=1,$F519=2),TRIM(CLEAN('入力シート（2事業場以降）'!R158)),"")&amp;""</f>
        <v/>
      </c>
      <c r="T519" s="15" t="str">
        <f>IF(AND($E519=1,$F519=2),TRIM(CLEAN('入力シート（2事業場以降）'!V158)),"")&amp;""</f>
        <v/>
      </c>
      <c r="W519" s="117" t="str">
        <f t="shared" ca="1" si="124"/>
        <v>OK</v>
      </c>
      <c r="X519" t="str">
        <f t="shared" ca="1" si="130"/>
        <v/>
      </c>
      <c r="Y519">
        <f t="shared" si="126"/>
        <v>1</v>
      </c>
      <c r="Z519">
        <f t="shared" si="133"/>
        <v>1</v>
      </c>
      <c r="AA519" s="36"/>
      <c r="AB519" t="str">
        <f t="shared" si="125"/>
        <v>コード番号を選択してください。</v>
      </c>
      <c r="AC519" t="s">
        <v>450</v>
      </c>
      <c r="AD519" t="str">
        <f t="shared" ref="AD519" si="134">AE518</f>
        <v>1台目の機器が入力されていません。
詰めて入力してください。</v>
      </c>
      <c r="AE519" t="str">
        <f>C518&amp;"台目の機器が入力されていません。"&amp;CHAR(10)&amp;"詰めて入力してください。"</f>
        <v>2台目の機器が入力されていません。
詰めて入力してください。</v>
      </c>
      <c r="AF519" t="s">
        <v>451</v>
      </c>
      <c r="AH519">
        <f t="shared" si="127"/>
        <v>9999</v>
      </c>
      <c r="AI519">
        <f>SMALL($AH$514:$AH$663,6)</f>
        <v>9999</v>
      </c>
      <c r="AJ519" t="e">
        <f t="shared" si="128"/>
        <v>#N/A</v>
      </c>
      <c r="AK519" t="str">
        <f t="shared" si="129"/>
        <v>事業場99</v>
      </c>
    </row>
    <row r="520" spans="2:37" x14ac:dyDescent="0.15">
      <c r="B520" s="5">
        <v>3</v>
      </c>
      <c r="C520" s="5">
        <v>1</v>
      </c>
      <c r="D520" s="4">
        <v>301</v>
      </c>
      <c r="E520" s="4">
        <f t="shared" si="132"/>
        <v>0</v>
      </c>
      <c r="F520" s="15">
        <f>'入力シート（2事業場以降）'!AQ161</f>
        <v>0</v>
      </c>
      <c r="G520" s="4" t="str">
        <f>IF(AND($E520=1,$F520=1),'入力シート（2事業場以降）'!F161,"")&amp;""</f>
        <v/>
      </c>
      <c r="H520" s="15" t="str">
        <f>IFERROR(VLOOKUP($G520,補助対象機器一覧20220831!$A$2:$K$200,3,FALSE),"")</f>
        <v/>
      </c>
      <c r="I520" s="15" t="str">
        <f>IFERROR(VLOOKUP($G520,補助対象機器一覧20220831!$A$2:$K$200,4,FALSE),"")</f>
        <v/>
      </c>
      <c r="J520" s="15" t="str">
        <f>IFERROR(VLOOKUP($G520,補助対象機器一覧20220831!$A$2:$K$200,5,FALSE),"")</f>
        <v/>
      </c>
      <c r="K520" s="15" t="str">
        <f>IFERROR(VLOOKUP($G520,補助対象機器一覧20220831!$A$2:$K$200,6,FALSE),"")</f>
        <v/>
      </c>
      <c r="L520" s="4" t="str">
        <f>IF(AND($E520=1,$F520=1),'入力シート（2事業場以降）'!J161,"")&amp;""</f>
        <v/>
      </c>
      <c r="M520" s="4" t="str">
        <f>IF(AND($E520=1,$F520=1),'入力シート（2事業場以降）'!N161,"")&amp;""</f>
        <v/>
      </c>
      <c r="N520" s="4" t="str">
        <f>IF(AND($E520=1,$F520=1),'入力シート（2事業場以降）'!R161,"")&amp;""</f>
        <v/>
      </c>
      <c r="O520" s="4" t="str">
        <f>IF(AND($E520=1,$F520=1),'入力シート（2事業場以降）'!V161,"")&amp;""</f>
        <v/>
      </c>
      <c r="P520" s="4" t="str">
        <f>IFERROR(VLOOKUP($G520,補助対象機器一覧20220831!$A$2:$K$200,10,FALSE),"")</f>
        <v/>
      </c>
      <c r="Q520" s="15" t="str">
        <f>IF(AND($E520=1,$F520=2),TRIM(CLEAN('入力シート（2事業場以降）'!J163)),"")&amp;""</f>
        <v/>
      </c>
      <c r="R520" s="15" t="str">
        <f>IF(AND($E520=1,$F520=2),TRIM(CLEAN('入力シート（2事業場以降）'!N163)),"")&amp;""</f>
        <v/>
      </c>
      <c r="S520" s="15" t="str">
        <f>IF(AND($E520=1,$F520=2),TRIM(CLEAN('入力シート（2事業場以降）'!R163)),"")&amp;""</f>
        <v/>
      </c>
      <c r="T520" s="15" t="str">
        <f>IF(AND($E520=1,$F520=2),TRIM(CLEAN('入力シート（2事業場以降）'!V163)),"")&amp;""</f>
        <v/>
      </c>
      <c r="V520">
        <v>3</v>
      </c>
      <c r="W520" s="117" t="str">
        <f t="shared" ca="1" si="124"/>
        <v>OK</v>
      </c>
      <c r="X520" t="str">
        <f t="shared" ca="1" si="130"/>
        <v>交付申請時のコード番号を選択してください。
申請するコード番号が選べなかった場合は、コード番号の有無で「なし」を選択してください。</v>
      </c>
      <c r="Y520">
        <f t="shared" si="126"/>
        <v>1</v>
      </c>
      <c r="Z520">
        <f t="shared" si="133"/>
        <v>0</v>
      </c>
      <c r="AA520"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20" t="str">
        <f t="shared" si="125"/>
        <v>コード番号を選択してください。</v>
      </c>
      <c r="AC520" t="s">
        <v>450</v>
      </c>
      <c r="AD520" s="36"/>
      <c r="AE520" s="36"/>
      <c r="AF520" t="s">
        <v>451</v>
      </c>
      <c r="AH520">
        <f t="shared" si="127"/>
        <v>9999</v>
      </c>
      <c r="AI520">
        <f>SMALL($AH$514:$AH$663,7)</f>
        <v>9999</v>
      </c>
      <c r="AJ520" t="e">
        <f t="shared" si="128"/>
        <v>#N/A</v>
      </c>
      <c r="AK520" t="str">
        <f t="shared" si="129"/>
        <v>事業場99</v>
      </c>
    </row>
    <row r="521" spans="2:37" x14ac:dyDescent="0.15">
      <c r="B521" s="5">
        <v>3</v>
      </c>
      <c r="C521" s="5">
        <v>2</v>
      </c>
      <c r="D521" s="4">
        <v>302</v>
      </c>
      <c r="E521" s="4">
        <f t="shared" si="132"/>
        <v>0</v>
      </c>
      <c r="F521" s="15">
        <f>'入力シート（2事業場以降）'!AQ165</f>
        <v>0</v>
      </c>
      <c r="G521" s="4" t="str">
        <f>IF(AND($E521=1,$F521=1),'入力シート（2事業場以降）'!F165,"")&amp;""</f>
        <v/>
      </c>
      <c r="H521" s="15" t="str">
        <f>IFERROR(VLOOKUP($G521,補助対象機器一覧20220831!$A$2:$K$200,3,FALSE),"")</f>
        <v/>
      </c>
      <c r="I521" s="15" t="str">
        <f>IFERROR(VLOOKUP($G521,補助対象機器一覧20220831!$A$2:$K$200,4,FALSE),"")</f>
        <v/>
      </c>
      <c r="J521" s="15" t="str">
        <f>IFERROR(VLOOKUP($G521,補助対象機器一覧20220831!$A$2:$K$200,5,FALSE),"")</f>
        <v/>
      </c>
      <c r="K521" s="15" t="str">
        <f>IFERROR(VLOOKUP($G521,補助対象機器一覧20220831!$A$2:$K$200,6,FALSE),"")</f>
        <v/>
      </c>
      <c r="L521" s="4" t="str">
        <f>IF(AND($E521=1,$F521=1),'入力シート（2事業場以降）'!J165,"")&amp;""</f>
        <v/>
      </c>
      <c r="M521" s="4" t="str">
        <f>IF(AND($E521=1,$F521=1),'入力シート（2事業場以降）'!N165,"")&amp;""</f>
        <v/>
      </c>
      <c r="N521" s="4" t="str">
        <f>IF(AND($E521=1,$F521=1),'入力シート（2事業場以降）'!R165,"")&amp;""</f>
        <v/>
      </c>
      <c r="O521" s="4" t="str">
        <f>IF(AND($E521=1,$F521=1),'入力シート（2事業場以降）'!V165,"")&amp;""</f>
        <v/>
      </c>
      <c r="P521" s="4" t="str">
        <f>IFERROR(VLOOKUP($G521,補助対象機器一覧20220831!$A$2:$K$200,10,FALSE),"")</f>
        <v/>
      </c>
      <c r="Q521" s="15" t="str">
        <f>IF(AND($E521=1,$F521=2),TRIM(CLEAN('入力シート（2事業場以降）'!J167)),"")&amp;""</f>
        <v/>
      </c>
      <c r="R521" s="15" t="str">
        <f>IF(AND($E521=1,$F521=2),TRIM(CLEAN('入力シート（2事業場以降）'!N167)),"")&amp;""</f>
        <v/>
      </c>
      <c r="S521" s="15" t="str">
        <f>IF(AND($E521=1,$F521=2),TRIM(CLEAN('入力シート（2事業場以降）'!R167)),"")&amp;""</f>
        <v/>
      </c>
      <c r="T521" s="15" t="str">
        <f>IF(AND($E521=1,$F521=2),TRIM(CLEAN('入力シート（2事業場以降）'!V167)),"")&amp;""</f>
        <v/>
      </c>
      <c r="W521" s="117" t="str">
        <f t="shared" ca="1" si="124"/>
        <v>OK</v>
      </c>
      <c r="X521" t="str">
        <f t="shared" ca="1" si="130"/>
        <v/>
      </c>
      <c r="Y521">
        <f t="shared" si="126"/>
        <v>1</v>
      </c>
      <c r="Z521">
        <f t="shared" si="133"/>
        <v>2</v>
      </c>
      <c r="AA521" s="36"/>
      <c r="AB521" t="str">
        <f t="shared" si="125"/>
        <v>コード番号を選択してください。</v>
      </c>
      <c r="AC521" t="s">
        <v>450</v>
      </c>
      <c r="AD521" s="36"/>
      <c r="AE521" t="str">
        <f>C520&amp;"台目の機器が入力されていません。"&amp;CHAR(10)&amp;"詰めて入力してください。"</f>
        <v>1台目の機器が入力されていません。
詰めて入力してください。</v>
      </c>
      <c r="AF521" t="s">
        <v>451</v>
      </c>
      <c r="AH521">
        <f t="shared" si="127"/>
        <v>9999</v>
      </c>
      <c r="AI521">
        <f>SMALL($AH$514:$AH$663,8)</f>
        <v>9999</v>
      </c>
      <c r="AJ521" t="e">
        <f t="shared" si="128"/>
        <v>#N/A</v>
      </c>
      <c r="AK521" t="str">
        <f t="shared" si="129"/>
        <v>事業場99</v>
      </c>
    </row>
    <row r="522" spans="2:37" x14ac:dyDescent="0.15">
      <c r="B522" s="5">
        <v>3</v>
      </c>
      <c r="C522" s="5">
        <v>3</v>
      </c>
      <c r="D522" s="4">
        <v>303</v>
      </c>
      <c r="E522" s="4">
        <f t="shared" si="132"/>
        <v>0</v>
      </c>
      <c r="F522" s="15">
        <f>'入力シート（2事業場以降）'!AQ169</f>
        <v>0</v>
      </c>
      <c r="G522" s="4" t="str">
        <f>IF(AND($E522=1,$F522=1),'入力シート（2事業場以降）'!F169,"")&amp;""</f>
        <v/>
      </c>
      <c r="H522" s="15" t="str">
        <f>IFERROR(VLOOKUP($G522,補助対象機器一覧20220831!$A$2:$K$200,3,FALSE),"")</f>
        <v/>
      </c>
      <c r="I522" s="15" t="str">
        <f>IFERROR(VLOOKUP($G522,補助対象機器一覧20220831!$A$2:$K$200,4,FALSE),"")</f>
        <v/>
      </c>
      <c r="J522" s="15" t="str">
        <f>IFERROR(VLOOKUP($G522,補助対象機器一覧20220831!$A$2:$K$200,5,FALSE),"")</f>
        <v/>
      </c>
      <c r="K522" s="15" t="str">
        <f>IFERROR(VLOOKUP($G522,補助対象機器一覧20220831!$A$2:$K$200,6,FALSE),"")</f>
        <v/>
      </c>
      <c r="L522" s="4" t="str">
        <f>IF(AND($E522=1,$F522=1),'入力シート（2事業場以降）'!J169,"")&amp;""</f>
        <v/>
      </c>
      <c r="M522" s="4" t="str">
        <f>IF(AND($E522=1,$F522=1),'入力シート（2事業場以降）'!N169,"")&amp;""</f>
        <v/>
      </c>
      <c r="N522" s="4" t="str">
        <f>IF(AND($E522=1,$F522=1),'入力シート（2事業場以降）'!R169,"")&amp;""</f>
        <v/>
      </c>
      <c r="O522" s="4" t="str">
        <f>IF(AND($E522=1,$F522=1),'入力シート（2事業場以降）'!V169,"")&amp;""</f>
        <v/>
      </c>
      <c r="P522" s="4" t="str">
        <f>IFERROR(VLOOKUP($G522,補助対象機器一覧20220831!$A$2:$K$200,10,FALSE),"")</f>
        <v/>
      </c>
      <c r="Q522" s="15" t="str">
        <f>IF(AND($E522=1,$F522=2),TRIM(CLEAN('入力シート（2事業場以降）'!J171)),"")&amp;""</f>
        <v/>
      </c>
      <c r="R522" s="15" t="str">
        <f>IF(AND($E522=1,$F522=2),TRIM(CLEAN('入力シート（2事業場以降）'!N171)),"")&amp;""</f>
        <v/>
      </c>
      <c r="S522" s="15" t="str">
        <f>IF(AND($E522=1,$F522=2),TRIM(CLEAN('入力シート（2事業場以降）'!R171)),"")&amp;""</f>
        <v/>
      </c>
      <c r="T522" s="15" t="str">
        <f>IF(AND($E522=1,$F522=2),TRIM(CLEAN('入力シート（2事業場以降）'!V171)),"")&amp;""</f>
        <v/>
      </c>
      <c r="W522" s="117" t="str">
        <f t="shared" ca="1" si="124"/>
        <v>OK</v>
      </c>
      <c r="X522" t="str">
        <f t="shared" ca="1" si="130"/>
        <v/>
      </c>
      <c r="Y522">
        <f t="shared" si="126"/>
        <v>1</v>
      </c>
      <c r="Z522">
        <f t="shared" si="133"/>
        <v>1</v>
      </c>
      <c r="AA522" s="36"/>
      <c r="AB522" t="str">
        <f t="shared" si="125"/>
        <v>コード番号を選択してください。</v>
      </c>
      <c r="AC522" t="s">
        <v>450</v>
      </c>
      <c r="AD522" t="str">
        <f t="shared" ref="AD522" si="135">AE521</f>
        <v>1台目の機器が入力されていません。
詰めて入力してください。</v>
      </c>
      <c r="AE522" t="str">
        <f>C521&amp;"台目の機器が入力されていません。"&amp;CHAR(10)&amp;"詰めて入力してください。"</f>
        <v>2台目の機器が入力されていません。
詰めて入力してください。</v>
      </c>
      <c r="AF522" t="s">
        <v>451</v>
      </c>
      <c r="AH522">
        <f t="shared" si="127"/>
        <v>9999</v>
      </c>
      <c r="AI522">
        <f>SMALL($AH$514:$AH$663,9)</f>
        <v>9999</v>
      </c>
      <c r="AJ522" t="e">
        <f t="shared" si="128"/>
        <v>#N/A</v>
      </c>
      <c r="AK522" t="str">
        <f t="shared" si="129"/>
        <v>事業場99</v>
      </c>
    </row>
    <row r="523" spans="2:37" x14ac:dyDescent="0.15">
      <c r="B523" s="5">
        <v>4</v>
      </c>
      <c r="C523" s="5">
        <v>1</v>
      </c>
      <c r="D523" s="4">
        <v>401</v>
      </c>
      <c r="E523" s="4">
        <f t="shared" si="132"/>
        <v>0</v>
      </c>
      <c r="F523" s="15">
        <f>'入力シート（2事業場以降）'!AQ174</f>
        <v>0</v>
      </c>
      <c r="G523" s="4" t="str">
        <f>IF(AND($E523=1,$F523=1),'入力シート（2事業場以降）'!F174,"")&amp;""</f>
        <v/>
      </c>
      <c r="H523" s="15" t="str">
        <f>IFERROR(VLOOKUP($G523,補助対象機器一覧20220831!$A$2:$K$200,3,FALSE),"")</f>
        <v/>
      </c>
      <c r="I523" s="15" t="str">
        <f>IFERROR(VLOOKUP($G523,補助対象機器一覧20220831!$A$2:$K$200,4,FALSE),"")</f>
        <v/>
      </c>
      <c r="J523" s="15" t="str">
        <f>IFERROR(VLOOKUP($G523,補助対象機器一覧20220831!$A$2:$K$200,5,FALSE),"")</f>
        <v/>
      </c>
      <c r="K523" s="15" t="str">
        <f>IFERROR(VLOOKUP($G523,補助対象機器一覧20220831!$A$2:$K$200,6,FALSE),"")</f>
        <v/>
      </c>
      <c r="L523" s="4" t="str">
        <f>IF(AND($E523=1,$F523=1),'入力シート（2事業場以降）'!J174,"")&amp;""</f>
        <v/>
      </c>
      <c r="M523" s="4" t="str">
        <f>IF(AND($E523=1,$F523=1),'入力シート（2事業場以降）'!N174,"")&amp;""</f>
        <v/>
      </c>
      <c r="N523" s="4" t="str">
        <f>IF(AND($E523=1,$F523=1),'入力シート（2事業場以降）'!R174,"")&amp;""</f>
        <v/>
      </c>
      <c r="O523" s="4" t="str">
        <f>IF(AND($E523=1,$F523=1),'入力シート（2事業場以降）'!V174,"")&amp;""</f>
        <v/>
      </c>
      <c r="P523" s="4" t="str">
        <f>IFERROR(VLOOKUP($G523,補助対象機器一覧20220831!$A$2:$K$200,10,FALSE),"")</f>
        <v/>
      </c>
      <c r="Q523" s="15" t="str">
        <f>IF(AND($E523=1,$F523=2),TRIM(CLEAN('入力シート（2事業場以降）'!J176)),"")&amp;""</f>
        <v/>
      </c>
      <c r="R523" s="15" t="str">
        <f>IF(AND($E523=1,$F523=2),TRIM(CLEAN('入力シート（2事業場以降）'!N176)),"")&amp;""</f>
        <v/>
      </c>
      <c r="S523" s="15" t="str">
        <f>IF(AND($E523=1,$F523=2),TRIM(CLEAN('入力シート（2事業場以降）'!R176)),"")&amp;""</f>
        <v/>
      </c>
      <c r="T523" s="15" t="str">
        <f>IF(AND($E523=1,$F523=2),TRIM(CLEAN('入力シート（2事業場以降）'!V176)),"")&amp;""</f>
        <v/>
      </c>
      <c r="V523">
        <v>4</v>
      </c>
      <c r="W523" s="117" t="str">
        <f t="shared" ca="1" si="124"/>
        <v>OK</v>
      </c>
      <c r="X523" t="str">
        <f t="shared" ca="1" si="130"/>
        <v>交付申請時のコード番号を選択してください。
申請するコード番号が選べなかった場合は、コード番号の有無で「なし」を選択してください。</v>
      </c>
      <c r="Y523">
        <f t="shared" si="126"/>
        <v>1</v>
      </c>
      <c r="Z523">
        <f t="shared" si="133"/>
        <v>0</v>
      </c>
      <c r="AA523"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23" t="str">
        <f t="shared" si="125"/>
        <v>コード番号を選択してください。</v>
      </c>
      <c r="AC523" t="s">
        <v>450</v>
      </c>
      <c r="AD523" s="36"/>
      <c r="AE523" s="36"/>
      <c r="AF523" t="s">
        <v>451</v>
      </c>
      <c r="AH523">
        <f t="shared" si="127"/>
        <v>9999</v>
      </c>
      <c r="AI523">
        <f>SMALL($AH$514:$AH$663,10)</f>
        <v>9999</v>
      </c>
      <c r="AJ523" t="e">
        <f t="shared" si="128"/>
        <v>#N/A</v>
      </c>
      <c r="AK523" t="str">
        <f t="shared" si="129"/>
        <v>事業場99</v>
      </c>
    </row>
    <row r="524" spans="2:37" x14ac:dyDescent="0.15">
      <c r="B524" s="5">
        <v>4</v>
      </c>
      <c r="C524" s="5">
        <v>2</v>
      </c>
      <c r="D524" s="4">
        <v>402</v>
      </c>
      <c r="E524" s="4">
        <f t="shared" si="132"/>
        <v>0</v>
      </c>
      <c r="F524" s="15">
        <f>'入力シート（2事業場以降）'!AQ178</f>
        <v>0</v>
      </c>
      <c r="G524" s="4" t="str">
        <f>IF(AND($E524=1,$F524=1),'入力シート（2事業場以降）'!F178,"")&amp;""</f>
        <v/>
      </c>
      <c r="H524" s="15" t="str">
        <f>IFERROR(VLOOKUP($G524,補助対象機器一覧20220831!$A$2:$K$200,3,FALSE),"")</f>
        <v/>
      </c>
      <c r="I524" s="15" t="str">
        <f>IFERROR(VLOOKUP($G524,補助対象機器一覧20220831!$A$2:$K$200,4,FALSE),"")</f>
        <v/>
      </c>
      <c r="J524" s="15" t="str">
        <f>IFERROR(VLOOKUP($G524,補助対象機器一覧20220831!$A$2:$K$200,5,FALSE),"")</f>
        <v/>
      </c>
      <c r="K524" s="15" t="str">
        <f>IFERROR(VLOOKUP($G524,補助対象機器一覧20220831!$A$2:$K$200,6,FALSE),"")</f>
        <v/>
      </c>
      <c r="L524" s="4" t="str">
        <f>IF(AND($E524=1,$F524=1),'入力シート（2事業場以降）'!J178,"")&amp;""</f>
        <v/>
      </c>
      <c r="M524" s="4" t="str">
        <f>IF(AND($E524=1,$F524=1),'入力シート（2事業場以降）'!N178,"")&amp;""</f>
        <v/>
      </c>
      <c r="N524" s="4" t="str">
        <f>IF(AND($E524=1,$F524=1),'入力シート（2事業場以降）'!R178,"")&amp;""</f>
        <v/>
      </c>
      <c r="O524" s="4" t="str">
        <f>IF(AND($E524=1,$F524=1),'入力シート（2事業場以降）'!V178,"")&amp;""</f>
        <v/>
      </c>
      <c r="P524" s="4" t="str">
        <f>IFERROR(VLOOKUP($G524,補助対象機器一覧20220831!$A$2:$K$200,10,FALSE),"")</f>
        <v/>
      </c>
      <c r="Q524" s="15" t="str">
        <f>IF(AND($E524=1,$F524=2),TRIM(CLEAN('入力シート（2事業場以降）'!J180)),"")&amp;""</f>
        <v/>
      </c>
      <c r="R524" s="15" t="str">
        <f>IF(AND($E524=1,$F524=2),TRIM(CLEAN('入力シート（2事業場以降）'!N180)),"")&amp;""</f>
        <v/>
      </c>
      <c r="S524" s="15" t="str">
        <f>IF(AND($E524=1,$F524=2),TRIM(CLEAN('入力シート（2事業場以降）'!R180)),"")&amp;""</f>
        <v/>
      </c>
      <c r="T524" s="15" t="str">
        <f>IF(AND($E524=1,$F524=2),TRIM(CLEAN('入力シート（2事業場以降）'!V180)),"")&amp;""</f>
        <v/>
      </c>
      <c r="W524" s="117" t="str">
        <f t="shared" ca="1" si="124"/>
        <v>OK</v>
      </c>
      <c r="X524" t="str">
        <f t="shared" ca="1" si="130"/>
        <v/>
      </c>
      <c r="Y524">
        <f t="shared" si="126"/>
        <v>1</v>
      </c>
      <c r="Z524">
        <f t="shared" si="133"/>
        <v>2</v>
      </c>
      <c r="AA524" s="36"/>
      <c r="AB524" t="str">
        <f t="shared" si="125"/>
        <v>コード番号を選択してください。</v>
      </c>
      <c r="AC524" t="s">
        <v>450</v>
      </c>
      <c r="AD524" s="36"/>
      <c r="AE524" t="str">
        <f>C523&amp;"台目の機器が入力されていません。"&amp;CHAR(10)&amp;"詰めて入力してください。"</f>
        <v>1台目の機器が入力されていません。
詰めて入力してください。</v>
      </c>
      <c r="AF524" t="s">
        <v>451</v>
      </c>
      <c r="AH524">
        <f t="shared" si="127"/>
        <v>9999</v>
      </c>
      <c r="AI524">
        <f>SMALL($AH$514:$AH$663,11)</f>
        <v>9999</v>
      </c>
      <c r="AJ524" t="e">
        <f t="shared" si="128"/>
        <v>#N/A</v>
      </c>
      <c r="AK524" t="str">
        <f t="shared" si="129"/>
        <v>事業場99</v>
      </c>
    </row>
    <row r="525" spans="2:37" x14ac:dyDescent="0.15">
      <c r="B525" s="5">
        <v>4</v>
      </c>
      <c r="C525" s="5">
        <v>3</v>
      </c>
      <c r="D525" s="4">
        <v>403</v>
      </c>
      <c r="E525" s="4">
        <f t="shared" si="132"/>
        <v>0</v>
      </c>
      <c r="F525" s="15">
        <f>'入力シート（2事業場以降）'!AQ182</f>
        <v>0</v>
      </c>
      <c r="G525" s="4" t="str">
        <f>IF(AND($E525=1,$F525=1),'入力シート（2事業場以降）'!F182,"")&amp;""</f>
        <v/>
      </c>
      <c r="H525" s="15" t="str">
        <f>IFERROR(VLOOKUP($G525,補助対象機器一覧20220831!$A$2:$K$200,3,FALSE),"")</f>
        <v/>
      </c>
      <c r="I525" s="15" t="str">
        <f>IFERROR(VLOOKUP($G525,補助対象機器一覧20220831!$A$2:$K$200,4,FALSE),"")</f>
        <v/>
      </c>
      <c r="J525" s="15" t="str">
        <f>IFERROR(VLOOKUP($G525,補助対象機器一覧20220831!$A$2:$K$200,5,FALSE),"")</f>
        <v/>
      </c>
      <c r="K525" s="15" t="str">
        <f>IFERROR(VLOOKUP($G525,補助対象機器一覧20220831!$A$2:$K$200,6,FALSE),"")</f>
        <v/>
      </c>
      <c r="L525" s="4" t="str">
        <f>IF(AND($E525=1,$F525=1),'入力シート（2事業場以降）'!J182,"")&amp;""</f>
        <v/>
      </c>
      <c r="M525" s="4" t="str">
        <f>IF(AND($E525=1,$F525=1),'入力シート（2事業場以降）'!N182,"")&amp;""</f>
        <v/>
      </c>
      <c r="N525" s="4" t="str">
        <f>IF(AND($E525=1,$F525=1),'入力シート（2事業場以降）'!R182,"")&amp;""</f>
        <v/>
      </c>
      <c r="O525" s="4" t="str">
        <f>IF(AND($E525=1,$F525=1),'入力シート（2事業場以降）'!V182,"")&amp;""</f>
        <v/>
      </c>
      <c r="P525" s="4" t="str">
        <f>IFERROR(VLOOKUP($G525,補助対象機器一覧20220831!$A$2:$K$200,10,FALSE),"")</f>
        <v/>
      </c>
      <c r="Q525" s="15" t="str">
        <f>IF(AND($E525=1,$F525=2),TRIM(CLEAN('入力シート（2事業場以降）'!J184)),"")&amp;""</f>
        <v/>
      </c>
      <c r="R525" s="15" t="str">
        <f>IF(AND($E525=1,$F525=2),TRIM(CLEAN('入力シート（2事業場以降）'!N184)),"")&amp;""</f>
        <v/>
      </c>
      <c r="S525" s="15" t="str">
        <f>IF(AND($E525=1,$F525=2),TRIM(CLEAN('入力シート（2事業場以降）'!R184)),"")&amp;""</f>
        <v/>
      </c>
      <c r="T525" s="15" t="str">
        <f>IF(AND($E525=1,$F525=2),TRIM(CLEAN('入力シート（2事業場以降）'!V184)),"")&amp;""</f>
        <v/>
      </c>
      <c r="W525" s="117" t="str">
        <f t="shared" ca="1" si="124"/>
        <v>OK</v>
      </c>
      <c r="X525" t="str">
        <f t="shared" ca="1" si="130"/>
        <v/>
      </c>
      <c r="Y525">
        <f t="shared" si="126"/>
        <v>1</v>
      </c>
      <c r="Z525">
        <f t="shared" si="133"/>
        <v>1</v>
      </c>
      <c r="AA525" s="36"/>
      <c r="AB525" t="str">
        <f t="shared" si="125"/>
        <v>コード番号を選択してください。</v>
      </c>
      <c r="AC525" t="s">
        <v>450</v>
      </c>
      <c r="AD525" t="str">
        <f t="shared" ref="AD525" si="136">AE524</f>
        <v>1台目の機器が入力されていません。
詰めて入力してください。</v>
      </c>
      <c r="AE525" t="str">
        <f>C524&amp;"台目の機器が入力されていません。"&amp;CHAR(10)&amp;"詰めて入力してください。"</f>
        <v>2台目の機器が入力されていません。
詰めて入力してください。</v>
      </c>
      <c r="AF525" t="s">
        <v>451</v>
      </c>
      <c r="AH525">
        <f t="shared" si="127"/>
        <v>9999</v>
      </c>
      <c r="AI525">
        <f>SMALL($AH$514:$AH$663,12)</f>
        <v>9999</v>
      </c>
      <c r="AJ525" t="e">
        <f t="shared" si="128"/>
        <v>#N/A</v>
      </c>
      <c r="AK525" t="str">
        <f t="shared" si="129"/>
        <v>事業場99</v>
      </c>
    </row>
    <row r="526" spans="2:37" x14ac:dyDescent="0.15">
      <c r="B526" s="5">
        <v>5</v>
      </c>
      <c r="C526" s="5">
        <v>1</v>
      </c>
      <c r="D526" s="4">
        <v>501</v>
      </c>
      <c r="E526" s="4">
        <f t="shared" si="132"/>
        <v>0</v>
      </c>
      <c r="F526" s="15">
        <f>'入力シート（2事業場以降）'!AQ187</f>
        <v>0</v>
      </c>
      <c r="G526" s="4" t="str">
        <f>IF(AND($E526=1,$F526=1),'入力シート（2事業場以降）'!F187,"")&amp;""</f>
        <v/>
      </c>
      <c r="H526" s="15" t="str">
        <f>IFERROR(VLOOKUP($G526,補助対象機器一覧20220831!$A$2:$K$200,3,FALSE),"")</f>
        <v/>
      </c>
      <c r="I526" s="15" t="str">
        <f>IFERROR(VLOOKUP($G526,補助対象機器一覧20220831!$A$2:$K$200,4,FALSE),"")</f>
        <v/>
      </c>
      <c r="J526" s="15" t="str">
        <f>IFERROR(VLOOKUP($G526,補助対象機器一覧20220831!$A$2:$K$200,5,FALSE),"")</f>
        <v/>
      </c>
      <c r="K526" s="15" t="str">
        <f>IFERROR(VLOOKUP($G526,補助対象機器一覧20220831!$A$2:$K$200,6,FALSE),"")</f>
        <v/>
      </c>
      <c r="L526" s="4" t="str">
        <f>IF(AND($E526=1,$F526=1),'入力シート（2事業場以降）'!J187,"")&amp;""</f>
        <v/>
      </c>
      <c r="M526" s="4" t="str">
        <f>IF(AND($E526=1,$F526=1),'入力シート（2事業場以降）'!N187,"")&amp;""</f>
        <v/>
      </c>
      <c r="N526" s="4" t="str">
        <f>IF(AND($E526=1,$F526=1),'入力シート（2事業場以降）'!R187,"")&amp;""</f>
        <v/>
      </c>
      <c r="O526" s="4" t="str">
        <f>IF(AND($E526=1,$F526=1),'入力シート（2事業場以降）'!V187,"")&amp;""</f>
        <v/>
      </c>
      <c r="P526" s="4" t="str">
        <f>IFERROR(VLOOKUP($G526,補助対象機器一覧20220831!$A$2:$K$200,10,FALSE),"")</f>
        <v/>
      </c>
      <c r="Q526" s="15" t="str">
        <f>IF(AND($E526=1,$F526=2),TRIM(CLEAN('入力シート（2事業場以降）'!J189)),"")&amp;""</f>
        <v/>
      </c>
      <c r="R526" s="15" t="str">
        <f>IF(AND($E526=1,$F526=2),TRIM(CLEAN('入力シート（2事業場以降）'!N189)),"")&amp;""</f>
        <v/>
      </c>
      <c r="S526" s="15" t="str">
        <f>IF(AND($E526=1,$F526=2),TRIM(CLEAN('入力シート（2事業場以降）'!R189)),"")&amp;""</f>
        <v/>
      </c>
      <c r="T526" s="15" t="str">
        <f>IF(AND($E526=1,$F526=2),TRIM(CLEAN('入力シート（2事業場以降）'!V189)),"")&amp;""</f>
        <v/>
      </c>
      <c r="V526">
        <v>5</v>
      </c>
      <c r="W526" s="117" t="str">
        <f t="shared" ca="1" si="124"/>
        <v>OK</v>
      </c>
      <c r="X526" t="str">
        <f t="shared" ca="1" si="130"/>
        <v>交付申請時のコード番号を選択してください。
申請するコード番号が選べなかった場合は、コード番号の有無で「なし」を選択してください。</v>
      </c>
      <c r="Y526">
        <f t="shared" si="126"/>
        <v>1</v>
      </c>
      <c r="Z526">
        <f t="shared" si="133"/>
        <v>0</v>
      </c>
      <c r="AA526"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26" t="str">
        <f t="shared" si="125"/>
        <v>コード番号を選択してください。</v>
      </c>
      <c r="AC526" t="s">
        <v>450</v>
      </c>
      <c r="AD526" s="36"/>
      <c r="AE526" s="36"/>
      <c r="AF526" t="s">
        <v>451</v>
      </c>
      <c r="AH526">
        <f t="shared" si="127"/>
        <v>9999</v>
      </c>
      <c r="AI526">
        <f>SMALL($AH$514:$AH$663,13)</f>
        <v>9999</v>
      </c>
      <c r="AJ526" t="e">
        <f t="shared" si="128"/>
        <v>#N/A</v>
      </c>
      <c r="AK526" t="str">
        <f t="shared" si="129"/>
        <v>事業場99</v>
      </c>
    </row>
    <row r="527" spans="2:37" x14ac:dyDescent="0.15">
      <c r="B527" s="5">
        <v>5</v>
      </c>
      <c r="C527" s="5">
        <v>2</v>
      </c>
      <c r="D527" s="4">
        <v>502</v>
      </c>
      <c r="E527" s="4">
        <f t="shared" si="132"/>
        <v>0</v>
      </c>
      <c r="F527" s="15">
        <f>'入力シート（2事業場以降）'!AQ191</f>
        <v>0</v>
      </c>
      <c r="G527" s="4" t="str">
        <f>IF(AND($E527=1,$F527=1),'入力シート（2事業場以降）'!F191,"")&amp;""</f>
        <v/>
      </c>
      <c r="H527" s="15" t="str">
        <f>IFERROR(VLOOKUP($G527,補助対象機器一覧20220831!$A$2:$K$200,3,FALSE),"")</f>
        <v/>
      </c>
      <c r="I527" s="15" t="str">
        <f>IFERROR(VLOOKUP($G527,補助対象機器一覧20220831!$A$2:$K$200,4,FALSE),"")</f>
        <v/>
      </c>
      <c r="J527" s="15" t="str">
        <f>IFERROR(VLOOKUP($G527,補助対象機器一覧20220831!$A$2:$K$200,5,FALSE),"")</f>
        <v/>
      </c>
      <c r="K527" s="15" t="str">
        <f>IFERROR(VLOOKUP($G527,補助対象機器一覧20220831!$A$2:$K$200,6,FALSE),"")</f>
        <v/>
      </c>
      <c r="L527" s="4" t="str">
        <f>IF(AND($E527=1,$F527=1),'入力シート（2事業場以降）'!J191,"")&amp;""</f>
        <v/>
      </c>
      <c r="M527" s="4" t="str">
        <f>IF(AND($E527=1,$F527=1),'入力シート（2事業場以降）'!N191,"")&amp;""</f>
        <v/>
      </c>
      <c r="N527" s="4" t="str">
        <f>IF(AND($E527=1,$F527=1),'入力シート（2事業場以降）'!R191,"")&amp;""</f>
        <v/>
      </c>
      <c r="O527" s="4" t="str">
        <f>IF(AND($E527=1,$F527=1),'入力シート（2事業場以降）'!V191,"")&amp;""</f>
        <v/>
      </c>
      <c r="P527" s="4" t="str">
        <f>IFERROR(VLOOKUP($G527,補助対象機器一覧20220831!$A$2:$K$200,10,FALSE),"")</f>
        <v/>
      </c>
      <c r="Q527" s="15" t="str">
        <f>IF(AND($E527=1,$F527=2),TRIM(CLEAN('入力シート（2事業場以降）'!J193)),"")&amp;""</f>
        <v/>
      </c>
      <c r="R527" s="15" t="str">
        <f>IF(AND($E527=1,$F527=2),TRIM(CLEAN('入力シート（2事業場以降）'!N193)),"")&amp;""</f>
        <v/>
      </c>
      <c r="S527" s="15" t="str">
        <f>IF(AND($E527=1,$F527=2),TRIM(CLEAN('入力シート（2事業場以降）'!R193)),"")&amp;""</f>
        <v/>
      </c>
      <c r="T527" s="15" t="str">
        <f>IF(AND($E527=1,$F527=2),TRIM(CLEAN('入力シート（2事業場以降）'!V193)),"")&amp;""</f>
        <v/>
      </c>
      <c r="W527" s="117" t="str">
        <f t="shared" ca="1" si="124"/>
        <v>OK</v>
      </c>
      <c r="X527" t="str">
        <f t="shared" ca="1" si="130"/>
        <v/>
      </c>
      <c r="Y527">
        <f t="shared" si="126"/>
        <v>1</v>
      </c>
      <c r="Z527">
        <f t="shared" si="133"/>
        <v>2</v>
      </c>
      <c r="AA527" s="36"/>
      <c r="AB527" t="str">
        <f t="shared" si="125"/>
        <v>コード番号を選択してください。</v>
      </c>
      <c r="AC527" t="s">
        <v>450</v>
      </c>
      <c r="AD527" s="36"/>
      <c r="AE527" t="str">
        <f>C526&amp;"台目の機器が入力されていません。"&amp;CHAR(10)&amp;"詰めて入力してください。"</f>
        <v>1台目の機器が入力されていません。
詰めて入力してください。</v>
      </c>
      <c r="AF527" t="s">
        <v>451</v>
      </c>
      <c r="AH527">
        <f t="shared" si="127"/>
        <v>9999</v>
      </c>
      <c r="AI527">
        <f>SMALL($AH$514:$AH$663,14)</f>
        <v>9999</v>
      </c>
      <c r="AJ527" t="e">
        <f t="shared" si="128"/>
        <v>#N/A</v>
      </c>
      <c r="AK527" t="str">
        <f t="shared" si="129"/>
        <v>事業場99</v>
      </c>
    </row>
    <row r="528" spans="2:37" x14ac:dyDescent="0.15">
      <c r="B528" s="5">
        <v>5</v>
      </c>
      <c r="C528" s="5">
        <v>3</v>
      </c>
      <c r="D528" s="4">
        <v>503</v>
      </c>
      <c r="E528" s="4">
        <f t="shared" si="132"/>
        <v>0</v>
      </c>
      <c r="F528" s="15">
        <f>'入力シート（2事業場以降）'!AQ195</f>
        <v>0</v>
      </c>
      <c r="G528" s="4" t="str">
        <f>IF(AND($E528=1,$F528=1),'入力シート（2事業場以降）'!F195,"")&amp;""</f>
        <v/>
      </c>
      <c r="H528" s="15" t="str">
        <f>IFERROR(VLOOKUP($G528,補助対象機器一覧20220831!$A$2:$K$200,3,FALSE),"")</f>
        <v/>
      </c>
      <c r="I528" s="15" t="str">
        <f>IFERROR(VLOOKUP($G528,補助対象機器一覧20220831!$A$2:$K$200,4,FALSE),"")</f>
        <v/>
      </c>
      <c r="J528" s="15" t="str">
        <f>IFERROR(VLOOKUP($G528,補助対象機器一覧20220831!$A$2:$K$200,5,FALSE),"")</f>
        <v/>
      </c>
      <c r="K528" s="15" t="str">
        <f>IFERROR(VLOOKUP($G528,補助対象機器一覧20220831!$A$2:$K$200,6,FALSE),"")</f>
        <v/>
      </c>
      <c r="L528" s="4" t="str">
        <f>IF(AND($E528=1,$F528=1),'入力シート（2事業場以降）'!J195,"")&amp;""</f>
        <v/>
      </c>
      <c r="M528" s="4" t="str">
        <f>IF(AND($E528=1,$F528=1),'入力シート（2事業場以降）'!N195,"")&amp;""</f>
        <v/>
      </c>
      <c r="N528" s="4" t="str">
        <f>IF(AND($E528=1,$F528=1),'入力シート（2事業場以降）'!R195,"")&amp;""</f>
        <v/>
      </c>
      <c r="O528" s="4" t="str">
        <f>IF(AND($E528=1,$F528=1),'入力シート（2事業場以降）'!V195,"")&amp;""</f>
        <v/>
      </c>
      <c r="P528" s="4" t="str">
        <f>IFERROR(VLOOKUP($G528,補助対象機器一覧20220831!$A$2:$K$200,10,FALSE),"")</f>
        <v/>
      </c>
      <c r="Q528" s="15" t="str">
        <f>IF(AND($E528=1,$F528=2),TRIM(CLEAN('入力シート（2事業場以降）'!J197)),"")&amp;""</f>
        <v/>
      </c>
      <c r="R528" s="15" t="str">
        <f>IF(AND($E528=1,$F528=2),TRIM(CLEAN('入力シート（2事業場以降）'!N197)),"")&amp;""</f>
        <v/>
      </c>
      <c r="S528" s="15" t="str">
        <f>IF(AND($E528=1,$F528=2),TRIM(CLEAN('入力シート（2事業場以降）'!R197)),"")&amp;""</f>
        <v/>
      </c>
      <c r="T528" s="15" t="str">
        <f>IF(AND($E528=1,$F528=2),TRIM(CLEAN('入力シート（2事業場以降）'!V197)),"")&amp;""</f>
        <v/>
      </c>
      <c r="W528" s="117" t="str">
        <f t="shared" ca="1" si="124"/>
        <v>OK</v>
      </c>
      <c r="X528" t="str">
        <f t="shared" ca="1" si="130"/>
        <v/>
      </c>
      <c r="Y528">
        <f t="shared" si="126"/>
        <v>1</v>
      </c>
      <c r="Z528">
        <f t="shared" si="133"/>
        <v>1</v>
      </c>
      <c r="AA528" s="36"/>
      <c r="AB528" t="str">
        <f t="shared" si="125"/>
        <v>コード番号を選択してください。</v>
      </c>
      <c r="AC528" t="s">
        <v>450</v>
      </c>
      <c r="AD528" t="str">
        <f t="shared" ref="AD528" si="137">AE527</f>
        <v>1台目の機器が入力されていません。
詰めて入力してください。</v>
      </c>
      <c r="AE528" t="str">
        <f>C527&amp;"台目の機器が入力されていません。"&amp;CHAR(10)&amp;"詰めて入力してください。"</f>
        <v>2台目の機器が入力されていません。
詰めて入力してください。</v>
      </c>
      <c r="AF528" t="s">
        <v>451</v>
      </c>
      <c r="AH528">
        <f t="shared" si="127"/>
        <v>9999</v>
      </c>
      <c r="AI528">
        <f>SMALL($AH$514:$AH$663,15)</f>
        <v>9999</v>
      </c>
      <c r="AJ528" t="e">
        <f t="shared" si="128"/>
        <v>#N/A</v>
      </c>
      <c r="AK528" t="str">
        <f t="shared" si="129"/>
        <v>事業場99</v>
      </c>
    </row>
    <row r="529" spans="2:37" x14ac:dyDescent="0.15">
      <c r="B529" s="5">
        <v>6</v>
      </c>
      <c r="C529" s="5">
        <v>1</v>
      </c>
      <c r="D529" s="4">
        <v>601</v>
      </c>
      <c r="E529" s="4">
        <f t="shared" si="132"/>
        <v>0</v>
      </c>
      <c r="F529" s="15">
        <f>'入力シート（2事業場以降）'!AQ200</f>
        <v>0</v>
      </c>
      <c r="G529" s="4" t="str">
        <f>IF(AND($E529=1,$F529=1),'入力シート（2事業場以降）'!F200,"")&amp;""</f>
        <v/>
      </c>
      <c r="H529" s="15" t="str">
        <f>IFERROR(VLOOKUP($G529,補助対象機器一覧20220831!$A$2:$K$200,3,FALSE),"")</f>
        <v/>
      </c>
      <c r="I529" s="15" t="str">
        <f>IFERROR(VLOOKUP($G529,補助対象機器一覧20220831!$A$2:$K$200,4,FALSE),"")</f>
        <v/>
      </c>
      <c r="J529" s="15" t="str">
        <f>IFERROR(VLOOKUP($G529,補助対象機器一覧20220831!$A$2:$K$200,5,FALSE),"")</f>
        <v/>
      </c>
      <c r="K529" s="15" t="str">
        <f>IFERROR(VLOOKUP($G529,補助対象機器一覧20220831!$A$2:$K$200,6,FALSE),"")</f>
        <v/>
      </c>
      <c r="L529" s="4" t="str">
        <f>IF(AND($E529=1,$F529=1),'入力シート（2事業場以降）'!J200,"")&amp;""</f>
        <v/>
      </c>
      <c r="M529" s="4" t="str">
        <f>IF(AND($E529=1,$F529=1),'入力シート（2事業場以降）'!N200,"")&amp;""</f>
        <v/>
      </c>
      <c r="N529" s="4" t="str">
        <f>IF(AND($E529=1,$F529=1),'入力シート（2事業場以降）'!R200,"")&amp;""</f>
        <v/>
      </c>
      <c r="O529" s="4" t="str">
        <f>IF(AND($E529=1,$F529=1),'入力シート（2事業場以降）'!V200,"")&amp;""</f>
        <v/>
      </c>
      <c r="P529" s="4" t="str">
        <f>IFERROR(VLOOKUP($G529,補助対象機器一覧20220831!$A$2:$K$200,10,FALSE),"")</f>
        <v/>
      </c>
      <c r="Q529" s="15" t="str">
        <f>IF(AND($E529=1,$F529=2),TRIM(CLEAN('入力シート（2事業場以降）'!J202)),"")&amp;""</f>
        <v/>
      </c>
      <c r="R529" s="15" t="str">
        <f>IF(AND($E529=1,$F529=2),TRIM(CLEAN('入力シート（2事業場以降）'!N202)),"")&amp;""</f>
        <v/>
      </c>
      <c r="S529" s="15" t="str">
        <f>IF(AND($E529=1,$F529=2),TRIM(CLEAN('入力シート（2事業場以降）'!R202)),"")&amp;""</f>
        <v/>
      </c>
      <c r="T529" s="15" t="str">
        <f>IF(AND($E529=1,$F529=2),TRIM(CLEAN('入力シート（2事業場以降）'!V202)),"")&amp;""</f>
        <v/>
      </c>
      <c r="V529">
        <v>6</v>
      </c>
      <c r="W529" s="117" t="str">
        <f t="shared" ca="1" si="124"/>
        <v>OK</v>
      </c>
      <c r="X529" t="str">
        <f t="shared" ca="1" si="130"/>
        <v>交付申請時のコード番号を選択してください。
申請するコード番号が選べなかった場合は、コード番号の有無で「なし」を選択してください。</v>
      </c>
      <c r="Y529">
        <f t="shared" si="126"/>
        <v>1</v>
      </c>
      <c r="Z529">
        <f t="shared" si="133"/>
        <v>0</v>
      </c>
      <c r="AA529"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29" t="str">
        <f t="shared" si="125"/>
        <v>コード番号を選択してください。</v>
      </c>
      <c r="AC529" t="s">
        <v>450</v>
      </c>
      <c r="AD529" s="36"/>
      <c r="AE529" s="36"/>
      <c r="AF529" t="s">
        <v>451</v>
      </c>
      <c r="AH529">
        <f t="shared" si="127"/>
        <v>9999</v>
      </c>
      <c r="AI529">
        <f>SMALL($AH$514:$AH$663,16)</f>
        <v>9999</v>
      </c>
      <c r="AJ529" t="e">
        <f t="shared" si="128"/>
        <v>#N/A</v>
      </c>
      <c r="AK529" t="str">
        <f t="shared" si="129"/>
        <v>事業場99</v>
      </c>
    </row>
    <row r="530" spans="2:37" x14ac:dyDescent="0.15">
      <c r="B530" s="5">
        <v>6</v>
      </c>
      <c r="C530" s="5">
        <v>2</v>
      </c>
      <c r="D530" s="4">
        <v>602</v>
      </c>
      <c r="E530" s="4">
        <f t="shared" si="132"/>
        <v>0</v>
      </c>
      <c r="F530" s="15">
        <f>'入力シート（2事業場以降）'!AQ204</f>
        <v>0</v>
      </c>
      <c r="G530" s="4" t="str">
        <f>IF(AND($E530=1,$F530=1),'入力シート（2事業場以降）'!F204,"")&amp;""</f>
        <v/>
      </c>
      <c r="H530" s="15" t="str">
        <f>IFERROR(VLOOKUP($G530,補助対象機器一覧20220831!$A$2:$K$200,3,FALSE),"")</f>
        <v/>
      </c>
      <c r="I530" s="15" t="str">
        <f>IFERROR(VLOOKUP($G530,補助対象機器一覧20220831!$A$2:$K$200,4,FALSE),"")</f>
        <v/>
      </c>
      <c r="J530" s="15" t="str">
        <f>IFERROR(VLOOKUP($G530,補助対象機器一覧20220831!$A$2:$K$200,5,FALSE),"")</f>
        <v/>
      </c>
      <c r="K530" s="15" t="str">
        <f>IFERROR(VLOOKUP($G530,補助対象機器一覧20220831!$A$2:$K$200,6,FALSE),"")</f>
        <v/>
      </c>
      <c r="L530" s="4" t="str">
        <f>IF(AND($E530=1,$F530=1),'入力シート（2事業場以降）'!J204,"")&amp;""</f>
        <v/>
      </c>
      <c r="M530" s="4" t="str">
        <f>IF(AND($E530=1,$F530=1),'入力シート（2事業場以降）'!N204,"")&amp;""</f>
        <v/>
      </c>
      <c r="N530" s="4" t="str">
        <f>IF(AND($E530=1,$F530=1),'入力シート（2事業場以降）'!R204,"")&amp;""</f>
        <v/>
      </c>
      <c r="O530" s="4" t="str">
        <f>IF(AND($E530=1,$F530=1),'入力シート（2事業場以降）'!V204,"")&amp;""</f>
        <v/>
      </c>
      <c r="P530" s="4" t="str">
        <f>IFERROR(VLOOKUP($G530,補助対象機器一覧20220831!$A$2:$K$200,10,FALSE),"")</f>
        <v/>
      </c>
      <c r="Q530" s="15" t="str">
        <f>IF(AND($E530=1,$F530=2),TRIM(CLEAN('入力シート（2事業場以降）'!J206)),"")&amp;""</f>
        <v/>
      </c>
      <c r="R530" s="15" t="str">
        <f>IF(AND($E530=1,$F530=2),TRIM(CLEAN('入力シート（2事業場以降）'!N206)),"")&amp;""</f>
        <v/>
      </c>
      <c r="S530" s="15" t="str">
        <f>IF(AND($E530=1,$F530=2),TRIM(CLEAN('入力シート（2事業場以降）'!R206)),"")&amp;""</f>
        <v/>
      </c>
      <c r="T530" s="15" t="str">
        <f>IF(AND($E530=1,$F530=2),TRIM(CLEAN('入力シート（2事業場以降）'!V206)),"")&amp;""</f>
        <v/>
      </c>
      <c r="W530" s="117" t="str">
        <f t="shared" ca="1" si="124"/>
        <v>OK</v>
      </c>
      <c r="X530" t="str">
        <f t="shared" ca="1" si="130"/>
        <v/>
      </c>
      <c r="Y530">
        <f t="shared" si="126"/>
        <v>1</v>
      </c>
      <c r="Z530">
        <f t="shared" si="133"/>
        <v>2</v>
      </c>
      <c r="AA530" s="36"/>
      <c r="AB530" t="str">
        <f t="shared" si="125"/>
        <v>コード番号を選択してください。</v>
      </c>
      <c r="AC530" t="s">
        <v>450</v>
      </c>
      <c r="AD530" s="36"/>
      <c r="AE530" t="str">
        <f>C529&amp;"台目の機器が入力されていません。"&amp;CHAR(10)&amp;"詰めて入力してください。"</f>
        <v>1台目の機器が入力されていません。
詰めて入力してください。</v>
      </c>
      <c r="AF530" t="s">
        <v>451</v>
      </c>
      <c r="AH530">
        <f t="shared" si="127"/>
        <v>9999</v>
      </c>
      <c r="AI530">
        <f>SMALL($AH$514:$AH$663,17)</f>
        <v>9999</v>
      </c>
      <c r="AJ530" t="e">
        <f t="shared" si="128"/>
        <v>#N/A</v>
      </c>
      <c r="AK530" t="str">
        <f t="shared" si="129"/>
        <v>事業場99</v>
      </c>
    </row>
    <row r="531" spans="2:37" x14ac:dyDescent="0.15">
      <c r="B531" s="5">
        <v>6</v>
      </c>
      <c r="C531" s="5">
        <v>3</v>
      </c>
      <c r="D531" s="4">
        <v>603</v>
      </c>
      <c r="E531" s="4">
        <f t="shared" si="132"/>
        <v>0</v>
      </c>
      <c r="F531" s="15">
        <f>'入力シート（2事業場以降）'!AQ208</f>
        <v>0</v>
      </c>
      <c r="G531" s="4" t="str">
        <f>IF(AND($E531=1,$F531=1),'入力シート（2事業場以降）'!F208,"")&amp;""</f>
        <v/>
      </c>
      <c r="H531" s="15" t="str">
        <f>IFERROR(VLOOKUP($G531,補助対象機器一覧20220831!$A$2:$K$200,3,FALSE),"")</f>
        <v/>
      </c>
      <c r="I531" s="15" t="str">
        <f>IFERROR(VLOOKUP($G531,補助対象機器一覧20220831!$A$2:$K$200,4,FALSE),"")</f>
        <v/>
      </c>
      <c r="J531" s="15" t="str">
        <f>IFERROR(VLOOKUP($G531,補助対象機器一覧20220831!$A$2:$K$200,5,FALSE),"")</f>
        <v/>
      </c>
      <c r="K531" s="15" t="str">
        <f>IFERROR(VLOOKUP($G531,補助対象機器一覧20220831!$A$2:$K$200,6,FALSE),"")</f>
        <v/>
      </c>
      <c r="L531" s="4" t="str">
        <f>IF(AND($E531=1,$F531=1),'入力シート（2事業場以降）'!J208,"")&amp;""</f>
        <v/>
      </c>
      <c r="M531" s="4" t="str">
        <f>IF(AND($E531=1,$F531=1),'入力シート（2事業場以降）'!N208,"")&amp;""</f>
        <v/>
      </c>
      <c r="N531" s="4" t="str">
        <f>IF(AND($E531=1,$F531=1),'入力シート（2事業場以降）'!R208,"")&amp;""</f>
        <v/>
      </c>
      <c r="O531" s="4" t="str">
        <f>IF(AND($E531=1,$F531=1),'入力シート（2事業場以降）'!V208,"")&amp;""</f>
        <v/>
      </c>
      <c r="P531" s="4" t="str">
        <f>IFERROR(VLOOKUP($G531,補助対象機器一覧20220831!$A$2:$K$200,10,FALSE),"")</f>
        <v/>
      </c>
      <c r="Q531" s="15" t="str">
        <f>IF(AND($E531=1,$F531=2),TRIM(CLEAN('入力シート（2事業場以降）'!J210)),"")&amp;""</f>
        <v/>
      </c>
      <c r="R531" s="15" t="str">
        <f>IF(AND($E531=1,$F531=2),TRIM(CLEAN('入力シート（2事業場以降）'!N210)),"")&amp;""</f>
        <v/>
      </c>
      <c r="S531" s="15" t="str">
        <f>IF(AND($E531=1,$F531=2),TRIM(CLEAN('入力シート（2事業場以降）'!R210)),"")&amp;""</f>
        <v/>
      </c>
      <c r="T531" s="15" t="str">
        <f>IF(AND($E531=1,$F531=2),TRIM(CLEAN('入力シート（2事業場以降）'!V210)),"")&amp;""</f>
        <v/>
      </c>
      <c r="W531" s="117" t="str">
        <f t="shared" ca="1" si="124"/>
        <v>OK</v>
      </c>
      <c r="X531" t="str">
        <f t="shared" ca="1" si="130"/>
        <v/>
      </c>
      <c r="Y531">
        <f t="shared" si="126"/>
        <v>1</v>
      </c>
      <c r="Z531">
        <f t="shared" si="133"/>
        <v>1</v>
      </c>
      <c r="AA531" s="36"/>
      <c r="AB531" t="str">
        <f t="shared" si="125"/>
        <v>コード番号を選択してください。</v>
      </c>
      <c r="AC531" t="s">
        <v>450</v>
      </c>
      <c r="AD531" t="str">
        <f t="shared" ref="AD531" si="138">AE530</f>
        <v>1台目の機器が入力されていません。
詰めて入力してください。</v>
      </c>
      <c r="AE531" t="str">
        <f>C530&amp;"台目の機器が入力されていません。"&amp;CHAR(10)&amp;"詰めて入力してください。"</f>
        <v>2台目の機器が入力されていません。
詰めて入力してください。</v>
      </c>
      <c r="AF531" t="s">
        <v>451</v>
      </c>
      <c r="AH531">
        <f t="shared" si="127"/>
        <v>9999</v>
      </c>
      <c r="AI531">
        <f>SMALL($AH$514:$AH$663,18)</f>
        <v>9999</v>
      </c>
      <c r="AJ531" t="e">
        <f t="shared" si="128"/>
        <v>#N/A</v>
      </c>
      <c r="AK531" t="str">
        <f t="shared" si="129"/>
        <v>事業場99</v>
      </c>
    </row>
    <row r="532" spans="2:37" x14ac:dyDescent="0.15">
      <c r="B532" s="5">
        <v>7</v>
      </c>
      <c r="C532" s="5">
        <v>1</v>
      </c>
      <c r="D532" s="4">
        <v>701</v>
      </c>
      <c r="E532" s="4">
        <f t="shared" si="132"/>
        <v>0</v>
      </c>
      <c r="F532" s="15">
        <f>'入力シート（2事業場以降）'!AQ213</f>
        <v>0</v>
      </c>
      <c r="G532" s="4" t="str">
        <f>IF(AND($E532=1,$F532=1),'入力シート（2事業場以降）'!F213,"")&amp;""</f>
        <v/>
      </c>
      <c r="H532" s="15" t="str">
        <f>IFERROR(VLOOKUP($G532,補助対象機器一覧20220831!$A$2:$K$200,3,FALSE),"")</f>
        <v/>
      </c>
      <c r="I532" s="15" t="str">
        <f>IFERROR(VLOOKUP($G532,補助対象機器一覧20220831!$A$2:$K$200,4,FALSE),"")</f>
        <v/>
      </c>
      <c r="J532" s="15" t="str">
        <f>IFERROR(VLOOKUP($G532,補助対象機器一覧20220831!$A$2:$K$200,5,FALSE),"")</f>
        <v/>
      </c>
      <c r="K532" s="15" t="str">
        <f>IFERROR(VLOOKUP($G532,補助対象機器一覧20220831!$A$2:$K$200,6,FALSE),"")</f>
        <v/>
      </c>
      <c r="L532" s="4" t="str">
        <f>IF(AND($E532=1,$F532=1),'入力シート（2事業場以降）'!J213,"")&amp;""</f>
        <v/>
      </c>
      <c r="M532" s="4" t="str">
        <f>IF(AND($E532=1,$F532=1),'入力シート（2事業場以降）'!N213,"")&amp;""</f>
        <v/>
      </c>
      <c r="N532" s="4" t="str">
        <f>IF(AND($E532=1,$F532=1),'入力シート（2事業場以降）'!R213,"")&amp;""</f>
        <v/>
      </c>
      <c r="O532" s="4" t="str">
        <f>IF(AND($E532=1,$F532=1),'入力シート（2事業場以降）'!V213,"")&amp;""</f>
        <v/>
      </c>
      <c r="P532" s="4" t="str">
        <f>IFERROR(VLOOKUP($G532,補助対象機器一覧20220831!$A$2:$K$200,10,FALSE),"")</f>
        <v/>
      </c>
      <c r="Q532" s="15" t="str">
        <f>IF(AND($E532=1,$F532=2),TRIM(CLEAN('入力シート（2事業場以降）'!J215)),"")&amp;""</f>
        <v/>
      </c>
      <c r="R532" s="15" t="str">
        <f>IF(AND($E532=1,$F532=2),TRIM(CLEAN('入力シート（2事業場以降）'!N215)),"")&amp;""</f>
        <v/>
      </c>
      <c r="S532" s="15" t="str">
        <f>IF(AND($E532=1,$F532=2),TRIM(CLEAN('入力シート（2事業場以降）'!R215)),"")&amp;""</f>
        <v/>
      </c>
      <c r="T532" s="15" t="str">
        <f>IF(AND($E532=1,$F532=2),TRIM(CLEAN('入力シート（2事業場以降）'!V215)),"")&amp;""</f>
        <v/>
      </c>
      <c r="V532">
        <v>7</v>
      </c>
      <c r="W532" s="117" t="str">
        <f t="shared" ca="1" si="124"/>
        <v>OK</v>
      </c>
      <c r="X532" t="str">
        <f t="shared" ca="1" si="130"/>
        <v>交付申請時のコード番号を選択してください。
申請するコード番号が選べなかった場合は、コード番号の有無で「なし」を選択してください。</v>
      </c>
      <c r="Y532">
        <f t="shared" si="126"/>
        <v>1</v>
      </c>
      <c r="Z532">
        <f t="shared" si="133"/>
        <v>0</v>
      </c>
      <c r="AA532"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32" t="str">
        <f t="shared" si="125"/>
        <v>コード番号を選択してください。</v>
      </c>
      <c r="AC532" t="s">
        <v>450</v>
      </c>
      <c r="AD532" s="36"/>
      <c r="AE532" s="36"/>
      <c r="AF532" t="s">
        <v>451</v>
      </c>
      <c r="AH532">
        <f t="shared" si="127"/>
        <v>9999</v>
      </c>
      <c r="AI532">
        <f>SMALL($AH$514:$AH$663,19)</f>
        <v>9999</v>
      </c>
      <c r="AJ532" t="e">
        <f t="shared" si="128"/>
        <v>#N/A</v>
      </c>
      <c r="AK532" t="str">
        <f t="shared" si="129"/>
        <v>事業場99</v>
      </c>
    </row>
    <row r="533" spans="2:37" x14ac:dyDescent="0.15">
      <c r="B533" s="5">
        <v>7</v>
      </c>
      <c r="C533" s="5">
        <v>2</v>
      </c>
      <c r="D533" s="4">
        <v>702</v>
      </c>
      <c r="E533" s="4">
        <f t="shared" si="132"/>
        <v>0</v>
      </c>
      <c r="F533" s="15">
        <f>'入力シート（2事業場以降）'!AQ217</f>
        <v>0</v>
      </c>
      <c r="G533" s="4" t="str">
        <f>IF(AND($E533=1,$F533=1),'入力シート（2事業場以降）'!F217,"")&amp;""</f>
        <v/>
      </c>
      <c r="H533" s="15" t="str">
        <f>IFERROR(VLOOKUP($G533,補助対象機器一覧20220831!$A$2:$K$200,3,FALSE),"")</f>
        <v/>
      </c>
      <c r="I533" s="15" t="str">
        <f>IFERROR(VLOOKUP($G533,補助対象機器一覧20220831!$A$2:$K$200,4,FALSE),"")</f>
        <v/>
      </c>
      <c r="J533" s="15" t="str">
        <f>IFERROR(VLOOKUP($G533,補助対象機器一覧20220831!$A$2:$K$200,5,FALSE),"")</f>
        <v/>
      </c>
      <c r="K533" s="15" t="str">
        <f>IFERROR(VLOOKUP($G533,補助対象機器一覧20220831!$A$2:$K$200,6,FALSE),"")</f>
        <v/>
      </c>
      <c r="L533" s="4" t="str">
        <f>IF(AND($E533=1,$F533=1),'入力シート（2事業場以降）'!J217,"")&amp;""</f>
        <v/>
      </c>
      <c r="M533" s="4" t="str">
        <f>IF(AND($E533=1,$F533=1),'入力シート（2事業場以降）'!N217,"")&amp;""</f>
        <v/>
      </c>
      <c r="N533" s="4" t="str">
        <f>IF(AND($E533=1,$F533=1),'入力シート（2事業場以降）'!R217,"")&amp;""</f>
        <v/>
      </c>
      <c r="O533" s="4" t="str">
        <f>IF(AND($E533=1,$F533=1),'入力シート（2事業場以降）'!V217,"")&amp;""</f>
        <v/>
      </c>
      <c r="P533" s="4" t="str">
        <f>IFERROR(VLOOKUP($G533,補助対象機器一覧20220831!$A$2:$K$200,10,FALSE),"")</f>
        <v/>
      </c>
      <c r="Q533" s="15" t="str">
        <f>IF(AND($E533=1,$F533=2),TRIM(CLEAN('入力シート（2事業場以降）'!J219)),"")&amp;""</f>
        <v/>
      </c>
      <c r="R533" s="15" t="str">
        <f>IF(AND($E533=1,$F533=2),TRIM(CLEAN('入力シート（2事業場以降）'!N219)),"")&amp;""</f>
        <v/>
      </c>
      <c r="S533" s="15" t="str">
        <f>IF(AND($E533=1,$F533=2),TRIM(CLEAN('入力シート（2事業場以降）'!R219)),"")&amp;""</f>
        <v/>
      </c>
      <c r="T533" s="15" t="str">
        <f>IF(AND($E533=1,$F533=2),TRIM(CLEAN('入力シート（2事業場以降）'!V219)),"")&amp;""</f>
        <v/>
      </c>
      <c r="W533" s="117" t="str">
        <f t="shared" ca="1" si="124"/>
        <v>OK</v>
      </c>
      <c r="X533" t="str">
        <f t="shared" ca="1" si="130"/>
        <v/>
      </c>
      <c r="Y533">
        <f t="shared" si="126"/>
        <v>1</v>
      </c>
      <c r="Z533">
        <f t="shared" si="133"/>
        <v>2</v>
      </c>
      <c r="AA533" s="36"/>
      <c r="AB533" t="str">
        <f t="shared" si="125"/>
        <v>コード番号を選択してください。</v>
      </c>
      <c r="AC533" t="s">
        <v>450</v>
      </c>
      <c r="AD533" s="36"/>
      <c r="AE533" t="str">
        <f>C532&amp;"台目の機器が入力されていません。"&amp;CHAR(10)&amp;"詰めて入力してください。"</f>
        <v>1台目の機器が入力されていません。
詰めて入力してください。</v>
      </c>
      <c r="AF533" t="s">
        <v>451</v>
      </c>
      <c r="AH533">
        <f t="shared" si="127"/>
        <v>9999</v>
      </c>
      <c r="AI533">
        <f>SMALL($AH$514:$AH$663,20)</f>
        <v>9999</v>
      </c>
      <c r="AJ533" t="e">
        <f t="shared" si="128"/>
        <v>#N/A</v>
      </c>
      <c r="AK533" t="str">
        <f t="shared" si="129"/>
        <v>事業場99</v>
      </c>
    </row>
    <row r="534" spans="2:37" x14ac:dyDescent="0.15">
      <c r="B534" s="5">
        <v>7</v>
      </c>
      <c r="C534" s="5">
        <v>3</v>
      </c>
      <c r="D534" s="4">
        <v>703</v>
      </c>
      <c r="E534" s="4">
        <f t="shared" si="132"/>
        <v>0</v>
      </c>
      <c r="F534" s="15">
        <f>'入力シート（2事業場以降）'!AQ221</f>
        <v>0</v>
      </c>
      <c r="G534" s="4" t="str">
        <f>IF(AND($E534=1,$F534=1),'入力シート（2事業場以降）'!F221,"")&amp;""</f>
        <v/>
      </c>
      <c r="H534" s="15" t="str">
        <f>IFERROR(VLOOKUP($G534,補助対象機器一覧20220831!$A$2:$K$200,3,FALSE),"")</f>
        <v/>
      </c>
      <c r="I534" s="15" t="str">
        <f>IFERROR(VLOOKUP($G534,補助対象機器一覧20220831!$A$2:$K$200,4,FALSE),"")</f>
        <v/>
      </c>
      <c r="J534" s="15" t="str">
        <f>IFERROR(VLOOKUP($G534,補助対象機器一覧20220831!$A$2:$K$200,5,FALSE),"")</f>
        <v/>
      </c>
      <c r="K534" s="15" t="str">
        <f>IFERROR(VLOOKUP($G534,補助対象機器一覧20220831!$A$2:$K$200,6,FALSE),"")</f>
        <v/>
      </c>
      <c r="L534" s="4" t="str">
        <f>IF(AND($E534=1,$F534=1),'入力シート（2事業場以降）'!J221,"")&amp;""</f>
        <v/>
      </c>
      <c r="M534" s="4" t="str">
        <f>IF(AND($E534=1,$F534=1),'入力シート（2事業場以降）'!N221,"")&amp;""</f>
        <v/>
      </c>
      <c r="N534" s="4" t="str">
        <f>IF(AND($E534=1,$F534=1),'入力シート（2事業場以降）'!R221,"")&amp;""</f>
        <v/>
      </c>
      <c r="O534" s="4" t="str">
        <f>IF(AND($E534=1,$F534=1),'入力シート（2事業場以降）'!V221,"")&amp;""</f>
        <v/>
      </c>
      <c r="P534" s="4" t="str">
        <f>IFERROR(VLOOKUP($G534,補助対象機器一覧20220831!$A$2:$K$200,10,FALSE),"")</f>
        <v/>
      </c>
      <c r="Q534" s="15" t="str">
        <f>IF(AND($E534=1,$F534=2),TRIM(CLEAN('入力シート（2事業場以降）'!J223)),"")&amp;""</f>
        <v/>
      </c>
      <c r="R534" s="15" t="str">
        <f>IF(AND($E534=1,$F534=2),TRIM(CLEAN('入力シート（2事業場以降）'!N223)),"")&amp;""</f>
        <v/>
      </c>
      <c r="S534" s="15" t="str">
        <f>IF(AND($E534=1,$F534=2),TRIM(CLEAN('入力シート（2事業場以降）'!R223)),"")&amp;""</f>
        <v/>
      </c>
      <c r="T534" s="15" t="str">
        <f>IF(AND($E534=1,$F534=2),TRIM(CLEAN('入力シート（2事業場以降）'!V223)),"")&amp;""</f>
        <v/>
      </c>
      <c r="W534" s="117" t="str">
        <f t="shared" ca="1" si="124"/>
        <v>OK</v>
      </c>
      <c r="X534" t="str">
        <f t="shared" ca="1" si="130"/>
        <v/>
      </c>
      <c r="Y534">
        <f t="shared" si="126"/>
        <v>1</v>
      </c>
      <c r="Z534">
        <f t="shared" si="133"/>
        <v>1</v>
      </c>
      <c r="AA534" s="36"/>
      <c r="AB534" t="str">
        <f t="shared" si="125"/>
        <v>コード番号を選択してください。</v>
      </c>
      <c r="AC534" t="s">
        <v>450</v>
      </c>
      <c r="AD534" t="str">
        <f t="shared" ref="AD534" si="139">AE533</f>
        <v>1台目の機器が入力されていません。
詰めて入力してください。</v>
      </c>
      <c r="AE534" t="str">
        <f>C533&amp;"台目の機器が入力されていません。"&amp;CHAR(10)&amp;"詰めて入力してください。"</f>
        <v>2台目の機器が入力されていません。
詰めて入力してください。</v>
      </c>
      <c r="AF534" t="s">
        <v>451</v>
      </c>
      <c r="AH534">
        <f t="shared" si="127"/>
        <v>9999</v>
      </c>
      <c r="AI534">
        <f>SMALL($AH$514:$AH$663,21)</f>
        <v>9999</v>
      </c>
      <c r="AJ534" t="e">
        <f t="shared" si="128"/>
        <v>#N/A</v>
      </c>
      <c r="AK534" t="str">
        <f t="shared" si="129"/>
        <v>事業場99</v>
      </c>
    </row>
    <row r="535" spans="2:37" x14ac:dyDescent="0.15">
      <c r="B535" s="5">
        <v>8</v>
      </c>
      <c r="C535" s="5">
        <v>1</v>
      </c>
      <c r="D535" s="4">
        <v>801</v>
      </c>
      <c r="E535" s="4">
        <f t="shared" si="132"/>
        <v>0</v>
      </c>
      <c r="F535" s="15">
        <f>'入力シート（2事業場以降）'!AQ226</f>
        <v>0</v>
      </c>
      <c r="G535" s="4" t="str">
        <f>IF(AND($E535=1,$F535=1),'入力シート（2事業場以降）'!F226,"")&amp;""</f>
        <v/>
      </c>
      <c r="H535" s="15" t="str">
        <f>IFERROR(VLOOKUP($G535,補助対象機器一覧20220831!$A$2:$K$200,3,FALSE),"")</f>
        <v/>
      </c>
      <c r="I535" s="15" t="str">
        <f>IFERROR(VLOOKUP($G535,補助対象機器一覧20220831!$A$2:$K$200,4,FALSE),"")</f>
        <v/>
      </c>
      <c r="J535" s="15" t="str">
        <f>IFERROR(VLOOKUP($G535,補助対象機器一覧20220831!$A$2:$K$200,5,FALSE),"")</f>
        <v/>
      </c>
      <c r="K535" s="15" t="str">
        <f>IFERROR(VLOOKUP($G535,補助対象機器一覧20220831!$A$2:$K$200,6,FALSE),"")</f>
        <v/>
      </c>
      <c r="L535" s="4" t="str">
        <f>IF(AND($E535=1,$F535=1),'入力シート（2事業場以降）'!J226,"")&amp;""</f>
        <v/>
      </c>
      <c r="M535" s="4" t="str">
        <f>IF(AND($E535=1,$F535=1),'入力シート（2事業場以降）'!N226,"")&amp;""</f>
        <v/>
      </c>
      <c r="N535" s="4" t="str">
        <f>IF(AND($E535=1,$F535=1),'入力シート（2事業場以降）'!R226,"")&amp;""</f>
        <v/>
      </c>
      <c r="O535" s="4" t="str">
        <f>IF(AND($E535=1,$F535=1),'入力シート（2事業場以降）'!V226,"")&amp;""</f>
        <v/>
      </c>
      <c r="P535" s="4" t="str">
        <f>IFERROR(VLOOKUP($G535,補助対象機器一覧20220831!$A$2:$K$200,10,FALSE),"")</f>
        <v/>
      </c>
      <c r="Q535" s="15" t="str">
        <f>IF(AND($E535=1,$F535=2),TRIM(CLEAN('入力シート（2事業場以降）'!J228)),"")&amp;""</f>
        <v/>
      </c>
      <c r="R535" s="15" t="str">
        <f>IF(AND($E535=1,$F535=2),TRIM(CLEAN('入力シート（2事業場以降）'!N228)),"")&amp;""</f>
        <v/>
      </c>
      <c r="S535" s="15" t="str">
        <f>IF(AND($E535=1,$F535=2),TRIM(CLEAN('入力シート（2事業場以降）'!R228)),"")&amp;""</f>
        <v/>
      </c>
      <c r="T535" s="15" t="str">
        <f>IF(AND($E535=1,$F535=2),TRIM(CLEAN('入力シート（2事業場以降）'!V228)),"")&amp;""</f>
        <v/>
      </c>
      <c r="V535">
        <v>8</v>
      </c>
      <c r="W535" s="117" t="str">
        <f t="shared" ca="1" si="124"/>
        <v>OK</v>
      </c>
      <c r="X535" t="str">
        <f t="shared" ca="1" si="130"/>
        <v>交付申請時のコード番号を選択してください。
申請するコード番号が選べなかった場合は、コード番号の有無で「なし」を選択してください。</v>
      </c>
      <c r="Y535">
        <f t="shared" si="126"/>
        <v>1</v>
      </c>
      <c r="Z535">
        <f t="shared" si="133"/>
        <v>0</v>
      </c>
      <c r="AA535"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35" t="str">
        <f t="shared" si="125"/>
        <v>コード番号を選択してください。</v>
      </c>
      <c r="AC535" t="s">
        <v>450</v>
      </c>
      <c r="AD535" s="36"/>
      <c r="AE535" s="36"/>
      <c r="AF535" t="s">
        <v>451</v>
      </c>
      <c r="AH535">
        <f t="shared" si="127"/>
        <v>9999</v>
      </c>
      <c r="AI535">
        <f>SMALL($AH$514:$AH$663,22)</f>
        <v>9999</v>
      </c>
      <c r="AJ535" t="e">
        <f t="shared" si="128"/>
        <v>#N/A</v>
      </c>
      <c r="AK535" t="str">
        <f t="shared" si="129"/>
        <v>事業場99</v>
      </c>
    </row>
    <row r="536" spans="2:37" x14ac:dyDescent="0.15">
      <c r="B536" s="5">
        <v>8</v>
      </c>
      <c r="C536" s="5">
        <v>2</v>
      </c>
      <c r="D536" s="4">
        <v>802</v>
      </c>
      <c r="E536" s="4">
        <f t="shared" si="132"/>
        <v>0</v>
      </c>
      <c r="F536" s="15">
        <f>'入力シート（2事業場以降）'!AQ230</f>
        <v>0</v>
      </c>
      <c r="G536" s="4" t="str">
        <f>IF(AND($E536=1,$F536=1),'入力シート（2事業場以降）'!F230,"")&amp;""</f>
        <v/>
      </c>
      <c r="H536" s="15" t="str">
        <f>IFERROR(VLOOKUP($G536,補助対象機器一覧20220831!$A$2:$K$200,3,FALSE),"")</f>
        <v/>
      </c>
      <c r="I536" s="15" t="str">
        <f>IFERROR(VLOOKUP($G536,補助対象機器一覧20220831!$A$2:$K$200,4,FALSE),"")</f>
        <v/>
      </c>
      <c r="J536" s="15" t="str">
        <f>IFERROR(VLOOKUP($G536,補助対象機器一覧20220831!$A$2:$K$200,5,FALSE),"")</f>
        <v/>
      </c>
      <c r="K536" s="15" t="str">
        <f>IFERROR(VLOOKUP($G536,補助対象機器一覧20220831!$A$2:$K$200,6,FALSE),"")</f>
        <v/>
      </c>
      <c r="L536" s="4" t="str">
        <f>IF(AND($E536=1,$F536=1),'入力シート（2事業場以降）'!J230,"")&amp;""</f>
        <v/>
      </c>
      <c r="M536" s="4" t="str">
        <f>IF(AND($E536=1,$F536=1),'入力シート（2事業場以降）'!N230,"")&amp;""</f>
        <v/>
      </c>
      <c r="N536" s="4" t="str">
        <f>IF(AND($E536=1,$F536=1),'入力シート（2事業場以降）'!R230,"")&amp;""</f>
        <v/>
      </c>
      <c r="O536" s="4" t="str">
        <f>IF(AND($E536=1,$F536=1),'入力シート（2事業場以降）'!V230,"")&amp;""</f>
        <v/>
      </c>
      <c r="P536" s="4" t="str">
        <f>IFERROR(VLOOKUP($G536,補助対象機器一覧20220831!$A$2:$K$200,10,FALSE),"")</f>
        <v/>
      </c>
      <c r="Q536" s="15" t="str">
        <f>IF(AND($E536=1,$F536=2),TRIM(CLEAN('入力シート（2事業場以降）'!J232)),"")&amp;""</f>
        <v/>
      </c>
      <c r="R536" s="15" t="str">
        <f>IF(AND($E536=1,$F536=2),TRIM(CLEAN('入力シート（2事業場以降）'!N232)),"")&amp;""</f>
        <v/>
      </c>
      <c r="S536" s="15" t="str">
        <f>IF(AND($E536=1,$F536=2),TRIM(CLEAN('入力シート（2事業場以降）'!R232)),"")&amp;""</f>
        <v/>
      </c>
      <c r="T536" s="15" t="str">
        <f>IF(AND($E536=1,$F536=2),TRIM(CLEAN('入力シート（2事業場以降）'!V232)),"")&amp;""</f>
        <v/>
      </c>
      <c r="W536" s="117" t="str">
        <f t="shared" ca="1" si="124"/>
        <v>OK</v>
      </c>
      <c r="X536" t="str">
        <f t="shared" ca="1" si="130"/>
        <v/>
      </c>
      <c r="Y536">
        <f t="shared" si="126"/>
        <v>1</v>
      </c>
      <c r="Z536">
        <f t="shared" si="133"/>
        <v>2</v>
      </c>
      <c r="AA536" s="36"/>
      <c r="AB536" t="str">
        <f t="shared" si="125"/>
        <v>コード番号を選択してください。</v>
      </c>
      <c r="AC536" t="s">
        <v>450</v>
      </c>
      <c r="AD536" s="36"/>
      <c r="AE536" t="str">
        <f>C535&amp;"台目の機器が入力されていません。"&amp;CHAR(10)&amp;"詰めて入力してください。"</f>
        <v>1台目の機器が入力されていません。
詰めて入力してください。</v>
      </c>
      <c r="AF536" t="s">
        <v>451</v>
      </c>
      <c r="AH536">
        <f t="shared" si="127"/>
        <v>9999</v>
      </c>
      <c r="AI536">
        <f>SMALL($AH$514:$AH$663,23)</f>
        <v>9999</v>
      </c>
      <c r="AJ536" t="e">
        <f t="shared" si="128"/>
        <v>#N/A</v>
      </c>
      <c r="AK536" t="str">
        <f t="shared" si="129"/>
        <v>事業場99</v>
      </c>
    </row>
    <row r="537" spans="2:37" x14ac:dyDescent="0.15">
      <c r="B537" s="5">
        <v>8</v>
      </c>
      <c r="C537" s="5">
        <v>3</v>
      </c>
      <c r="D537" s="4">
        <v>803</v>
      </c>
      <c r="E537" s="4">
        <f t="shared" si="132"/>
        <v>0</v>
      </c>
      <c r="F537" s="15">
        <f>'入力シート（2事業場以降）'!AQ234</f>
        <v>0</v>
      </c>
      <c r="G537" s="4" t="str">
        <f>IF(AND($E537=1,$F537=1),'入力シート（2事業場以降）'!F234,"")&amp;""</f>
        <v/>
      </c>
      <c r="H537" s="15" t="str">
        <f>IFERROR(VLOOKUP($G537,補助対象機器一覧20220831!$A$2:$K$200,3,FALSE),"")</f>
        <v/>
      </c>
      <c r="I537" s="15" t="str">
        <f>IFERROR(VLOOKUP($G537,補助対象機器一覧20220831!$A$2:$K$200,4,FALSE),"")</f>
        <v/>
      </c>
      <c r="J537" s="15" t="str">
        <f>IFERROR(VLOOKUP($G537,補助対象機器一覧20220831!$A$2:$K$200,5,FALSE),"")</f>
        <v/>
      </c>
      <c r="K537" s="15" t="str">
        <f>IFERROR(VLOOKUP($G537,補助対象機器一覧20220831!$A$2:$K$200,6,FALSE),"")</f>
        <v/>
      </c>
      <c r="L537" s="4" t="str">
        <f>IF(AND($E537=1,$F537=1),'入力シート（2事業場以降）'!J234,"")&amp;""</f>
        <v/>
      </c>
      <c r="M537" s="4" t="str">
        <f>IF(AND($E537=1,$F537=1),'入力シート（2事業場以降）'!N234,"")&amp;""</f>
        <v/>
      </c>
      <c r="N537" s="4" t="str">
        <f>IF(AND($E537=1,$F537=1),'入力シート（2事業場以降）'!R234,"")&amp;""</f>
        <v/>
      </c>
      <c r="O537" s="4" t="str">
        <f>IF(AND($E537=1,$F537=1),'入力シート（2事業場以降）'!V234,"")&amp;""</f>
        <v/>
      </c>
      <c r="P537" s="4" t="str">
        <f>IFERROR(VLOOKUP($G537,補助対象機器一覧20220831!$A$2:$K$200,10,FALSE),"")</f>
        <v/>
      </c>
      <c r="Q537" s="15" t="str">
        <f>IF(AND($E537=1,$F537=2),TRIM(CLEAN('入力シート（2事業場以降）'!J236)),"")&amp;""</f>
        <v/>
      </c>
      <c r="R537" s="15" t="str">
        <f>IF(AND($E537=1,$F537=2),TRIM(CLEAN('入力シート（2事業場以降）'!N236)),"")&amp;""</f>
        <v/>
      </c>
      <c r="S537" s="15" t="str">
        <f>IF(AND($E537=1,$F537=2),TRIM(CLEAN('入力シート（2事業場以降）'!R236)),"")&amp;""</f>
        <v/>
      </c>
      <c r="T537" s="15" t="str">
        <f>IF(AND($E537=1,$F537=2),TRIM(CLEAN('入力シート（2事業場以降）'!V236)),"")&amp;""</f>
        <v/>
      </c>
      <c r="W537" s="117" t="str">
        <f t="shared" ca="1" si="124"/>
        <v>OK</v>
      </c>
      <c r="X537" t="str">
        <f t="shared" ca="1" si="130"/>
        <v/>
      </c>
      <c r="Y537">
        <f t="shared" si="126"/>
        <v>1</v>
      </c>
      <c r="Z537">
        <f t="shared" si="133"/>
        <v>1</v>
      </c>
      <c r="AA537" s="36"/>
      <c r="AB537" t="str">
        <f t="shared" si="125"/>
        <v>コード番号を選択してください。</v>
      </c>
      <c r="AC537" t="s">
        <v>450</v>
      </c>
      <c r="AD537" t="str">
        <f t="shared" ref="AD537" si="140">AE536</f>
        <v>1台目の機器が入力されていません。
詰めて入力してください。</v>
      </c>
      <c r="AE537" t="str">
        <f>C536&amp;"台目の機器が入力されていません。"&amp;CHAR(10)&amp;"詰めて入力してください。"</f>
        <v>2台目の機器が入力されていません。
詰めて入力してください。</v>
      </c>
      <c r="AF537" t="s">
        <v>451</v>
      </c>
      <c r="AH537">
        <f t="shared" si="127"/>
        <v>9999</v>
      </c>
      <c r="AI537">
        <f>SMALL($AH$514:$AH$663,24)</f>
        <v>9999</v>
      </c>
      <c r="AJ537" t="e">
        <f t="shared" si="128"/>
        <v>#N/A</v>
      </c>
      <c r="AK537" t="str">
        <f t="shared" si="129"/>
        <v>事業場99</v>
      </c>
    </row>
    <row r="538" spans="2:37" x14ac:dyDescent="0.15">
      <c r="B538" s="5">
        <v>9</v>
      </c>
      <c r="C538" s="5">
        <v>1</v>
      </c>
      <c r="D538" s="4">
        <v>901</v>
      </c>
      <c r="E538" s="4">
        <f t="shared" si="132"/>
        <v>0</v>
      </c>
      <c r="F538" s="15">
        <f>'入力シート（2事業場以降）'!AQ239</f>
        <v>0</v>
      </c>
      <c r="G538" s="4" t="str">
        <f>IF(AND($E538=1,$F538=1),'入力シート（2事業場以降）'!F239,"")&amp;""</f>
        <v/>
      </c>
      <c r="H538" s="15" t="str">
        <f>IFERROR(VLOOKUP($G538,補助対象機器一覧20220831!$A$2:$K$200,3,FALSE),"")</f>
        <v/>
      </c>
      <c r="I538" s="15" t="str">
        <f>IFERROR(VLOOKUP($G538,補助対象機器一覧20220831!$A$2:$K$200,4,FALSE),"")</f>
        <v/>
      </c>
      <c r="J538" s="15" t="str">
        <f>IFERROR(VLOOKUP($G538,補助対象機器一覧20220831!$A$2:$K$200,5,FALSE),"")</f>
        <v/>
      </c>
      <c r="K538" s="15" t="str">
        <f>IFERROR(VLOOKUP($G538,補助対象機器一覧20220831!$A$2:$K$200,6,FALSE),"")</f>
        <v/>
      </c>
      <c r="L538" s="4" t="str">
        <f>IF(AND($E538=1,$F538=1),'入力シート（2事業場以降）'!J239,"")&amp;""</f>
        <v/>
      </c>
      <c r="M538" s="4" t="str">
        <f>IF(AND($E538=1,$F538=1),'入力シート（2事業場以降）'!N239,"")&amp;""</f>
        <v/>
      </c>
      <c r="N538" s="4" t="str">
        <f>IF(AND($E538=1,$F538=1),'入力シート（2事業場以降）'!R239,"")&amp;""</f>
        <v/>
      </c>
      <c r="O538" s="4" t="str">
        <f>IF(AND($E538=1,$F538=1),'入力シート（2事業場以降）'!V239,"")&amp;""</f>
        <v/>
      </c>
      <c r="P538" s="4" t="str">
        <f>IFERROR(VLOOKUP($G538,補助対象機器一覧20220831!$A$2:$K$200,10,FALSE),"")</f>
        <v/>
      </c>
      <c r="Q538" s="15" t="str">
        <f>IF(AND($E538=1,$F538=2),TRIM(CLEAN('入力シート（2事業場以降）'!J241)),"")&amp;""</f>
        <v/>
      </c>
      <c r="R538" s="15" t="str">
        <f>IF(AND($E538=1,$F538=2),TRIM(CLEAN('入力シート（2事業場以降）'!N241)),"")&amp;""</f>
        <v/>
      </c>
      <c r="S538" s="15" t="str">
        <f>IF(AND($E538=1,$F538=2),TRIM(CLEAN('入力シート（2事業場以降）'!R241)),"")&amp;""</f>
        <v/>
      </c>
      <c r="T538" s="15" t="str">
        <f>IF(AND($E538=1,$F538=2),TRIM(CLEAN('入力シート（2事業場以降）'!V241)),"")&amp;""</f>
        <v/>
      </c>
      <c r="V538">
        <v>9</v>
      </c>
      <c r="W538" s="117" t="str">
        <f t="shared" ca="1" si="124"/>
        <v>OK</v>
      </c>
      <c r="X538" t="str">
        <f t="shared" ca="1" si="130"/>
        <v>交付申請時のコード番号を選択してください。
申請するコード番号が選べなかった場合は、コード番号の有無で「なし」を選択してください。</v>
      </c>
      <c r="Y538">
        <f t="shared" si="126"/>
        <v>1</v>
      </c>
      <c r="Z538">
        <f t="shared" si="133"/>
        <v>0</v>
      </c>
      <c r="AA538"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38" t="str">
        <f t="shared" si="125"/>
        <v>コード番号を選択してください。</v>
      </c>
      <c r="AC538" t="s">
        <v>450</v>
      </c>
      <c r="AD538" s="36"/>
      <c r="AE538" s="36"/>
      <c r="AF538" t="s">
        <v>451</v>
      </c>
      <c r="AH538">
        <f t="shared" si="127"/>
        <v>9999</v>
      </c>
      <c r="AI538">
        <f>SMALL($AH$514:$AH$663,25)</f>
        <v>9999</v>
      </c>
      <c r="AJ538" t="e">
        <f t="shared" si="128"/>
        <v>#N/A</v>
      </c>
      <c r="AK538" t="str">
        <f t="shared" si="129"/>
        <v>事業場99</v>
      </c>
    </row>
    <row r="539" spans="2:37" x14ac:dyDescent="0.15">
      <c r="B539" s="5">
        <v>9</v>
      </c>
      <c r="C539" s="5">
        <v>2</v>
      </c>
      <c r="D539" s="4">
        <v>902</v>
      </c>
      <c r="E539" s="4">
        <f t="shared" si="132"/>
        <v>0</v>
      </c>
      <c r="F539" s="15">
        <f>'入力シート（2事業場以降）'!AQ243</f>
        <v>0</v>
      </c>
      <c r="G539" s="4" t="str">
        <f>IF(AND($E539=1,$F539=1),'入力シート（2事業場以降）'!F243,"")&amp;""</f>
        <v/>
      </c>
      <c r="H539" s="15" t="str">
        <f>IFERROR(VLOOKUP($G539,補助対象機器一覧20220831!$A$2:$K$200,3,FALSE),"")</f>
        <v/>
      </c>
      <c r="I539" s="15" t="str">
        <f>IFERROR(VLOOKUP($G539,補助対象機器一覧20220831!$A$2:$K$200,4,FALSE),"")</f>
        <v/>
      </c>
      <c r="J539" s="15" t="str">
        <f>IFERROR(VLOOKUP($G539,補助対象機器一覧20220831!$A$2:$K$200,5,FALSE),"")</f>
        <v/>
      </c>
      <c r="K539" s="15" t="str">
        <f>IFERROR(VLOOKUP($G539,補助対象機器一覧20220831!$A$2:$K$200,6,FALSE),"")</f>
        <v/>
      </c>
      <c r="L539" s="4" t="str">
        <f>IF(AND($E539=1,$F539=1),'入力シート（2事業場以降）'!J243,"")&amp;""</f>
        <v/>
      </c>
      <c r="M539" s="4" t="str">
        <f>IF(AND($E539=1,$F539=1),'入力シート（2事業場以降）'!N243,"")&amp;""</f>
        <v/>
      </c>
      <c r="N539" s="4" t="str">
        <f>IF(AND($E539=1,$F539=1),'入力シート（2事業場以降）'!R243,"")&amp;""</f>
        <v/>
      </c>
      <c r="O539" s="4" t="str">
        <f>IF(AND($E539=1,$F539=1),'入力シート（2事業場以降）'!V243,"")&amp;""</f>
        <v/>
      </c>
      <c r="P539" s="4" t="str">
        <f>IFERROR(VLOOKUP($G539,補助対象機器一覧20220831!$A$2:$K$200,10,FALSE),"")</f>
        <v/>
      </c>
      <c r="Q539" s="15" t="str">
        <f>IF(AND($E539=1,$F539=2),TRIM(CLEAN('入力シート（2事業場以降）'!J245)),"")&amp;""</f>
        <v/>
      </c>
      <c r="R539" s="15" t="str">
        <f>IF(AND($E539=1,$F539=2),TRIM(CLEAN('入力シート（2事業場以降）'!N245)),"")&amp;""</f>
        <v/>
      </c>
      <c r="S539" s="15" t="str">
        <f>IF(AND($E539=1,$F539=2),TRIM(CLEAN('入力シート（2事業場以降）'!R245)),"")&amp;""</f>
        <v/>
      </c>
      <c r="T539" s="15" t="str">
        <f>IF(AND($E539=1,$F539=2),TRIM(CLEAN('入力シート（2事業場以降）'!V245)),"")&amp;""</f>
        <v/>
      </c>
      <c r="W539" s="117" t="str">
        <f t="shared" ca="1" si="124"/>
        <v>OK</v>
      </c>
      <c r="X539" t="str">
        <f t="shared" ca="1" si="130"/>
        <v/>
      </c>
      <c r="Y539">
        <f t="shared" si="126"/>
        <v>1</v>
      </c>
      <c r="Z539">
        <f t="shared" si="133"/>
        <v>2</v>
      </c>
      <c r="AA539" s="36"/>
      <c r="AB539" t="str">
        <f t="shared" si="125"/>
        <v>コード番号を選択してください。</v>
      </c>
      <c r="AC539" t="s">
        <v>450</v>
      </c>
      <c r="AD539" s="36"/>
      <c r="AE539" t="str">
        <f>C538&amp;"台目の機器が入力されていません。"&amp;CHAR(10)&amp;"詰めて入力してください。"</f>
        <v>1台目の機器が入力されていません。
詰めて入力してください。</v>
      </c>
      <c r="AF539" t="s">
        <v>451</v>
      </c>
      <c r="AH539">
        <f t="shared" si="127"/>
        <v>9999</v>
      </c>
      <c r="AI539">
        <f>SMALL($AH$514:$AH$663,26)</f>
        <v>9999</v>
      </c>
      <c r="AJ539" t="e">
        <f t="shared" si="128"/>
        <v>#N/A</v>
      </c>
      <c r="AK539" t="str">
        <f t="shared" si="129"/>
        <v>事業場99</v>
      </c>
    </row>
    <row r="540" spans="2:37" x14ac:dyDescent="0.15">
      <c r="B540" s="5">
        <v>9</v>
      </c>
      <c r="C540" s="5">
        <v>3</v>
      </c>
      <c r="D540" s="4">
        <v>903</v>
      </c>
      <c r="E540" s="4">
        <f t="shared" si="132"/>
        <v>0</v>
      </c>
      <c r="F540" s="15">
        <f>'入力シート（2事業場以降）'!AQ247</f>
        <v>0</v>
      </c>
      <c r="G540" s="4" t="str">
        <f>IF(AND($E540=1,$F540=1),'入力シート（2事業場以降）'!F247,"")&amp;""</f>
        <v/>
      </c>
      <c r="H540" s="15" t="str">
        <f>IFERROR(VLOOKUP($G540,補助対象機器一覧20220831!$A$2:$K$200,3,FALSE),"")</f>
        <v/>
      </c>
      <c r="I540" s="15" t="str">
        <f>IFERROR(VLOOKUP($G540,補助対象機器一覧20220831!$A$2:$K$200,4,FALSE),"")</f>
        <v/>
      </c>
      <c r="J540" s="15" t="str">
        <f>IFERROR(VLOOKUP($G540,補助対象機器一覧20220831!$A$2:$K$200,5,FALSE),"")</f>
        <v/>
      </c>
      <c r="K540" s="15" t="str">
        <f>IFERROR(VLOOKUP($G540,補助対象機器一覧20220831!$A$2:$K$200,6,FALSE),"")</f>
        <v/>
      </c>
      <c r="L540" s="4" t="str">
        <f>IF(AND($E540=1,$F540=1),'入力シート（2事業場以降）'!J247,"")&amp;""</f>
        <v/>
      </c>
      <c r="M540" s="4" t="str">
        <f>IF(AND($E540=1,$F540=1),'入力シート（2事業場以降）'!N247,"")&amp;""</f>
        <v/>
      </c>
      <c r="N540" s="4" t="str">
        <f>IF(AND($E540=1,$F540=1),'入力シート（2事業場以降）'!R247,"")&amp;""</f>
        <v/>
      </c>
      <c r="O540" s="4" t="str">
        <f>IF(AND($E540=1,$F540=1),'入力シート（2事業場以降）'!V247,"")&amp;""</f>
        <v/>
      </c>
      <c r="P540" s="4" t="str">
        <f>IFERROR(VLOOKUP($G540,補助対象機器一覧20220831!$A$2:$K$200,10,FALSE),"")</f>
        <v/>
      </c>
      <c r="Q540" s="15" t="str">
        <f>IF(AND($E540=1,$F540=2),TRIM(CLEAN('入力シート（2事業場以降）'!J249)),"")&amp;""</f>
        <v/>
      </c>
      <c r="R540" s="15" t="str">
        <f>IF(AND($E540=1,$F540=2),TRIM(CLEAN('入力シート（2事業場以降）'!N249)),"")&amp;""</f>
        <v/>
      </c>
      <c r="S540" s="15" t="str">
        <f>IF(AND($E540=1,$F540=2),TRIM(CLEAN('入力シート（2事業場以降）'!R249)),"")&amp;""</f>
        <v/>
      </c>
      <c r="T540" s="15" t="str">
        <f>IF(AND($E540=1,$F540=2),TRIM(CLEAN('入力シート（2事業場以降）'!V249)),"")&amp;""</f>
        <v/>
      </c>
      <c r="W540" s="117" t="str">
        <f t="shared" ca="1" si="124"/>
        <v>OK</v>
      </c>
      <c r="X540" t="str">
        <f t="shared" ca="1" si="130"/>
        <v/>
      </c>
      <c r="Y540">
        <f t="shared" si="126"/>
        <v>1</v>
      </c>
      <c r="Z540">
        <f t="shared" si="133"/>
        <v>1</v>
      </c>
      <c r="AA540" s="36"/>
      <c r="AB540" t="str">
        <f t="shared" si="125"/>
        <v>コード番号を選択してください。</v>
      </c>
      <c r="AC540" t="s">
        <v>450</v>
      </c>
      <c r="AD540" t="str">
        <f t="shared" ref="AD540" si="141">AE539</f>
        <v>1台目の機器が入力されていません。
詰めて入力してください。</v>
      </c>
      <c r="AE540" t="str">
        <f>C539&amp;"台目の機器が入力されていません。"&amp;CHAR(10)&amp;"詰めて入力してください。"</f>
        <v>2台目の機器が入力されていません。
詰めて入力してください。</v>
      </c>
      <c r="AF540" t="s">
        <v>451</v>
      </c>
      <c r="AH540">
        <f t="shared" si="127"/>
        <v>9999</v>
      </c>
      <c r="AI540">
        <f>SMALL($AH$514:$AH$663,27)</f>
        <v>9999</v>
      </c>
      <c r="AJ540" t="e">
        <f t="shared" si="128"/>
        <v>#N/A</v>
      </c>
      <c r="AK540" t="str">
        <f t="shared" si="129"/>
        <v>事業場99</v>
      </c>
    </row>
    <row r="541" spans="2:37" x14ac:dyDescent="0.15">
      <c r="B541" s="5">
        <v>10</v>
      </c>
      <c r="C541" s="5">
        <v>1</v>
      </c>
      <c r="D541" s="4">
        <v>1001</v>
      </c>
      <c r="E541" s="4">
        <f t="shared" si="132"/>
        <v>0</v>
      </c>
      <c r="F541" s="15">
        <f>'入力シート（2事業場以降）'!AQ252</f>
        <v>0</v>
      </c>
      <c r="G541" s="4" t="str">
        <f>IF(AND($E541=1,$F541=1),'入力シート（2事業場以降）'!F252,"")&amp;""</f>
        <v/>
      </c>
      <c r="H541" s="15" t="str">
        <f>IFERROR(VLOOKUP($G541,補助対象機器一覧20220831!$A$2:$K$200,3,FALSE),"")</f>
        <v/>
      </c>
      <c r="I541" s="15" t="str">
        <f>IFERROR(VLOOKUP($G541,補助対象機器一覧20220831!$A$2:$K$200,4,FALSE),"")</f>
        <v/>
      </c>
      <c r="J541" s="15" t="str">
        <f>IFERROR(VLOOKUP($G541,補助対象機器一覧20220831!$A$2:$K$200,5,FALSE),"")</f>
        <v/>
      </c>
      <c r="K541" s="15" t="str">
        <f>IFERROR(VLOOKUP($G541,補助対象機器一覧20220831!$A$2:$K$200,6,FALSE),"")</f>
        <v/>
      </c>
      <c r="L541" s="4" t="str">
        <f>IF(AND($E541=1,$F541=1),'入力シート（2事業場以降）'!J252,"")&amp;""</f>
        <v/>
      </c>
      <c r="M541" s="4" t="str">
        <f>IF(AND($E541=1,$F541=1),'入力シート（2事業場以降）'!N252,"")&amp;""</f>
        <v/>
      </c>
      <c r="N541" s="4" t="str">
        <f>IF(AND($E541=1,$F541=1),'入力シート（2事業場以降）'!R252,"")&amp;""</f>
        <v/>
      </c>
      <c r="O541" s="4" t="str">
        <f>IF(AND($E541=1,$F541=1),'入力シート（2事業場以降）'!V252,"")&amp;""</f>
        <v/>
      </c>
      <c r="P541" s="4" t="str">
        <f>IFERROR(VLOOKUP($G541,補助対象機器一覧20220831!$A$2:$K$200,10,FALSE),"")</f>
        <v/>
      </c>
      <c r="Q541" s="15" t="str">
        <f>IF(AND($E541=1,$F541=2),TRIM(CLEAN('入力シート（2事業場以降）'!J254)),"")&amp;""</f>
        <v/>
      </c>
      <c r="R541" s="15" t="str">
        <f>IF(AND($E541=1,$F541=2),TRIM(CLEAN('入力シート（2事業場以降）'!N254)),"")&amp;""</f>
        <v/>
      </c>
      <c r="S541" s="15" t="str">
        <f>IF(AND($E541=1,$F541=2),TRIM(CLEAN('入力シート（2事業場以降）'!R254)),"")&amp;""</f>
        <v/>
      </c>
      <c r="T541" s="15" t="str">
        <f>IF(AND($E541=1,$F541=2),TRIM(CLEAN('入力シート（2事業場以降）'!V254)),"")&amp;""</f>
        <v/>
      </c>
      <c r="V541">
        <v>10</v>
      </c>
      <c r="W541" s="117" t="str">
        <f t="shared" ca="1" si="124"/>
        <v>OK</v>
      </c>
      <c r="X541" t="str">
        <f t="shared" ca="1" si="130"/>
        <v>交付申請時のコード番号を選択してください。
申請するコード番号が選べなかった場合は、コード番号の有無で「なし」を選択してください。</v>
      </c>
      <c r="Y541">
        <f t="shared" si="126"/>
        <v>1</v>
      </c>
      <c r="Z541">
        <f t="shared" si="133"/>
        <v>0</v>
      </c>
      <c r="AA541"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41" t="str">
        <f t="shared" si="125"/>
        <v>コード番号を選択してください。</v>
      </c>
      <c r="AC541" t="s">
        <v>450</v>
      </c>
      <c r="AD541" s="36"/>
      <c r="AE541" s="36"/>
      <c r="AF541" t="s">
        <v>451</v>
      </c>
      <c r="AH541">
        <f t="shared" si="127"/>
        <v>9999</v>
      </c>
      <c r="AI541">
        <f>SMALL($AH$514:$AH$663,28)</f>
        <v>9999</v>
      </c>
      <c r="AJ541" t="e">
        <f t="shared" si="128"/>
        <v>#N/A</v>
      </c>
      <c r="AK541" t="str">
        <f t="shared" si="129"/>
        <v>事業場99</v>
      </c>
    </row>
    <row r="542" spans="2:37" x14ac:dyDescent="0.15">
      <c r="B542" s="5">
        <v>10</v>
      </c>
      <c r="C542" s="5">
        <v>2</v>
      </c>
      <c r="D542" s="4">
        <v>1002</v>
      </c>
      <c r="E542" s="4">
        <f t="shared" si="132"/>
        <v>0</v>
      </c>
      <c r="F542" s="15">
        <f>'入力シート（2事業場以降）'!AQ256</f>
        <v>0</v>
      </c>
      <c r="G542" s="4" t="str">
        <f>IF(AND($E542=1,$F542=1),'入力シート（2事業場以降）'!F256,"")&amp;""</f>
        <v/>
      </c>
      <c r="H542" s="15" t="str">
        <f>IFERROR(VLOOKUP($G542,補助対象機器一覧20220831!$A$2:$K$200,3,FALSE),"")</f>
        <v/>
      </c>
      <c r="I542" s="15" t="str">
        <f>IFERROR(VLOOKUP($G542,補助対象機器一覧20220831!$A$2:$K$200,4,FALSE),"")</f>
        <v/>
      </c>
      <c r="J542" s="15" t="str">
        <f>IFERROR(VLOOKUP($G542,補助対象機器一覧20220831!$A$2:$K$200,5,FALSE),"")</f>
        <v/>
      </c>
      <c r="K542" s="15" t="str">
        <f>IFERROR(VLOOKUP($G542,補助対象機器一覧20220831!$A$2:$K$200,6,FALSE),"")</f>
        <v/>
      </c>
      <c r="L542" s="4" t="str">
        <f>IF(AND($E542=1,$F542=1),'入力シート（2事業場以降）'!J256,"")&amp;""</f>
        <v/>
      </c>
      <c r="M542" s="4" t="str">
        <f>IF(AND($E542=1,$F542=1),'入力シート（2事業場以降）'!N256,"")&amp;""</f>
        <v/>
      </c>
      <c r="N542" s="4" t="str">
        <f>IF(AND($E542=1,$F542=1),'入力シート（2事業場以降）'!R256,"")&amp;""</f>
        <v/>
      </c>
      <c r="O542" s="4" t="str">
        <f>IF(AND($E542=1,$F542=1),'入力シート（2事業場以降）'!V256,"")&amp;""</f>
        <v/>
      </c>
      <c r="P542" s="4" t="str">
        <f>IFERROR(VLOOKUP($G542,補助対象機器一覧20220831!$A$2:$K$200,10,FALSE),"")</f>
        <v/>
      </c>
      <c r="Q542" s="15" t="str">
        <f>IF(AND($E542=1,$F542=2),TRIM(CLEAN('入力シート（2事業場以降）'!J258)),"")&amp;""</f>
        <v/>
      </c>
      <c r="R542" s="15" t="str">
        <f>IF(AND($E542=1,$F542=2),TRIM(CLEAN('入力シート（2事業場以降）'!N258)),"")&amp;""</f>
        <v/>
      </c>
      <c r="S542" s="15" t="str">
        <f>IF(AND($E542=1,$F542=2),TRIM(CLEAN('入力シート（2事業場以降）'!R258)),"")&amp;""</f>
        <v/>
      </c>
      <c r="T542" s="15" t="str">
        <f>IF(AND($E542=1,$F542=2),TRIM(CLEAN('入力シート（2事業場以降）'!V258)),"")&amp;""</f>
        <v/>
      </c>
      <c r="W542" s="117" t="str">
        <f t="shared" ca="1" si="124"/>
        <v>OK</v>
      </c>
      <c r="X542" t="str">
        <f t="shared" ca="1" si="130"/>
        <v/>
      </c>
      <c r="Y542">
        <f t="shared" si="126"/>
        <v>1</v>
      </c>
      <c r="Z542">
        <f t="shared" si="133"/>
        <v>2</v>
      </c>
      <c r="AA542" s="36"/>
      <c r="AB542" t="str">
        <f t="shared" si="125"/>
        <v>コード番号を選択してください。</v>
      </c>
      <c r="AC542" t="s">
        <v>450</v>
      </c>
      <c r="AD542" s="36"/>
      <c r="AE542" t="str">
        <f>C541&amp;"台目の機器が入力されていません。"&amp;CHAR(10)&amp;"詰めて入力してください。"</f>
        <v>1台目の機器が入力されていません。
詰めて入力してください。</v>
      </c>
      <c r="AF542" t="s">
        <v>451</v>
      </c>
      <c r="AH542">
        <f t="shared" si="127"/>
        <v>9999</v>
      </c>
      <c r="AI542">
        <f>SMALL($AH$514:$AH$663,29)</f>
        <v>9999</v>
      </c>
      <c r="AJ542" t="e">
        <f t="shared" si="128"/>
        <v>#N/A</v>
      </c>
      <c r="AK542" t="str">
        <f t="shared" si="129"/>
        <v>事業場99</v>
      </c>
    </row>
    <row r="543" spans="2:37" x14ac:dyDescent="0.15">
      <c r="B543" s="5">
        <v>10</v>
      </c>
      <c r="C543" s="5">
        <v>3</v>
      </c>
      <c r="D543" s="4">
        <v>1003</v>
      </c>
      <c r="E543" s="4">
        <f t="shared" si="132"/>
        <v>0</v>
      </c>
      <c r="F543" s="15">
        <f>'入力シート（2事業場以降）'!AQ260</f>
        <v>0</v>
      </c>
      <c r="G543" s="4" t="str">
        <f>IF(AND($E543=1,$F543=1),'入力シート（2事業場以降）'!F260,"")&amp;""</f>
        <v/>
      </c>
      <c r="H543" s="15" t="str">
        <f>IFERROR(VLOOKUP($G543,補助対象機器一覧20220831!$A$2:$K$200,3,FALSE),"")</f>
        <v/>
      </c>
      <c r="I543" s="15" t="str">
        <f>IFERROR(VLOOKUP($G543,補助対象機器一覧20220831!$A$2:$K$200,4,FALSE),"")</f>
        <v/>
      </c>
      <c r="J543" s="15" t="str">
        <f>IFERROR(VLOOKUP($G543,補助対象機器一覧20220831!$A$2:$K$200,5,FALSE),"")</f>
        <v/>
      </c>
      <c r="K543" s="15" t="str">
        <f>IFERROR(VLOOKUP($G543,補助対象機器一覧20220831!$A$2:$K$200,6,FALSE),"")</f>
        <v/>
      </c>
      <c r="L543" s="4" t="str">
        <f>IF(AND($E543=1,$F543=1),'入力シート（2事業場以降）'!J260,"")&amp;""</f>
        <v/>
      </c>
      <c r="M543" s="4" t="str">
        <f>IF(AND($E543=1,$F543=1),'入力シート（2事業場以降）'!N260,"")&amp;""</f>
        <v/>
      </c>
      <c r="N543" s="4" t="str">
        <f>IF(AND($E543=1,$F543=1),'入力シート（2事業場以降）'!R260,"")&amp;""</f>
        <v/>
      </c>
      <c r="O543" s="4" t="str">
        <f>IF(AND($E543=1,$F543=1),'入力シート（2事業場以降）'!V260,"")&amp;""</f>
        <v/>
      </c>
      <c r="P543" s="4" t="str">
        <f>IFERROR(VLOOKUP($G543,補助対象機器一覧20220831!$A$2:$K$200,10,FALSE),"")</f>
        <v/>
      </c>
      <c r="Q543" s="15" t="str">
        <f>IF(AND($E543=1,$F543=2),TRIM(CLEAN('入力シート（2事業場以降）'!J262)),"")&amp;""</f>
        <v/>
      </c>
      <c r="R543" s="15" t="str">
        <f>IF(AND($E543=1,$F543=2),TRIM(CLEAN('入力シート（2事業場以降）'!N262)),"")&amp;""</f>
        <v/>
      </c>
      <c r="S543" s="15" t="str">
        <f>IF(AND($E543=1,$F543=2),TRIM(CLEAN('入力シート（2事業場以降）'!R262)),"")&amp;""</f>
        <v/>
      </c>
      <c r="T543" s="15" t="str">
        <f>IF(AND($E543=1,$F543=2),TRIM(CLEAN('入力シート（2事業場以降）'!V262)),"")&amp;""</f>
        <v/>
      </c>
      <c r="W543" s="117" t="str">
        <f t="shared" ca="1" si="124"/>
        <v>OK</v>
      </c>
      <c r="X543" t="str">
        <f t="shared" ca="1" si="130"/>
        <v/>
      </c>
      <c r="Y543">
        <f t="shared" si="126"/>
        <v>1</v>
      </c>
      <c r="Z543">
        <f t="shared" si="133"/>
        <v>1</v>
      </c>
      <c r="AA543" s="36"/>
      <c r="AB543" t="str">
        <f t="shared" si="125"/>
        <v>コード番号を選択してください。</v>
      </c>
      <c r="AC543" t="s">
        <v>450</v>
      </c>
      <c r="AD543" t="str">
        <f t="shared" ref="AD543" si="142">AE542</f>
        <v>1台目の機器が入力されていません。
詰めて入力してください。</v>
      </c>
      <c r="AE543" t="str">
        <f>C542&amp;"台目の機器が入力されていません。"&amp;CHAR(10)&amp;"詰めて入力してください。"</f>
        <v>2台目の機器が入力されていません。
詰めて入力してください。</v>
      </c>
      <c r="AF543" t="s">
        <v>451</v>
      </c>
      <c r="AH543">
        <f t="shared" si="127"/>
        <v>9999</v>
      </c>
      <c r="AI543">
        <f>SMALL($AH$514:$AH$663,30)</f>
        <v>9999</v>
      </c>
      <c r="AJ543" t="e">
        <f t="shared" si="128"/>
        <v>#N/A</v>
      </c>
      <c r="AK543" t="str">
        <f t="shared" si="129"/>
        <v>事業場99</v>
      </c>
    </row>
    <row r="544" spans="2:37" x14ac:dyDescent="0.15">
      <c r="B544" s="5">
        <v>11</v>
      </c>
      <c r="C544" s="5">
        <v>1</v>
      </c>
      <c r="D544" s="4">
        <v>1101</v>
      </c>
      <c r="E544" s="4">
        <f t="shared" si="132"/>
        <v>0</v>
      </c>
      <c r="F544" s="15">
        <f>'入力シート（2事業場以降）'!AQ265</f>
        <v>0</v>
      </c>
      <c r="G544" s="4" t="str">
        <f>IF(AND($E544=1,$F544=1),'入力シート（2事業場以降）'!F265,"")&amp;""</f>
        <v/>
      </c>
      <c r="H544" s="15" t="str">
        <f>IFERROR(VLOOKUP($G544,補助対象機器一覧20220831!$A$2:$K$200,3,FALSE),"")</f>
        <v/>
      </c>
      <c r="I544" s="15" t="str">
        <f>IFERROR(VLOOKUP($G544,補助対象機器一覧20220831!$A$2:$K$200,4,FALSE),"")</f>
        <v/>
      </c>
      <c r="J544" s="15" t="str">
        <f>IFERROR(VLOOKUP($G544,補助対象機器一覧20220831!$A$2:$K$200,5,FALSE),"")</f>
        <v/>
      </c>
      <c r="K544" s="15" t="str">
        <f>IFERROR(VLOOKUP($G544,補助対象機器一覧20220831!$A$2:$K$200,6,FALSE),"")</f>
        <v/>
      </c>
      <c r="L544" s="4" t="str">
        <f>IF(AND($E544=1,$F544=1),'入力シート（2事業場以降）'!J265,"")&amp;""</f>
        <v/>
      </c>
      <c r="M544" s="4" t="str">
        <f>IF(AND($E544=1,$F544=1),'入力シート（2事業場以降）'!N265,"")&amp;""</f>
        <v/>
      </c>
      <c r="N544" s="4" t="str">
        <f>IF(AND($E544=1,$F544=1),'入力シート（2事業場以降）'!R265,"")&amp;""</f>
        <v/>
      </c>
      <c r="O544" s="4" t="str">
        <f>IF(AND($E544=1,$F544=1),'入力シート（2事業場以降）'!V265,"")&amp;""</f>
        <v/>
      </c>
      <c r="P544" s="4" t="str">
        <f>IFERROR(VLOOKUP($G544,補助対象機器一覧20220831!$A$2:$K$200,10,FALSE),"")</f>
        <v/>
      </c>
      <c r="Q544" s="15" t="str">
        <f>IF(AND($E544=1,$F544=2),TRIM(CLEAN('入力シート（2事業場以降）'!J267)),"")&amp;""</f>
        <v/>
      </c>
      <c r="R544" s="15" t="str">
        <f>IF(AND($E544=1,$F544=2),TRIM(CLEAN('入力シート（2事業場以降）'!N267)),"")&amp;""</f>
        <v/>
      </c>
      <c r="S544" s="15" t="str">
        <f>IF(AND($E544=1,$F544=2),TRIM(CLEAN('入力シート（2事業場以降）'!R267)),"")&amp;""</f>
        <v/>
      </c>
      <c r="T544" s="15" t="str">
        <f>IF(AND($E544=1,$F544=2),TRIM(CLEAN('入力シート（2事業場以降）'!V267)),"")&amp;""</f>
        <v/>
      </c>
      <c r="V544">
        <v>1</v>
      </c>
      <c r="W544" s="117" t="str">
        <f t="shared" ca="1" si="124"/>
        <v>OK</v>
      </c>
      <c r="X544" t="str">
        <f t="shared" ca="1" si="130"/>
        <v>交付申請時のコード番号を選択してください。
申請するコード番号が選べなかった場合は、コード番号の有無で「なし」を選択してください。</v>
      </c>
      <c r="Y544">
        <f t="shared" si="126"/>
        <v>1</v>
      </c>
      <c r="Z544">
        <f t="shared" si="133"/>
        <v>0</v>
      </c>
      <c r="AA544"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44" t="str">
        <f t="shared" si="125"/>
        <v>コード番号を選択してください。</v>
      </c>
      <c r="AC544" t="s">
        <v>450</v>
      </c>
      <c r="AD544" s="36"/>
      <c r="AE544" s="36"/>
      <c r="AF544" t="s">
        <v>451</v>
      </c>
      <c r="AH544">
        <f t="shared" si="127"/>
        <v>9999</v>
      </c>
      <c r="AI544">
        <f>SMALL($AH$514:$AH$663,31)</f>
        <v>9999</v>
      </c>
      <c r="AJ544" t="e">
        <f t="shared" si="128"/>
        <v>#N/A</v>
      </c>
      <c r="AK544" t="str">
        <f t="shared" si="129"/>
        <v>事業場99</v>
      </c>
    </row>
    <row r="545" spans="2:37" x14ac:dyDescent="0.15">
      <c r="B545" s="5">
        <v>11</v>
      </c>
      <c r="C545" s="5">
        <v>2</v>
      </c>
      <c r="D545" s="4">
        <v>1102</v>
      </c>
      <c r="E545" s="4">
        <f t="shared" si="132"/>
        <v>0</v>
      </c>
      <c r="F545" s="15">
        <f>'入力シート（2事業場以降）'!AQ269</f>
        <v>0</v>
      </c>
      <c r="G545" s="4" t="str">
        <f>IF(AND($E545=1,$F545=1),'入力シート（2事業場以降）'!F269,"")&amp;""</f>
        <v/>
      </c>
      <c r="H545" s="15" t="str">
        <f>IFERROR(VLOOKUP($G545,補助対象機器一覧20220831!$A$2:$K$200,3,FALSE),"")</f>
        <v/>
      </c>
      <c r="I545" s="15" t="str">
        <f>IFERROR(VLOOKUP($G545,補助対象機器一覧20220831!$A$2:$K$200,4,FALSE),"")</f>
        <v/>
      </c>
      <c r="J545" s="15" t="str">
        <f>IFERROR(VLOOKUP($G545,補助対象機器一覧20220831!$A$2:$K$200,5,FALSE),"")</f>
        <v/>
      </c>
      <c r="K545" s="15" t="str">
        <f>IFERROR(VLOOKUP($G545,補助対象機器一覧20220831!$A$2:$K$200,6,FALSE),"")</f>
        <v/>
      </c>
      <c r="L545" s="4" t="str">
        <f>IF(AND($E545=1,$F545=1),'入力シート（2事業場以降）'!J269,"")&amp;""</f>
        <v/>
      </c>
      <c r="M545" s="4" t="str">
        <f>IF(AND($E545=1,$F545=1),'入力シート（2事業場以降）'!N269,"")&amp;""</f>
        <v/>
      </c>
      <c r="N545" s="4" t="str">
        <f>IF(AND($E545=1,$F545=1),'入力シート（2事業場以降）'!R269,"")&amp;""</f>
        <v/>
      </c>
      <c r="O545" s="4" t="str">
        <f>IF(AND($E545=1,$F545=1),'入力シート（2事業場以降）'!V269,"")&amp;""</f>
        <v/>
      </c>
      <c r="P545" s="4" t="str">
        <f>IFERROR(VLOOKUP($G545,補助対象機器一覧20220831!$A$2:$K$200,10,FALSE),"")</f>
        <v/>
      </c>
      <c r="Q545" s="15" t="str">
        <f>IF(AND($E545=1,$F545=2),TRIM(CLEAN('入力シート（2事業場以降）'!J271)),"")&amp;""</f>
        <v/>
      </c>
      <c r="R545" s="15" t="str">
        <f>IF(AND($E545=1,$F545=2),TRIM(CLEAN('入力シート（2事業場以降）'!N271)),"")&amp;""</f>
        <v/>
      </c>
      <c r="S545" s="15" t="str">
        <f>IF(AND($E545=1,$F545=2),TRIM(CLEAN('入力シート（2事業場以降）'!R271)),"")&amp;""</f>
        <v/>
      </c>
      <c r="T545" s="15" t="str">
        <f>IF(AND($E545=1,$F545=2),TRIM(CLEAN('入力シート（2事業場以降）'!V271)),"")&amp;""</f>
        <v/>
      </c>
      <c r="W545" s="117" t="str">
        <f t="shared" ca="1" si="124"/>
        <v>OK</v>
      </c>
      <c r="X545" t="str">
        <f t="shared" ca="1" si="130"/>
        <v/>
      </c>
      <c r="Y545">
        <f t="shared" si="126"/>
        <v>1</v>
      </c>
      <c r="Z545">
        <f t="shared" si="133"/>
        <v>2</v>
      </c>
      <c r="AA545" s="36"/>
      <c r="AB545" t="str">
        <f t="shared" si="125"/>
        <v>コード番号を選択してください。</v>
      </c>
      <c r="AC545" t="s">
        <v>450</v>
      </c>
      <c r="AD545" s="36"/>
      <c r="AE545" t="str">
        <f>C544&amp;"台目の機器が入力されていません。"&amp;CHAR(10)&amp;"詰めて入力してください。"</f>
        <v>1台目の機器が入力されていません。
詰めて入力してください。</v>
      </c>
      <c r="AF545" t="s">
        <v>451</v>
      </c>
      <c r="AH545">
        <f t="shared" si="127"/>
        <v>9999</v>
      </c>
      <c r="AI545">
        <f>SMALL($AH$514:$AH$663,32)</f>
        <v>9999</v>
      </c>
      <c r="AJ545" t="e">
        <f t="shared" si="128"/>
        <v>#N/A</v>
      </c>
      <c r="AK545" t="str">
        <f t="shared" si="129"/>
        <v>事業場99</v>
      </c>
    </row>
    <row r="546" spans="2:37" x14ac:dyDescent="0.15">
      <c r="B546" s="5">
        <v>11</v>
      </c>
      <c r="C546" s="5">
        <v>3</v>
      </c>
      <c r="D546" s="4">
        <v>1103</v>
      </c>
      <c r="E546" s="4">
        <f t="shared" si="132"/>
        <v>0</v>
      </c>
      <c r="F546" s="15">
        <f>'入力シート（2事業場以降）'!AQ273</f>
        <v>0</v>
      </c>
      <c r="G546" s="4" t="str">
        <f>IF(AND($E546=1,$F546=1),'入力シート（2事業場以降）'!F273,"")&amp;""</f>
        <v/>
      </c>
      <c r="H546" s="15" t="str">
        <f>IFERROR(VLOOKUP($G546,補助対象機器一覧20220831!$A$2:$K$200,3,FALSE),"")</f>
        <v/>
      </c>
      <c r="I546" s="15" t="str">
        <f>IFERROR(VLOOKUP($G546,補助対象機器一覧20220831!$A$2:$K$200,4,FALSE),"")</f>
        <v/>
      </c>
      <c r="J546" s="15" t="str">
        <f>IFERROR(VLOOKUP($G546,補助対象機器一覧20220831!$A$2:$K$200,5,FALSE),"")</f>
        <v/>
      </c>
      <c r="K546" s="15" t="str">
        <f>IFERROR(VLOOKUP($G546,補助対象機器一覧20220831!$A$2:$K$200,6,FALSE),"")</f>
        <v/>
      </c>
      <c r="L546" s="4" t="str">
        <f>IF(AND($E546=1,$F546=1),'入力シート（2事業場以降）'!J273,"")&amp;""</f>
        <v/>
      </c>
      <c r="M546" s="4" t="str">
        <f>IF(AND($E546=1,$F546=1),'入力シート（2事業場以降）'!N273,"")&amp;""</f>
        <v/>
      </c>
      <c r="N546" s="4" t="str">
        <f>IF(AND($E546=1,$F546=1),'入力シート（2事業場以降）'!R273,"")&amp;""</f>
        <v/>
      </c>
      <c r="O546" s="4" t="str">
        <f>IF(AND($E546=1,$F546=1),'入力シート（2事業場以降）'!V273,"")&amp;""</f>
        <v/>
      </c>
      <c r="P546" s="4" t="str">
        <f>IFERROR(VLOOKUP($G546,補助対象機器一覧20220831!$A$2:$K$200,10,FALSE),"")</f>
        <v/>
      </c>
      <c r="Q546" s="15" t="str">
        <f>IF(AND($E546=1,$F546=2),TRIM(CLEAN('入力シート（2事業場以降）'!J275)),"")&amp;""</f>
        <v/>
      </c>
      <c r="R546" s="15" t="str">
        <f>IF(AND($E546=1,$F546=2),TRIM(CLEAN('入力シート（2事業場以降）'!N275)),"")&amp;""</f>
        <v/>
      </c>
      <c r="S546" s="15" t="str">
        <f>IF(AND($E546=1,$F546=2),TRIM(CLEAN('入力シート（2事業場以降）'!R275)),"")&amp;""</f>
        <v/>
      </c>
      <c r="T546" s="15" t="str">
        <f>IF(AND($E546=1,$F546=2),TRIM(CLEAN('入力シート（2事業場以降）'!V275)),"")&amp;""</f>
        <v/>
      </c>
      <c r="W546" s="117" t="str">
        <f t="shared" ref="W546:W577" ca="1" si="143">IF(AND(B546&lt;=$G$60,X546&lt;&gt;""),IF(X546="OK",X546,"NG"),"OK")</f>
        <v>OK</v>
      </c>
      <c r="X546" t="str">
        <f t="shared" ca="1" si="130"/>
        <v/>
      </c>
      <c r="Y546">
        <f t="shared" si="126"/>
        <v>1</v>
      </c>
      <c r="Z546">
        <f t="shared" si="133"/>
        <v>1</v>
      </c>
      <c r="AA546" s="36"/>
      <c r="AB546" t="str">
        <f t="shared" ref="AB546:AB577" si="144">$G$513&amp;"を選択してください。"</f>
        <v>コード番号を選択してください。</v>
      </c>
      <c r="AC546" t="s">
        <v>450</v>
      </c>
      <c r="AD546" t="str">
        <f t="shared" ref="AD546" si="145">AE545</f>
        <v>1台目の機器が入力されていません。
詰めて入力してください。</v>
      </c>
      <c r="AE546" t="str">
        <f>C545&amp;"台目の機器が入力されていません。"&amp;CHAR(10)&amp;"詰めて入力してください。"</f>
        <v>2台目の機器が入力されていません。
詰めて入力してください。</v>
      </c>
      <c r="AF546" t="s">
        <v>451</v>
      </c>
      <c r="AH546">
        <f t="shared" si="127"/>
        <v>9999</v>
      </c>
      <c r="AI546">
        <f>SMALL($AH$514:$AH$663,33)</f>
        <v>9999</v>
      </c>
      <c r="AJ546" t="e">
        <f t="shared" si="128"/>
        <v>#N/A</v>
      </c>
      <c r="AK546" t="str">
        <f t="shared" si="129"/>
        <v>事業場99</v>
      </c>
    </row>
    <row r="547" spans="2:37" x14ac:dyDescent="0.15">
      <c r="B547" s="5">
        <v>12</v>
      </c>
      <c r="C547" s="5">
        <v>1</v>
      </c>
      <c r="D547" s="4">
        <v>1201</v>
      </c>
      <c r="E547" s="4">
        <f t="shared" si="132"/>
        <v>0</v>
      </c>
      <c r="F547" s="15">
        <f>'入力シート（2事業場以降）'!AQ278</f>
        <v>0</v>
      </c>
      <c r="G547" s="4" t="str">
        <f>IF(AND($E547=1,$F547=1),'入力シート（2事業場以降）'!F278,"")&amp;""</f>
        <v/>
      </c>
      <c r="H547" s="15" t="str">
        <f>IFERROR(VLOOKUP($G547,補助対象機器一覧20220831!$A$2:$K$200,3,FALSE),"")</f>
        <v/>
      </c>
      <c r="I547" s="15" t="str">
        <f>IFERROR(VLOOKUP($G547,補助対象機器一覧20220831!$A$2:$K$200,4,FALSE),"")</f>
        <v/>
      </c>
      <c r="J547" s="15" t="str">
        <f>IFERROR(VLOOKUP($G547,補助対象機器一覧20220831!$A$2:$K$200,5,FALSE),"")</f>
        <v/>
      </c>
      <c r="K547" s="15" t="str">
        <f>IFERROR(VLOOKUP($G547,補助対象機器一覧20220831!$A$2:$K$200,6,FALSE),"")</f>
        <v/>
      </c>
      <c r="L547" s="4" t="str">
        <f>IF(AND($E547=1,$F547=1),'入力シート（2事業場以降）'!J278,"")&amp;""</f>
        <v/>
      </c>
      <c r="M547" s="4" t="str">
        <f>IF(AND($E547=1,$F547=1),'入力シート（2事業場以降）'!N278,"")&amp;""</f>
        <v/>
      </c>
      <c r="N547" s="4" t="str">
        <f>IF(AND($E547=1,$F547=1),'入力シート（2事業場以降）'!R278,"")&amp;""</f>
        <v/>
      </c>
      <c r="O547" s="4" t="str">
        <f>IF(AND($E547=1,$F547=1),'入力シート（2事業場以降）'!V278,"")&amp;""</f>
        <v/>
      </c>
      <c r="P547" s="4" t="str">
        <f>IFERROR(VLOOKUP($G547,補助対象機器一覧20220831!$A$2:$K$200,10,FALSE),"")</f>
        <v/>
      </c>
      <c r="Q547" s="15" t="str">
        <f>IF(AND($E547=1,$F547=2),TRIM(CLEAN('入力シート（2事業場以降）'!J280)),"")&amp;""</f>
        <v/>
      </c>
      <c r="R547" s="15" t="str">
        <f>IF(AND($E547=1,$F547=2),TRIM(CLEAN('入力シート（2事業場以降）'!N280)),"")&amp;""</f>
        <v/>
      </c>
      <c r="S547" s="15" t="str">
        <f>IF(AND($E547=1,$F547=2),TRIM(CLEAN('入力シート（2事業場以降）'!R280)),"")&amp;""</f>
        <v/>
      </c>
      <c r="T547" s="15" t="str">
        <f>IF(AND($E547=1,$F547=2),TRIM(CLEAN('入力シート（2事業場以降）'!V280)),"")&amp;""</f>
        <v/>
      </c>
      <c r="V547">
        <v>2</v>
      </c>
      <c r="W547" s="117" t="str">
        <f t="shared" ca="1" si="143"/>
        <v>OK</v>
      </c>
      <c r="X547" t="str">
        <f t="shared" ca="1" si="130"/>
        <v>交付申請時のコード番号を選択してください。
申請するコード番号が選べなかった場合は、コード番号の有無で「なし」を選択してください。</v>
      </c>
      <c r="Y547">
        <f t="shared" si="126"/>
        <v>1</v>
      </c>
      <c r="Z547">
        <f t="shared" si="133"/>
        <v>0</v>
      </c>
      <c r="AA547"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47" t="str">
        <f t="shared" si="144"/>
        <v>コード番号を選択してください。</v>
      </c>
      <c r="AC547" t="s">
        <v>450</v>
      </c>
      <c r="AD547" s="36"/>
      <c r="AE547" s="36"/>
      <c r="AF547" t="s">
        <v>451</v>
      </c>
      <c r="AH547">
        <f t="shared" si="127"/>
        <v>9999</v>
      </c>
      <c r="AI547">
        <f>SMALL($AH$514:$AH$663,34)</f>
        <v>9999</v>
      </c>
      <c r="AJ547" t="e">
        <f t="shared" si="128"/>
        <v>#N/A</v>
      </c>
      <c r="AK547" t="str">
        <f t="shared" si="129"/>
        <v>事業場99</v>
      </c>
    </row>
    <row r="548" spans="2:37" x14ac:dyDescent="0.15">
      <c r="B548" s="5">
        <v>12</v>
      </c>
      <c r="C548" s="5">
        <v>2</v>
      </c>
      <c r="D548" s="4">
        <v>1202</v>
      </c>
      <c r="E548" s="4">
        <f t="shared" si="132"/>
        <v>0</v>
      </c>
      <c r="F548" s="15">
        <f>'入力シート（2事業場以降）'!AQ282</f>
        <v>0</v>
      </c>
      <c r="G548" s="4" t="str">
        <f>IF(AND($E548=1,$F548=1),'入力シート（2事業場以降）'!F282,"")&amp;""</f>
        <v/>
      </c>
      <c r="H548" s="15" t="str">
        <f>IFERROR(VLOOKUP($G548,補助対象機器一覧20220831!$A$2:$K$200,3,FALSE),"")</f>
        <v/>
      </c>
      <c r="I548" s="15" t="str">
        <f>IFERROR(VLOOKUP($G548,補助対象機器一覧20220831!$A$2:$K$200,4,FALSE),"")</f>
        <v/>
      </c>
      <c r="J548" s="15" t="str">
        <f>IFERROR(VLOOKUP($G548,補助対象機器一覧20220831!$A$2:$K$200,5,FALSE),"")</f>
        <v/>
      </c>
      <c r="K548" s="15" t="str">
        <f>IFERROR(VLOOKUP($G548,補助対象機器一覧20220831!$A$2:$K$200,6,FALSE),"")</f>
        <v/>
      </c>
      <c r="L548" s="4" t="str">
        <f>IF(AND($E548=1,$F548=1),'入力シート（2事業場以降）'!J282,"")&amp;""</f>
        <v/>
      </c>
      <c r="M548" s="4" t="str">
        <f>IF(AND($E548=1,$F548=1),'入力シート（2事業場以降）'!N282,"")&amp;""</f>
        <v/>
      </c>
      <c r="N548" s="4" t="str">
        <f>IF(AND($E548=1,$F548=1),'入力シート（2事業場以降）'!R282,"")&amp;""</f>
        <v/>
      </c>
      <c r="O548" s="4" t="str">
        <f>IF(AND($E548=1,$F548=1),'入力シート（2事業場以降）'!V282,"")&amp;""</f>
        <v/>
      </c>
      <c r="P548" s="4" t="str">
        <f>IFERROR(VLOOKUP($G548,補助対象機器一覧20220831!$A$2:$K$200,10,FALSE),"")</f>
        <v/>
      </c>
      <c r="Q548" s="15" t="str">
        <f>IF(AND($E548=1,$F548=2),TRIM(CLEAN('入力シート（2事業場以降）'!J284)),"")&amp;""</f>
        <v/>
      </c>
      <c r="R548" s="15" t="str">
        <f>IF(AND($E548=1,$F548=2),TRIM(CLEAN('入力シート（2事業場以降）'!N284)),"")&amp;""</f>
        <v/>
      </c>
      <c r="S548" s="15" t="str">
        <f>IF(AND($E548=1,$F548=2),TRIM(CLEAN('入力シート（2事業場以降）'!R284)),"")&amp;""</f>
        <v/>
      </c>
      <c r="T548" s="15" t="str">
        <f>IF(AND($E548=1,$F548=2),TRIM(CLEAN('入力シート（2事業場以降）'!V284)),"")&amp;""</f>
        <v/>
      </c>
      <c r="W548" s="117" t="str">
        <f t="shared" ca="1" si="143"/>
        <v>OK</v>
      </c>
      <c r="X548" t="str">
        <f t="shared" ca="1" si="130"/>
        <v/>
      </c>
      <c r="Y548">
        <f t="shared" si="126"/>
        <v>1</v>
      </c>
      <c r="Z548">
        <f t="shared" si="133"/>
        <v>2</v>
      </c>
      <c r="AA548" s="36"/>
      <c r="AB548" t="str">
        <f t="shared" si="144"/>
        <v>コード番号を選択してください。</v>
      </c>
      <c r="AC548" t="s">
        <v>450</v>
      </c>
      <c r="AD548" s="36"/>
      <c r="AE548" t="str">
        <f>C547&amp;"台目の機器が入力されていません。"&amp;CHAR(10)&amp;"詰めて入力してください。"</f>
        <v>1台目の機器が入力されていません。
詰めて入力してください。</v>
      </c>
      <c r="AF548" t="s">
        <v>451</v>
      </c>
      <c r="AH548">
        <f t="shared" si="127"/>
        <v>9999</v>
      </c>
      <c r="AI548">
        <f>SMALL($AH$514:$AH$663,35)</f>
        <v>9999</v>
      </c>
      <c r="AJ548" t="e">
        <f t="shared" si="128"/>
        <v>#N/A</v>
      </c>
      <c r="AK548" t="str">
        <f t="shared" si="129"/>
        <v>事業場99</v>
      </c>
    </row>
    <row r="549" spans="2:37" x14ac:dyDescent="0.15">
      <c r="B549" s="5">
        <v>12</v>
      </c>
      <c r="C549" s="5">
        <v>3</v>
      </c>
      <c r="D549" s="4">
        <v>1203</v>
      </c>
      <c r="E549" s="4">
        <f t="shared" ref="E549:E580" si="146">IF(AND(B703&lt;=$G$60),1,0)</f>
        <v>0</v>
      </c>
      <c r="F549" s="15">
        <f>'入力シート（2事業場以降）'!AQ286</f>
        <v>0</v>
      </c>
      <c r="G549" s="4" t="str">
        <f>IF(AND($E549=1,$F549=1),'入力シート（2事業場以降）'!F286,"")&amp;""</f>
        <v/>
      </c>
      <c r="H549" s="15" t="str">
        <f>IFERROR(VLOOKUP($G549,補助対象機器一覧20220831!$A$2:$K$200,3,FALSE),"")</f>
        <v/>
      </c>
      <c r="I549" s="15" t="str">
        <f>IFERROR(VLOOKUP($G549,補助対象機器一覧20220831!$A$2:$K$200,4,FALSE),"")</f>
        <v/>
      </c>
      <c r="J549" s="15" t="str">
        <f>IFERROR(VLOOKUP($G549,補助対象機器一覧20220831!$A$2:$K$200,5,FALSE),"")</f>
        <v/>
      </c>
      <c r="K549" s="15" t="str">
        <f>IFERROR(VLOOKUP($G549,補助対象機器一覧20220831!$A$2:$K$200,6,FALSE),"")</f>
        <v/>
      </c>
      <c r="L549" s="4" t="str">
        <f>IF(AND($E549=1,$F549=1),'入力シート（2事業場以降）'!J286,"")&amp;""</f>
        <v/>
      </c>
      <c r="M549" s="4" t="str">
        <f>IF(AND($E549=1,$F549=1),'入力シート（2事業場以降）'!N286,"")&amp;""</f>
        <v/>
      </c>
      <c r="N549" s="4" t="str">
        <f>IF(AND($E549=1,$F549=1),'入力シート（2事業場以降）'!R286,"")&amp;""</f>
        <v/>
      </c>
      <c r="O549" s="4" t="str">
        <f>IF(AND($E549=1,$F549=1),'入力シート（2事業場以降）'!V286,"")&amp;""</f>
        <v/>
      </c>
      <c r="P549" s="4" t="str">
        <f>IFERROR(VLOOKUP($G549,補助対象機器一覧20220831!$A$2:$K$200,10,FALSE),"")</f>
        <v/>
      </c>
      <c r="Q549" s="15" t="str">
        <f>IF(AND($E549=1,$F549=2),TRIM(CLEAN('入力シート（2事業場以降）'!J288)),"")&amp;""</f>
        <v/>
      </c>
      <c r="R549" s="15" t="str">
        <f>IF(AND($E549=1,$F549=2),TRIM(CLEAN('入力シート（2事業場以降）'!N288)),"")&amp;""</f>
        <v/>
      </c>
      <c r="S549" s="15" t="str">
        <f>IF(AND($E549=1,$F549=2),TRIM(CLEAN('入力シート（2事業場以降）'!R288)),"")&amp;""</f>
        <v/>
      </c>
      <c r="T549" s="15" t="str">
        <f>IF(AND($E549=1,$F549=2),TRIM(CLEAN('入力シート（2事業場以降）'!V288)),"")&amp;""</f>
        <v/>
      </c>
      <c r="W549" s="117" t="str">
        <f t="shared" ca="1" si="143"/>
        <v>OK</v>
      </c>
      <c r="X549" t="str">
        <f t="shared" ca="1" si="130"/>
        <v/>
      </c>
      <c r="Y549">
        <f t="shared" si="126"/>
        <v>1</v>
      </c>
      <c r="Z549">
        <f t="shared" si="133"/>
        <v>1</v>
      </c>
      <c r="AA549" s="36"/>
      <c r="AB549" t="str">
        <f t="shared" si="144"/>
        <v>コード番号を選択してください。</v>
      </c>
      <c r="AC549" t="s">
        <v>450</v>
      </c>
      <c r="AD549" t="str">
        <f t="shared" ref="AD549" si="147">AE548</f>
        <v>1台目の機器が入力されていません。
詰めて入力してください。</v>
      </c>
      <c r="AE549" t="str">
        <f>C548&amp;"台目の機器が入力されていません。"&amp;CHAR(10)&amp;"詰めて入力してください。"</f>
        <v>2台目の機器が入力されていません。
詰めて入力してください。</v>
      </c>
      <c r="AF549" t="s">
        <v>451</v>
      </c>
      <c r="AH549">
        <f t="shared" si="127"/>
        <v>9999</v>
      </c>
      <c r="AI549">
        <f>SMALL($AH$514:$AH$663,36)</f>
        <v>9999</v>
      </c>
      <c r="AJ549" t="e">
        <f t="shared" si="128"/>
        <v>#N/A</v>
      </c>
      <c r="AK549" t="str">
        <f t="shared" si="129"/>
        <v>事業場99</v>
      </c>
    </row>
    <row r="550" spans="2:37" x14ac:dyDescent="0.15">
      <c r="B550" s="5">
        <v>13</v>
      </c>
      <c r="C550" s="5">
        <v>1</v>
      </c>
      <c r="D550" s="4">
        <v>1301</v>
      </c>
      <c r="E550" s="4">
        <f t="shared" si="146"/>
        <v>0</v>
      </c>
      <c r="F550" s="15">
        <f>'入力シート（2事業場以降）'!AQ291</f>
        <v>0</v>
      </c>
      <c r="G550" s="4" t="str">
        <f>IF(AND($E550=1,$F550=1),'入力シート（2事業場以降）'!F291,"")&amp;""</f>
        <v/>
      </c>
      <c r="H550" s="15" t="str">
        <f>IFERROR(VLOOKUP($G550,補助対象機器一覧20220831!$A$2:$K$200,3,FALSE),"")</f>
        <v/>
      </c>
      <c r="I550" s="15" t="str">
        <f>IFERROR(VLOOKUP($G550,補助対象機器一覧20220831!$A$2:$K$200,4,FALSE),"")</f>
        <v/>
      </c>
      <c r="J550" s="15" t="str">
        <f>IFERROR(VLOOKUP($G550,補助対象機器一覧20220831!$A$2:$K$200,5,FALSE),"")</f>
        <v/>
      </c>
      <c r="K550" s="15" t="str">
        <f>IFERROR(VLOOKUP($G550,補助対象機器一覧20220831!$A$2:$K$200,6,FALSE),"")</f>
        <v/>
      </c>
      <c r="L550" s="4" t="str">
        <f>IF(AND($E550=1,$F550=1),'入力シート（2事業場以降）'!J291,"")&amp;""</f>
        <v/>
      </c>
      <c r="M550" s="4" t="str">
        <f>IF(AND($E550=1,$F550=1),'入力シート（2事業場以降）'!N291,"")&amp;""</f>
        <v/>
      </c>
      <c r="N550" s="4" t="str">
        <f>IF(AND($E550=1,$F550=1),'入力シート（2事業場以降）'!R291,"")&amp;""</f>
        <v/>
      </c>
      <c r="O550" s="4" t="str">
        <f>IF(AND($E550=1,$F550=1),'入力シート（2事業場以降）'!V291,"")&amp;""</f>
        <v/>
      </c>
      <c r="P550" s="4" t="str">
        <f>IFERROR(VLOOKUP($G550,補助対象機器一覧20220831!$A$2:$K$200,10,FALSE),"")</f>
        <v/>
      </c>
      <c r="Q550" s="15" t="str">
        <f>IF(AND($E550=1,$F550=2),TRIM(CLEAN('入力シート（2事業場以降）'!J293)),"")&amp;""</f>
        <v/>
      </c>
      <c r="R550" s="15" t="str">
        <f>IF(AND($E550=1,$F550=2),TRIM(CLEAN('入力シート（2事業場以降）'!N293)),"")&amp;""</f>
        <v/>
      </c>
      <c r="S550" s="15" t="str">
        <f>IF(AND($E550=1,$F550=2),TRIM(CLEAN('入力シート（2事業場以降）'!R293)),"")&amp;""</f>
        <v/>
      </c>
      <c r="T550" s="15" t="str">
        <f>IF(AND($E550=1,$F550=2),TRIM(CLEAN('入力シート（2事業場以降）'!V293)),"")&amp;""</f>
        <v/>
      </c>
      <c r="V550">
        <v>3</v>
      </c>
      <c r="W550" s="117" t="str">
        <f t="shared" ca="1" si="143"/>
        <v>OK</v>
      </c>
      <c r="X550" t="str">
        <f t="shared" ca="1" si="130"/>
        <v>交付申請時のコード番号を選択してください。
申請するコード番号が選べなかった場合は、コード番号の有無で「なし」を選択してください。</v>
      </c>
      <c r="Y550">
        <f t="shared" si="126"/>
        <v>1</v>
      </c>
      <c r="Z550">
        <f t="shared" si="133"/>
        <v>0</v>
      </c>
      <c r="AA550"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50" t="str">
        <f t="shared" si="144"/>
        <v>コード番号を選択してください。</v>
      </c>
      <c r="AC550" t="s">
        <v>450</v>
      </c>
      <c r="AD550" s="36"/>
      <c r="AE550" s="36"/>
      <c r="AF550" t="s">
        <v>451</v>
      </c>
      <c r="AH550">
        <f t="shared" si="127"/>
        <v>9999</v>
      </c>
      <c r="AI550">
        <f>SMALL($AH$514:$AH$663,37)</f>
        <v>9999</v>
      </c>
      <c r="AJ550" t="e">
        <f t="shared" si="128"/>
        <v>#N/A</v>
      </c>
      <c r="AK550" t="str">
        <f t="shared" si="129"/>
        <v>事業場99</v>
      </c>
    </row>
    <row r="551" spans="2:37" x14ac:dyDescent="0.15">
      <c r="B551" s="5">
        <v>13</v>
      </c>
      <c r="C551" s="5">
        <v>2</v>
      </c>
      <c r="D551" s="4">
        <v>1302</v>
      </c>
      <c r="E551" s="4">
        <f t="shared" si="146"/>
        <v>0</v>
      </c>
      <c r="F551" s="15">
        <f>'入力シート（2事業場以降）'!AQ295</f>
        <v>0</v>
      </c>
      <c r="G551" s="4" t="str">
        <f>IF(AND($E551=1,$F551=1),'入力シート（2事業場以降）'!F295,"")&amp;""</f>
        <v/>
      </c>
      <c r="H551" s="15" t="str">
        <f>IFERROR(VLOOKUP($G551,補助対象機器一覧20220831!$A$2:$K$200,3,FALSE),"")</f>
        <v/>
      </c>
      <c r="I551" s="15" t="str">
        <f>IFERROR(VLOOKUP($G551,補助対象機器一覧20220831!$A$2:$K$200,4,FALSE),"")</f>
        <v/>
      </c>
      <c r="J551" s="15" t="str">
        <f>IFERROR(VLOOKUP($G551,補助対象機器一覧20220831!$A$2:$K$200,5,FALSE),"")</f>
        <v/>
      </c>
      <c r="K551" s="15" t="str">
        <f>IFERROR(VLOOKUP($G551,補助対象機器一覧20220831!$A$2:$K$200,6,FALSE),"")</f>
        <v/>
      </c>
      <c r="L551" s="4" t="str">
        <f>IF(AND($E551=1,$F551=1),'入力シート（2事業場以降）'!J295,"")&amp;""</f>
        <v/>
      </c>
      <c r="M551" s="4" t="str">
        <f>IF(AND($E551=1,$F551=1),'入力シート（2事業場以降）'!N295,"")&amp;""</f>
        <v/>
      </c>
      <c r="N551" s="4" t="str">
        <f>IF(AND($E551=1,$F551=1),'入力シート（2事業場以降）'!R295,"")&amp;""</f>
        <v/>
      </c>
      <c r="O551" s="4" t="str">
        <f>IF(AND($E551=1,$F551=1),'入力シート（2事業場以降）'!V295,"")&amp;""</f>
        <v/>
      </c>
      <c r="P551" s="4" t="str">
        <f>IFERROR(VLOOKUP($G551,補助対象機器一覧20220831!$A$2:$K$200,10,FALSE),"")</f>
        <v/>
      </c>
      <c r="Q551" s="15" t="str">
        <f>IF(AND($E551=1,$F551=2),TRIM(CLEAN('入力シート（2事業場以降）'!J297)),"")&amp;""</f>
        <v/>
      </c>
      <c r="R551" s="15" t="str">
        <f>IF(AND($E551=1,$F551=2),TRIM(CLEAN('入力シート（2事業場以降）'!N297)),"")&amp;""</f>
        <v/>
      </c>
      <c r="S551" s="15" t="str">
        <f>IF(AND($E551=1,$F551=2),TRIM(CLEAN('入力シート（2事業場以降）'!R297)),"")&amp;""</f>
        <v/>
      </c>
      <c r="T551" s="15" t="str">
        <f>IF(AND($E551=1,$F551=2),TRIM(CLEAN('入力シート（2事業場以降）'!V297)),"")&amp;""</f>
        <v/>
      </c>
      <c r="W551" s="117" t="str">
        <f t="shared" ca="1" si="143"/>
        <v>OK</v>
      </c>
      <c r="X551" t="str">
        <f t="shared" ca="1" si="130"/>
        <v/>
      </c>
      <c r="Y551">
        <f t="shared" si="126"/>
        <v>1</v>
      </c>
      <c r="Z551">
        <f t="shared" si="133"/>
        <v>2</v>
      </c>
      <c r="AA551" s="36"/>
      <c r="AB551" t="str">
        <f t="shared" si="144"/>
        <v>コード番号を選択してください。</v>
      </c>
      <c r="AC551" t="s">
        <v>450</v>
      </c>
      <c r="AD551" s="36"/>
      <c r="AE551" t="str">
        <f>C550&amp;"台目の機器が入力されていません。"&amp;CHAR(10)&amp;"詰めて入力してください。"</f>
        <v>1台目の機器が入力されていません。
詰めて入力してください。</v>
      </c>
      <c r="AF551" t="s">
        <v>451</v>
      </c>
      <c r="AH551">
        <f t="shared" si="127"/>
        <v>9999</v>
      </c>
      <c r="AI551">
        <f>SMALL($AH$514:$AH$663,38)</f>
        <v>9999</v>
      </c>
      <c r="AJ551" t="e">
        <f t="shared" si="128"/>
        <v>#N/A</v>
      </c>
      <c r="AK551" t="str">
        <f t="shared" si="129"/>
        <v>事業場99</v>
      </c>
    </row>
    <row r="552" spans="2:37" x14ac:dyDescent="0.15">
      <c r="B552" s="5">
        <v>13</v>
      </c>
      <c r="C552" s="5">
        <v>3</v>
      </c>
      <c r="D552" s="4">
        <v>1303</v>
      </c>
      <c r="E552" s="4">
        <f t="shared" si="146"/>
        <v>0</v>
      </c>
      <c r="F552" s="15">
        <f>'入力シート（2事業場以降）'!AQ299</f>
        <v>0</v>
      </c>
      <c r="G552" s="4" t="str">
        <f>IF(AND($E552=1,$F552=1),'入力シート（2事業場以降）'!F299,"")&amp;""</f>
        <v/>
      </c>
      <c r="H552" s="15" t="str">
        <f>IFERROR(VLOOKUP($G552,補助対象機器一覧20220831!$A$2:$K$200,3,FALSE),"")</f>
        <v/>
      </c>
      <c r="I552" s="15" t="str">
        <f>IFERROR(VLOOKUP($G552,補助対象機器一覧20220831!$A$2:$K$200,4,FALSE),"")</f>
        <v/>
      </c>
      <c r="J552" s="15" t="str">
        <f>IFERROR(VLOOKUP($G552,補助対象機器一覧20220831!$A$2:$K$200,5,FALSE),"")</f>
        <v/>
      </c>
      <c r="K552" s="15" t="str">
        <f>IFERROR(VLOOKUP($G552,補助対象機器一覧20220831!$A$2:$K$200,6,FALSE),"")</f>
        <v/>
      </c>
      <c r="L552" s="4" t="str">
        <f>IF(AND($E552=1,$F552=1),'入力シート（2事業場以降）'!J299,"")&amp;""</f>
        <v/>
      </c>
      <c r="M552" s="4" t="str">
        <f>IF(AND($E552=1,$F552=1),'入力シート（2事業場以降）'!N299,"")&amp;""</f>
        <v/>
      </c>
      <c r="N552" s="4" t="str">
        <f>IF(AND($E552=1,$F552=1),'入力シート（2事業場以降）'!R299,"")&amp;""</f>
        <v/>
      </c>
      <c r="O552" s="4" t="str">
        <f>IF(AND($E552=1,$F552=1),'入力シート（2事業場以降）'!V299,"")&amp;""</f>
        <v/>
      </c>
      <c r="P552" s="4" t="str">
        <f>IFERROR(VLOOKUP($G552,補助対象機器一覧20220831!$A$2:$K$200,10,FALSE),"")</f>
        <v/>
      </c>
      <c r="Q552" s="15" t="str">
        <f>IF(AND($E552=1,$F552=2),TRIM(CLEAN('入力シート（2事業場以降）'!J301)),"")&amp;""</f>
        <v/>
      </c>
      <c r="R552" s="15" t="str">
        <f>IF(AND($E552=1,$F552=2),TRIM(CLEAN('入力シート（2事業場以降）'!N301)),"")&amp;""</f>
        <v/>
      </c>
      <c r="S552" s="15" t="str">
        <f>IF(AND($E552=1,$F552=2),TRIM(CLEAN('入力シート（2事業場以降）'!R301)),"")&amp;""</f>
        <v/>
      </c>
      <c r="T552" s="15" t="str">
        <f>IF(AND($E552=1,$F552=2),TRIM(CLEAN('入力シート（2事業場以降）'!V301)),"")&amp;""</f>
        <v/>
      </c>
      <c r="W552" s="117" t="str">
        <f t="shared" ca="1" si="143"/>
        <v>OK</v>
      </c>
      <c r="X552" t="str">
        <f t="shared" ca="1" si="130"/>
        <v/>
      </c>
      <c r="Y552">
        <f t="shared" si="126"/>
        <v>1</v>
      </c>
      <c r="Z552">
        <f t="shared" si="133"/>
        <v>1</v>
      </c>
      <c r="AA552" s="36"/>
      <c r="AB552" t="str">
        <f t="shared" si="144"/>
        <v>コード番号を選択してください。</v>
      </c>
      <c r="AC552" t="s">
        <v>450</v>
      </c>
      <c r="AD552" t="str">
        <f t="shared" ref="AD552" si="148">AE551</f>
        <v>1台目の機器が入力されていません。
詰めて入力してください。</v>
      </c>
      <c r="AE552" t="str">
        <f>C551&amp;"台目の機器が入力されていません。"&amp;CHAR(10)&amp;"詰めて入力してください。"</f>
        <v>2台目の機器が入力されていません。
詰めて入力してください。</v>
      </c>
      <c r="AF552" t="s">
        <v>451</v>
      </c>
      <c r="AH552">
        <f t="shared" si="127"/>
        <v>9999</v>
      </c>
      <c r="AI552">
        <f>SMALL($AH$514:$AH$663,39)</f>
        <v>9999</v>
      </c>
      <c r="AJ552" t="e">
        <f t="shared" si="128"/>
        <v>#N/A</v>
      </c>
      <c r="AK552" t="str">
        <f t="shared" si="129"/>
        <v>事業場99</v>
      </c>
    </row>
    <row r="553" spans="2:37" x14ac:dyDescent="0.15">
      <c r="B553" s="5">
        <v>14</v>
      </c>
      <c r="C553" s="5">
        <v>1</v>
      </c>
      <c r="D553" s="4">
        <v>1401</v>
      </c>
      <c r="E553" s="4">
        <f t="shared" si="146"/>
        <v>0</v>
      </c>
      <c r="F553" s="15">
        <f>'入力シート（2事業場以降）'!AQ304</f>
        <v>0</v>
      </c>
      <c r="G553" s="4" t="str">
        <f>IF(AND($E553=1,$F553=1),'入力シート（2事業場以降）'!F304,"")&amp;""</f>
        <v/>
      </c>
      <c r="H553" s="15" t="str">
        <f>IFERROR(VLOOKUP($G553,補助対象機器一覧20220831!$A$2:$K$200,3,FALSE),"")</f>
        <v/>
      </c>
      <c r="I553" s="15" t="str">
        <f>IFERROR(VLOOKUP($G553,補助対象機器一覧20220831!$A$2:$K$200,4,FALSE),"")</f>
        <v/>
      </c>
      <c r="J553" s="15" t="str">
        <f>IFERROR(VLOOKUP($G553,補助対象機器一覧20220831!$A$2:$K$200,5,FALSE),"")</f>
        <v/>
      </c>
      <c r="K553" s="15" t="str">
        <f>IFERROR(VLOOKUP($G553,補助対象機器一覧20220831!$A$2:$K$200,6,FALSE),"")</f>
        <v/>
      </c>
      <c r="L553" s="4" t="str">
        <f>IF(AND($E553=1,$F553=1),'入力シート（2事業場以降）'!J304,"")&amp;""</f>
        <v/>
      </c>
      <c r="M553" s="4" t="str">
        <f>IF(AND($E553=1,$F553=1),'入力シート（2事業場以降）'!N304,"")&amp;""</f>
        <v/>
      </c>
      <c r="N553" s="4" t="str">
        <f>IF(AND($E553=1,$F553=1),'入力シート（2事業場以降）'!R304,"")&amp;""</f>
        <v/>
      </c>
      <c r="O553" s="4" t="str">
        <f>IF(AND($E553=1,$F553=1),'入力シート（2事業場以降）'!V304,"")&amp;""</f>
        <v/>
      </c>
      <c r="P553" s="4" t="str">
        <f>IFERROR(VLOOKUP($G553,補助対象機器一覧20220831!$A$2:$K$200,10,FALSE),"")</f>
        <v/>
      </c>
      <c r="Q553" s="15" t="str">
        <f>IF(AND($E553=1,$F553=2),TRIM(CLEAN('入力シート（2事業場以降）'!J306)),"")&amp;""</f>
        <v/>
      </c>
      <c r="R553" s="15" t="str">
        <f>IF(AND($E553=1,$F553=2),TRIM(CLEAN('入力シート（2事業場以降）'!N306)),"")&amp;""</f>
        <v/>
      </c>
      <c r="S553" s="15" t="str">
        <f>IF(AND($E553=1,$F553=2),TRIM(CLEAN('入力シート（2事業場以降）'!R306)),"")&amp;""</f>
        <v/>
      </c>
      <c r="T553" s="15" t="str">
        <f>IF(AND($E553=1,$F553=2),TRIM(CLEAN('入力シート（2事業場以降）'!V306)),"")&amp;""</f>
        <v/>
      </c>
      <c r="V553">
        <v>4</v>
      </c>
      <c r="W553" s="117" t="str">
        <f t="shared" ca="1" si="143"/>
        <v>OK</v>
      </c>
      <c r="X553" t="str">
        <f t="shared" ca="1" si="130"/>
        <v>交付申請時のコード番号を選択してください。
申請するコード番号が選べなかった場合は、コード番号の有無で「なし」を選択してください。</v>
      </c>
      <c r="Y553">
        <f t="shared" si="126"/>
        <v>1</v>
      </c>
      <c r="Z553">
        <f t="shared" si="133"/>
        <v>0</v>
      </c>
      <c r="AA553"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53" t="str">
        <f t="shared" si="144"/>
        <v>コード番号を選択してください。</v>
      </c>
      <c r="AC553" t="s">
        <v>450</v>
      </c>
      <c r="AD553" s="36"/>
      <c r="AE553" s="36"/>
      <c r="AF553" t="s">
        <v>451</v>
      </c>
      <c r="AH553">
        <f t="shared" si="127"/>
        <v>9999</v>
      </c>
      <c r="AI553">
        <f>SMALL($AH$514:$AH$663,40)</f>
        <v>9999</v>
      </c>
      <c r="AJ553" t="e">
        <f t="shared" si="128"/>
        <v>#N/A</v>
      </c>
      <c r="AK553" t="str">
        <f t="shared" si="129"/>
        <v>事業場99</v>
      </c>
    </row>
    <row r="554" spans="2:37" x14ac:dyDescent="0.15">
      <c r="B554" s="5">
        <v>14</v>
      </c>
      <c r="C554" s="5">
        <v>2</v>
      </c>
      <c r="D554" s="4">
        <v>1402</v>
      </c>
      <c r="E554" s="4">
        <f t="shared" si="146"/>
        <v>0</v>
      </c>
      <c r="F554" s="15">
        <f>'入力シート（2事業場以降）'!AQ308</f>
        <v>0</v>
      </c>
      <c r="G554" s="4" t="str">
        <f>IF(AND($E554=1,$F554=1),'入力シート（2事業場以降）'!F308,"")&amp;""</f>
        <v/>
      </c>
      <c r="H554" s="15" t="str">
        <f>IFERROR(VLOOKUP($G554,補助対象機器一覧20220831!$A$2:$K$200,3,FALSE),"")</f>
        <v/>
      </c>
      <c r="I554" s="15" t="str">
        <f>IFERROR(VLOOKUP($G554,補助対象機器一覧20220831!$A$2:$K$200,4,FALSE),"")</f>
        <v/>
      </c>
      <c r="J554" s="15" t="str">
        <f>IFERROR(VLOOKUP($G554,補助対象機器一覧20220831!$A$2:$K$200,5,FALSE),"")</f>
        <v/>
      </c>
      <c r="K554" s="15" t="str">
        <f>IFERROR(VLOOKUP($G554,補助対象機器一覧20220831!$A$2:$K$200,6,FALSE),"")</f>
        <v/>
      </c>
      <c r="L554" s="4" t="str">
        <f>IF(AND($E554=1,$F554=1),'入力シート（2事業場以降）'!J308,"")&amp;""</f>
        <v/>
      </c>
      <c r="M554" s="4" t="str">
        <f>IF(AND($E554=1,$F554=1),'入力シート（2事業場以降）'!N308,"")&amp;""</f>
        <v/>
      </c>
      <c r="N554" s="4" t="str">
        <f>IF(AND($E554=1,$F554=1),'入力シート（2事業場以降）'!R308,"")&amp;""</f>
        <v/>
      </c>
      <c r="O554" s="4" t="str">
        <f>IF(AND($E554=1,$F554=1),'入力シート（2事業場以降）'!V308,"")&amp;""</f>
        <v/>
      </c>
      <c r="P554" s="4" t="str">
        <f>IFERROR(VLOOKUP($G554,補助対象機器一覧20220831!$A$2:$K$200,10,FALSE),"")</f>
        <v/>
      </c>
      <c r="Q554" s="15" t="str">
        <f>IF(AND($E554=1,$F554=2),TRIM(CLEAN('入力シート（2事業場以降）'!J310)),"")&amp;""</f>
        <v/>
      </c>
      <c r="R554" s="15" t="str">
        <f>IF(AND($E554=1,$F554=2),TRIM(CLEAN('入力シート（2事業場以降）'!N310)),"")&amp;""</f>
        <v/>
      </c>
      <c r="S554" s="15" t="str">
        <f>IF(AND($E554=1,$F554=2),TRIM(CLEAN('入力シート（2事業場以降）'!R310)),"")&amp;""</f>
        <v/>
      </c>
      <c r="T554" s="15" t="str">
        <f>IF(AND($E554=1,$F554=2),TRIM(CLEAN('入力シート（2事業場以降）'!V310)),"")&amp;""</f>
        <v/>
      </c>
      <c r="W554" s="117" t="str">
        <f t="shared" ca="1" si="143"/>
        <v>OK</v>
      </c>
      <c r="X554" t="str">
        <f t="shared" ca="1" si="130"/>
        <v/>
      </c>
      <c r="Y554">
        <f t="shared" si="126"/>
        <v>1</v>
      </c>
      <c r="Z554">
        <f t="shared" si="133"/>
        <v>2</v>
      </c>
      <c r="AA554" s="36"/>
      <c r="AB554" t="str">
        <f t="shared" si="144"/>
        <v>コード番号を選択してください。</v>
      </c>
      <c r="AC554" t="s">
        <v>450</v>
      </c>
      <c r="AD554" s="36"/>
      <c r="AE554" t="str">
        <f>C553&amp;"台目の機器が入力されていません。"&amp;CHAR(10)&amp;"詰めて入力してください。"</f>
        <v>1台目の機器が入力されていません。
詰めて入力してください。</v>
      </c>
      <c r="AF554" t="s">
        <v>451</v>
      </c>
      <c r="AH554">
        <f t="shared" si="127"/>
        <v>9999</v>
      </c>
      <c r="AI554">
        <f>SMALL($AH$514:$AH$663,41)</f>
        <v>9999</v>
      </c>
      <c r="AJ554" t="e">
        <f t="shared" si="128"/>
        <v>#N/A</v>
      </c>
      <c r="AK554" t="str">
        <f t="shared" si="129"/>
        <v>事業場99</v>
      </c>
    </row>
    <row r="555" spans="2:37" x14ac:dyDescent="0.15">
      <c r="B555" s="5">
        <v>14</v>
      </c>
      <c r="C555" s="5">
        <v>3</v>
      </c>
      <c r="D555" s="4">
        <v>1403</v>
      </c>
      <c r="E555" s="4">
        <f t="shared" si="146"/>
        <v>0</v>
      </c>
      <c r="F555" s="15">
        <f>'入力シート（2事業場以降）'!AQ312</f>
        <v>0</v>
      </c>
      <c r="G555" s="4" t="str">
        <f>IF(AND($E555=1,$F555=1),'入力シート（2事業場以降）'!F312,"")&amp;""</f>
        <v/>
      </c>
      <c r="H555" s="15" t="str">
        <f>IFERROR(VLOOKUP($G555,補助対象機器一覧20220831!$A$2:$K$200,3,FALSE),"")</f>
        <v/>
      </c>
      <c r="I555" s="15" t="str">
        <f>IFERROR(VLOOKUP($G555,補助対象機器一覧20220831!$A$2:$K$200,4,FALSE),"")</f>
        <v/>
      </c>
      <c r="J555" s="15" t="str">
        <f>IFERROR(VLOOKUP($G555,補助対象機器一覧20220831!$A$2:$K$200,5,FALSE),"")</f>
        <v/>
      </c>
      <c r="K555" s="15" t="str">
        <f>IFERROR(VLOOKUP($G555,補助対象機器一覧20220831!$A$2:$K$200,6,FALSE),"")</f>
        <v/>
      </c>
      <c r="L555" s="4" t="str">
        <f>IF(AND($E555=1,$F555=1),'入力シート（2事業場以降）'!J312,"")&amp;""</f>
        <v/>
      </c>
      <c r="M555" s="4" t="str">
        <f>IF(AND($E555=1,$F555=1),'入力シート（2事業場以降）'!N312,"")&amp;""</f>
        <v/>
      </c>
      <c r="N555" s="4" t="str">
        <f>IF(AND($E555=1,$F555=1),'入力シート（2事業場以降）'!R312,"")&amp;""</f>
        <v/>
      </c>
      <c r="O555" s="4" t="str">
        <f>IF(AND($E555=1,$F555=1),'入力シート（2事業場以降）'!V312,"")&amp;""</f>
        <v/>
      </c>
      <c r="P555" s="4" t="str">
        <f>IFERROR(VLOOKUP($G555,補助対象機器一覧20220831!$A$2:$K$200,10,FALSE),"")</f>
        <v/>
      </c>
      <c r="Q555" s="15" t="str">
        <f>IF(AND($E555=1,$F555=2),TRIM(CLEAN('入力シート（2事業場以降）'!J314)),"")&amp;""</f>
        <v/>
      </c>
      <c r="R555" s="15" t="str">
        <f>IF(AND($E555=1,$F555=2),TRIM(CLEAN('入力シート（2事業場以降）'!N314)),"")&amp;""</f>
        <v/>
      </c>
      <c r="S555" s="15" t="str">
        <f>IF(AND($E555=1,$F555=2),TRIM(CLEAN('入力シート（2事業場以降）'!R314)),"")&amp;""</f>
        <v/>
      </c>
      <c r="T555" s="15" t="str">
        <f>IF(AND($E555=1,$F555=2),TRIM(CLEAN('入力シート（2事業場以降）'!V314)),"")&amp;""</f>
        <v/>
      </c>
      <c r="W555" s="117" t="str">
        <f t="shared" ca="1" si="143"/>
        <v>OK</v>
      </c>
      <c r="X555" t="str">
        <f t="shared" ca="1" si="130"/>
        <v/>
      </c>
      <c r="Y555">
        <f t="shared" si="126"/>
        <v>1</v>
      </c>
      <c r="Z555">
        <f t="shared" si="133"/>
        <v>1</v>
      </c>
      <c r="AA555" s="36"/>
      <c r="AB555" t="str">
        <f t="shared" si="144"/>
        <v>コード番号を選択してください。</v>
      </c>
      <c r="AC555" t="s">
        <v>450</v>
      </c>
      <c r="AD555" t="str">
        <f t="shared" ref="AD555" si="149">AE554</f>
        <v>1台目の機器が入力されていません。
詰めて入力してください。</v>
      </c>
      <c r="AE555" t="str">
        <f>C554&amp;"台目の機器が入力されていません。"&amp;CHAR(10)&amp;"詰めて入力してください。"</f>
        <v>2台目の機器が入力されていません。
詰めて入力してください。</v>
      </c>
      <c r="AF555" t="s">
        <v>451</v>
      </c>
      <c r="AH555">
        <f t="shared" si="127"/>
        <v>9999</v>
      </c>
      <c r="AI555">
        <f>SMALL($AH$514:$AH$663,42)</f>
        <v>9999</v>
      </c>
      <c r="AJ555" t="e">
        <f t="shared" si="128"/>
        <v>#N/A</v>
      </c>
      <c r="AK555" t="str">
        <f t="shared" si="129"/>
        <v>事業場99</v>
      </c>
    </row>
    <row r="556" spans="2:37" x14ac:dyDescent="0.15">
      <c r="B556" s="5">
        <v>15</v>
      </c>
      <c r="C556" s="5">
        <v>1</v>
      </c>
      <c r="D556" s="4">
        <v>1501</v>
      </c>
      <c r="E556" s="4">
        <f t="shared" si="146"/>
        <v>0</v>
      </c>
      <c r="F556" s="15">
        <f>'入力シート（2事業場以降）'!AQ317</f>
        <v>0</v>
      </c>
      <c r="G556" s="4" t="str">
        <f>IF(AND($E556=1,$F556=1),'入力シート（2事業場以降）'!F317,"")&amp;""</f>
        <v/>
      </c>
      <c r="H556" s="15" t="str">
        <f>IFERROR(VLOOKUP($G556,補助対象機器一覧20220831!$A$2:$K$200,3,FALSE),"")</f>
        <v/>
      </c>
      <c r="I556" s="15" t="str">
        <f>IFERROR(VLOOKUP($G556,補助対象機器一覧20220831!$A$2:$K$200,4,FALSE),"")</f>
        <v/>
      </c>
      <c r="J556" s="15" t="str">
        <f>IFERROR(VLOOKUP($G556,補助対象機器一覧20220831!$A$2:$K$200,5,FALSE),"")</f>
        <v/>
      </c>
      <c r="K556" s="15" t="str">
        <f>IFERROR(VLOOKUP($G556,補助対象機器一覧20220831!$A$2:$K$200,6,FALSE),"")</f>
        <v/>
      </c>
      <c r="L556" s="4" t="str">
        <f>IF(AND($E556=1,$F556=1),'入力シート（2事業場以降）'!J317,"")&amp;""</f>
        <v/>
      </c>
      <c r="M556" s="4" t="str">
        <f>IF(AND($E556=1,$F556=1),'入力シート（2事業場以降）'!N317,"")&amp;""</f>
        <v/>
      </c>
      <c r="N556" s="4" t="str">
        <f>IF(AND($E556=1,$F556=1),'入力シート（2事業場以降）'!R317,"")&amp;""</f>
        <v/>
      </c>
      <c r="O556" s="4" t="str">
        <f>IF(AND($E556=1,$F556=1),'入力シート（2事業場以降）'!V317,"")&amp;""</f>
        <v/>
      </c>
      <c r="P556" s="4" t="str">
        <f>IFERROR(VLOOKUP($G556,補助対象機器一覧20220831!$A$2:$K$200,10,FALSE),"")</f>
        <v/>
      </c>
      <c r="Q556" s="15" t="str">
        <f>IF(AND($E556=1,$F556=2),TRIM(CLEAN('入力シート（2事業場以降）'!J319)),"")&amp;""</f>
        <v/>
      </c>
      <c r="R556" s="15" t="str">
        <f>IF(AND($E556=1,$F556=2),TRIM(CLEAN('入力シート（2事業場以降）'!N319)),"")&amp;""</f>
        <v/>
      </c>
      <c r="S556" s="15" t="str">
        <f>IF(AND($E556=1,$F556=2),TRIM(CLEAN('入力シート（2事業場以降）'!R319)),"")&amp;""</f>
        <v/>
      </c>
      <c r="T556" s="15" t="str">
        <f>IF(AND($E556=1,$F556=2),TRIM(CLEAN('入力シート（2事業場以降）'!V319)),"")&amp;""</f>
        <v/>
      </c>
      <c r="V556">
        <v>5</v>
      </c>
      <c r="W556" s="117" t="str">
        <f t="shared" ca="1" si="143"/>
        <v>OK</v>
      </c>
      <c r="X556" t="str">
        <f t="shared" ca="1" si="130"/>
        <v>交付申請時のコード番号を選択してください。
申請するコード番号が選べなかった場合は、コード番号の有無で「なし」を選択してください。</v>
      </c>
      <c r="Y556">
        <f t="shared" si="126"/>
        <v>1</v>
      </c>
      <c r="Z556">
        <f t="shared" si="133"/>
        <v>0</v>
      </c>
      <c r="AA556"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56" t="str">
        <f t="shared" si="144"/>
        <v>コード番号を選択してください。</v>
      </c>
      <c r="AC556" t="s">
        <v>450</v>
      </c>
      <c r="AD556" s="36"/>
      <c r="AE556" s="36"/>
      <c r="AF556" t="s">
        <v>451</v>
      </c>
      <c r="AH556">
        <f t="shared" si="127"/>
        <v>9999</v>
      </c>
      <c r="AI556">
        <f>SMALL($AH$514:$AH$663,43)</f>
        <v>9999</v>
      </c>
      <c r="AJ556" t="e">
        <f t="shared" si="128"/>
        <v>#N/A</v>
      </c>
      <c r="AK556" t="str">
        <f t="shared" si="129"/>
        <v>事業場99</v>
      </c>
    </row>
    <row r="557" spans="2:37" x14ac:dyDescent="0.15">
      <c r="B557" s="5">
        <v>15</v>
      </c>
      <c r="C557" s="5">
        <v>2</v>
      </c>
      <c r="D557" s="4">
        <v>1502</v>
      </c>
      <c r="E557" s="4">
        <f t="shared" si="146"/>
        <v>0</v>
      </c>
      <c r="F557" s="15">
        <f>'入力シート（2事業場以降）'!AQ321</f>
        <v>0</v>
      </c>
      <c r="G557" s="4" t="str">
        <f>IF(AND($E557=1,$F557=1),'入力シート（2事業場以降）'!F321,"")&amp;""</f>
        <v/>
      </c>
      <c r="H557" s="15" t="str">
        <f>IFERROR(VLOOKUP($G557,補助対象機器一覧20220831!$A$2:$K$200,3,FALSE),"")</f>
        <v/>
      </c>
      <c r="I557" s="15" t="str">
        <f>IFERROR(VLOOKUP($G557,補助対象機器一覧20220831!$A$2:$K$200,4,FALSE),"")</f>
        <v/>
      </c>
      <c r="J557" s="15" t="str">
        <f>IFERROR(VLOOKUP($G557,補助対象機器一覧20220831!$A$2:$K$200,5,FALSE),"")</f>
        <v/>
      </c>
      <c r="K557" s="15" t="str">
        <f>IFERROR(VLOOKUP($G557,補助対象機器一覧20220831!$A$2:$K$200,6,FALSE),"")</f>
        <v/>
      </c>
      <c r="L557" s="4" t="str">
        <f>IF(AND($E557=1,$F557=1),'入力シート（2事業場以降）'!J321,"")&amp;""</f>
        <v/>
      </c>
      <c r="M557" s="4" t="str">
        <f>IF(AND($E557=1,$F557=1),'入力シート（2事業場以降）'!N321,"")&amp;""</f>
        <v/>
      </c>
      <c r="N557" s="4" t="str">
        <f>IF(AND($E557=1,$F557=1),'入力シート（2事業場以降）'!R321,"")&amp;""</f>
        <v/>
      </c>
      <c r="O557" s="4" t="str">
        <f>IF(AND($E557=1,$F557=1),'入力シート（2事業場以降）'!V321,"")&amp;""</f>
        <v/>
      </c>
      <c r="P557" s="4" t="str">
        <f>IFERROR(VLOOKUP($G557,補助対象機器一覧20220831!$A$2:$K$200,10,FALSE),"")</f>
        <v/>
      </c>
      <c r="Q557" s="15" t="str">
        <f>IF(AND($E557=1,$F557=2),TRIM(CLEAN('入力シート（2事業場以降）'!J323)),"")&amp;""</f>
        <v/>
      </c>
      <c r="R557" s="15" t="str">
        <f>IF(AND($E557=1,$F557=2),TRIM(CLEAN('入力シート（2事業場以降）'!N323)),"")&amp;""</f>
        <v/>
      </c>
      <c r="S557" s="15" t="str">
        <f>IF(AND($E557=1,$F557=2),TRIM(CLEAN('入力シート（2事業場以降）'!R323)),"")&amp;""</f>
        <v/>
      </c>
      <c r="T557" s="15" t="str">
        <f>IF(AND($E557=1,$F557=2),TRIM(CLEAN('入力シート（2事業場以降）'!V323)),"")&amp;""</f>
        <v/>
      </c>
      <c r="W557" s="117" t="str">
        <f t="shared" ca="1" si="143"/>
        <v>OK</v>
      </c>
      <c r="X557" t="str">
        <f t="shared" ca="1" si="130"/>
        <v/>
      </c>
      <c r="Y557">
        <f t="shared" si="126"/>
        <v>1</v>
      </c>
      <c r="Z557">
        <f t="shared" si="133"/>
        <v>2</v>
      </c>
      <c r="AA557" s="36"/>
      <c r="AB557" t="str">
        <f t="shared" si="144"/>
        <v>コード番号を選択してください。</v>
      </c>
      <c r="AC557" t="s">
        <v>450</v>
      </c>
      <c r="AD557" s="36"/>
      <c r="AE557" t="str">
        <f>C556&amp;"台目の機器が入力されていません。"&amp;CHAR(10)&amp;"詰めて入力してください。"</f>
        <v>1台目の機器が入力されていません。
詰めて入力してください。</v>
      </c>
      <c r="AF557" t="s">
        <v>451</v>
      </c>
      <c r="AH557">
        <f t="shared" si="127"/>
        <v>9999</v>
      </c>
      <c r="AI557">
        <f>SMALL($AH$514:$AH$663,44)</f>
        <v>9999</v>
      </c>
      <c r="AJ557" t="e">
        <f t="shared" si="128"/>
        <v>#N/A</v>
      </c>
      <c r="AK557" t="str">
        <f t="shared" si="129"/>
        <v>事業場99</v>
      </c>
    </row>
    <row r="558" spans="2:37" x14ac:dyDescent="0.15">
      <c r="B558" s="5">
        <v>15</v>
      </c>
      <c r="C558" s="5">
        <v>3</v>
      </c>
      <c r="D558" s="4">
        <v>1503</v>
      </c>
      <c r="E558" s="4">
        <f t="shared" si="146"/>
        <v>0</v>
      </c>
      <c r="F558" s="15">
        <f>'入力シート（2事業場以降）'!AQ325</f>
        <v>0</v>
      </c>
      <c r="G558" s="4" t="str">
        <f>IF(AND($E558=1,$F558=1),'入力シート（2事業場以降）'!F325,"")&amp;""</f>
        <v/>
      </c>
      <c r="H558" s="15" t="str">
        <f>IFERROR(VLOOKUP($G558,補助対象機器一覧20220831!$A$2:$K$200,3,FALSE),"")</f>
        <v/>
      </c>
      <c r="I558" s="15" t="str">
        <f>IFERROR(VLOOKUP($G558,補助対象機器一覧20220831!$A$2:$K$200,4,FALSE),"")</f>
        <v/>
      </c>
      <c r="J558" s="15" t="str">
        <f>IFERROR(VLOOKUP($G558,補助対象機器一覧20220831!$A$2:$K$200,5,FALSE),"")</f>
        <v/>
      </c>
      <c r="K558" s="15" t="str">
        <f>IFERROR(VLOOKUP($G558,補助対象機器一覧20220831!$A$2:$K$200,6,FALSE),"")</f>
        <v/>
      </c>
      <c r="L558" s="4" t="str">
        <f>IF(AND($E558=1,$F558=1),'入力シート（2事業場以降）'!J325,"")&amp;""</f>
        <v/>
      </c>
      <c r="M558" s="4" t="str">
        <f>IF(AND($E558=1,$F558=1),'入力シート（2事業場以降）'!N325,"")&amp;""</f>
        <v/>
      </c>
      <c r="N558" s="4" t="str">
        <f>IF(AND($E558=1,$F558=1),'入力シート（2事業場以降）'!R325,"")&amp;""</f>
        <v/>
      </c>
      <c r="O558" s="4" t="str">
        <f>IF(AND($E558=1,$F558=1),'入力シート（2事業場以降）'!V325,"")&amp;""</f>
        <v/>
      </c>
      <c r="P558" s="4" t="str">
        <f>IFERROR(VLOOKUP($G558,補助対象機器一覧20220831!$A$2:$K$200,10,FALSE),"")</f>
        <v/>
      </c>
      <c r="Q558" s="15" t="str">
        <f>IF(AND($E558=1,$F558=2),TRIM(CLEAN('入力シート（2事業場以降）'!J327)),"")&amp;""</f>
        <v/>
      </c>
      <c r="R558" s="15" t="str">
        <f>IF(AND($E558=1,$F558=2),TRIM(CLEAN('入力シート（2事業場以降）'!N327)),"")&amp;""</f>
        <v/>
      </c>
      <c r="S558" s="15" t="str">
        <f>IF(AND($E558=1,$F558=2),TRIM(CLEAN('入力シート（2事業場以降）'!R327)),"")&amp;""</f>
        <v/>
      </c>
      <c r="T558" s="15" t="str">
        <f>IF(AND($E558=1,$F558=2),TRIM(CLEAN('入力シート（2事業場以降）'!V327)),"")&amp;""</f>
        <v/>
      </c>
      <c r="W558" s="117" t="str">
        <f t="shared" ca="1" si="143"/>
        <v>OK</v>
      </c>
      <c r="X558" t="str">
        <f t="shared" ca="1" si="130"/>
        <v/>
      </c>
      <c r="Y558">
        <f t="shared" si="126"/>
        <v>1</v>
      </c>
      <c r="Z558">
        <f t="shared" si="133"/>
        <v>1</v>
      </c>
      <c r="AA558" s="36"/>
      <c r="AB558" t="str">
        <f t="shared" si="144"/>
        <v>コード番号を選択してください。</v>
      </c>
      <c r="AC558" t="s">
        <v>450</v>
      </c>
      <c r="AD558" t="str">
        <f t="shared" ref="AD558" si="150">AE557</f>
        <v>1台目の機器が入力されていません。
詰めて入力してください。</v>
      </c>
      <c r="AE558" t="str">
        <f>C557&amp;"台目の機器が入力されていません。"&amp;CHAR(10)&amp;"詰めて入力してください。"</f>
        <v>2台目の機器が入力されていません。
詰めて入力してください。</v>
      </c>
      <c r="AF558" t="s">
        <v>451</v>
      </c>
      <c r="AH558">
        <f t="shared" si="127"/>
        <v>9999</v>
      </c>
      <c r="AI558">
        <f>SMALL($AH$514:$AH$663,45)</f>
        <v>9999</v>
      </c>
      <c r="AJ558" t="e">
        <f t="shared" si="128"/>
        <v>#N/A</v>
      </c>
      <c r="AK558" t="str">
        <f t="shared" si="129"/>
        <v>事業場99</v>
      </c>
    </row>
    <row r="559" spans="2:37" x14ac:dyDescent="0.15">
      <c r="B559" s="5">
        <v>16</v>
      </c>
      <c r="C559" s="5">
        <v>1</v>
      </c>
      <c r="D559" s="4">
        <v>1601</v>
      </c>
      <c r="E559" s="4">
        <f t="shared" si="146"/>
        <v>0</v>
      </c>
      <c r="F559" s="15">
        <f>'入力シート（2事業場以降）'!AQ330</f>
        <v>0</v>
      </c>
      <c r="G559" s="4" t="str">
        <f>IF(AND($E559=1,$F559=1),'入力シート（2事業場以降）'!F330,"")&amp;""</f>
        <v/>
      </c>
      <c r="H559" s="15" t="str">
        <f>IFERROR(VLOOKUP($G559,補助対象機器一覧20220831!$A$2:$K$200,3,FALSE),"")</f>
        <v/>
      </c>
      <c r="I559" s="15" t="str">
        <f>IFERROR(VLOOKUP($G559,補助対象機器一覧20220831!$A$2:$K$200,4,FALSE),"")</f>
        <v/>
      </c>
      <c r="J559" s="15" t="str">
        <f>IFERROR(VLOOKUP($G559,補助対象機器一覧20220831!$A$2:$K$200,5,FALSE),"")</f>
        <v/>
      </c>
      <c r="K559" s="15" t="str">
        <f>IFERROR(VLOOKUP($G559,補助対象機器一覧20220831!$A$2:$K$200,6,FALSE),"")</f>
        <v/>
      </c>
      <c r="L559" s="4" t="str">
        <f>IF(AND($E559=1,$F559=1),'入力シート（2事業場以降）'!J330,"")&amp;""</f>
        <v/>
      </c>
      <c r="M559" s="4" t="str">
        <f>IF(AND($E559=1,$F559=1),'入力シート（2事業場以降）'!N330,"")&amp;""</f>
        <v/>
      </c>
      <c r="N559" s="4" t="str">
        <f>IF(AND($E559=1,$F559=1),'入力シート（2事業場以降）'!R330,"")&amp;""</f>
        <v/>
      </c>
      <c r="O559" s="4" t="str">
        <f>IF(AND($E559=1,$F559=1),'入力シート（2事業場以降）'!V330,"")&amp;""</f>
        <v/>
      </c>
      <c r="P559" s="4" t="str">
        <f>IFERROR(VLOOKUP($G559,補助対象機器一覧20220831!$A$2:$K$200,10,FALSE),"")</f>
        <v/>
      </c>
      <c r="Q559" s="15" t="str">
        <f>IF(AND($E559=1,$F559=2),TRIM(CLEAN('入力シート（2事業場以降）'!J332)),"")&amp;""</f>
        <v/>
      </c>
      <c r="R559" s="15" t="str">
        <f>IF(AND($E559=1,$F559=2),TRIM(CLEAN('入力シート（2事業場以降）'!N332)),"")&amp;""</f>
        <v/>
      </c>
      <c r="S559" s="15" t="str">
        <f>IF(AND($E559=1,$F559=2),TRIM(CLEAN('入力シート（2事業場以降）'!R332)),"")&amp;""</f>
        <v/>
      </c>
      <c r="T559" s="15" t="str">
        <f>IF(AND($E559=1,$F559=2),TRIM(CLEAN('入力シート（2事業場以降）'!V332)),"")&amp;""</f>
        <v/>
      </c>
      <c r="V559">
        <v>6</v>
      </c>
      <c r="W559" s="117" t="str">
        <f t="shared" ca="1" si="143"/>
        <v>OK</v>
      </c>
      <c r="X559" t="str">
        <f t="shared" ca="1" si="130"/>
        <v>交付申請時のコード番号を選択してください。
申請するコード番号が選べなかった場合は、コード番号の有無で「なし」を選択してください。</v>
      </c>
      <c r="Y559">
        <f t="shared" si="126"/>
        <v>1</v>
      </c>
      <c r="Z559">
        <f t="shared" si="133"/>
        <v>0</v>
      </c>
      <c r="AA559"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59" t="str">
        <f t="shared" si="144"/>
        <v>コード番号を選択してください。</v>
      </c>
      <c r="AC559" t="s">
        <v>450</v>
      </c>
      <c r="AD559" s="36"/>
      <c r="AE559" s="36"/>
      <c r="AF559" t="s">
        <v>451</v>
      </c>
      <c r="AH559">
        <f t="shared" si="127"/>
        <v>9999</v>
      </c>
      <c r="AI559">
        <f>SMALL($AH$514:$AH$663,46)</f>
        <v>9999</v>
      </c>
      <c r="AJ559" t="e">
        <f t="shared" si="128"/>
        <v>#N/A</v>
      </c>
      <c r="AK559" t="str">
        <f t="shared" si="129"/>
        <v>事業場99</v>
      </c>
    </row>
    <row r="560" spans="2:37" x14ac:dyDescent="0.15">
      <c r="B560" s="5">
        <v>16</v>
      </c>
      <c r="C560" s="5">
        <v>2</v>
      </c>
      <c r="D560" s="4">
        <v>1602</v>
      </c>
      <c r="E560" s="4">
        <f t="shared" si="146"/>
        <v>0</v>
      </c>
      <c r="F560" s="15">
        <f>'入力シート（2事業場以降）'!AQ334</f>
        <v>0</v>
      </c>
      <c r="G560" s="4" t="str">
        <f>IF(AND($E560=1,$F560=1),'入力シート（2事業場以降）'!F334,"")&amp;""</f>
        <v/>
      </c>
      <c r="H560" s="15" t="str">
        <f>IFERROR(VLOOKUP($G560,補助対象機器一覧20220831!$A$2:$K$200,3,FALSE),"")</f>
        <v/>
      </c>
      <c r="I560" s="15" t="str">
        <f>IFERROR(VLOOKUP($G560,補助対象機器一覧20220831!$A$2:$K$200,4,FALSE),"")</f>
        <v/>
      </c>
      <c r="J560" s="15" t="str">
        <f>IFERROR(VLOOKUP($G560,補助対象機器一覧20220831!$A$2:$K$200,5,FALSE),"")</f>
        <v/>
      </c>
      <c r="K560" s="15" t="str">
        <f>IFERROR(VLOOKUP($G560,補助対象機器一覧20220831!$A$2:$K$200,6,FALSE),"")</f>
        <v/>
      </c>
      <c r="L560" s="4" t="str">
        <f>IF(AND($E560=1,$F560=1),'入力シート（2事業場以降）'!J334,"")&amp;""</f>
        <v/>
      </c>
      <c r="M560" s="4" t="str">
        <f>IF(AND($E560=1,$F560=1),'入力シート（2事業場以降）'!N334,"")&amp;""</f>
        <v/>
      </c>
      <c r="N560" s="4" t="str">
        <f>IF(AND($E560=1,$F560=1),'入力シート（2事業場以降）'!R334,"")&amp;""</f>
        <v/>
      </c>
      <c r="O560" s="4" t="str">
        <f>IF(AND($E560=1,$F560=1),'入力シート（2事業場以降）'!V334,"")&amp;""</f>
        <v/>
      </c>
      <c r="P560" s="4" t="str">
        <f>IFERROR(VLOOKUP($G560,補助対象機器一覧20220831!$A$2:$K$200,10,FALSE),"")</f>
        <v/>
      </c>
      <c r="Q560" s="15" t="str">
        <f>IF(AND($E560=1,$F560=2),TRIM(CLEAN('入力シート（2事業場以降）'!J336)),"")&amp;""</f>
        <v/>
      </c>
      <c r="R560" s="15" t="str">
        <f>IF(AND($E560=1,$F560=2),TRIM(CLEAN('入力シート（2事業場以降）'!N336)),"")&amp;""</f>
        <v/>
      </c>
      <c r="S560" s="15" t="str">
        <f>IF(AND($E560=1,$F560=2),TRIM(CLEAN('入力シート（2事業場以降）'!R336)),"")&amp;""</f>
        <v/>
      </c>
      <c r="T560" s="15" t="str">
        <f>IF(AND($E560=1,$F560=2),TRIM(CLEAN('入力シート（2事業場以降）'!V336)),"")&amp;""</f>
        <v/>
      </c>
      <c r="W560" s="117" t="str">
        <f t="shared" ca="1" si="143"/>
        <v>OK</v>
      </c>
      <c r="X560" t="str">
        <f t="shared" ca="1" si="130"/>
        <v/>
      </c>
      <c r="Y560">
        <f t="shared" si="126"/>
        <v>1</v>
      </c>
      <c r="Z560">
        <f t="shared" si="133"/>
        <v>2</v>
      </c>
      <c r="AA560" s="36"/>
      <c r="AB560" t="str">
        <f t="shared" si="144"/>
        <v>コード番号を選択してください。</v>
      </c>
      <c r="AC560" t="s">
        <v>450</v>
      </c>
      <c r="AD560" s="36"/>
      <c r="AE560" t="str">
        <f>C559&amp;"台目の機器が入力されていません。"&amp;CHAR(10)&amp;"詰めて入力してください。"</f>
        <v>1台目の機器が入力されていません。
詰めて入力してください。</v>
      </c>
      <c r="AF560" t="s">
        <v>451</v>
      </c>
      <c r="AH560">
        <f t="shared" si="127"/>
        <v>9999</v>
      </c>
      <c r="AI560">
        <f>SMALL($AH$514:$AH$663,47)</f>
        <v>9999</v>
      </c>
      <c r="AJ560" t="e">
        <f t="shared" si="128"/>
        <v>#N/A</v>
      </c>
      <c r="AK560" t="str">
        <f t="shared" si="129"/>
        <v>事業場99</v>
      </c>
    </row>
    <row r="561" spans="2:37" x14ac:dyDescent="0.15">
      <c r="B561" s="5">
        <v>16</v>
      </c>
      <c r="C561" s="5">
        <v>3</v>
      </c>
      <c r="D561" s="4">
        <v>1603</v>
      </c>
      <c r="E561" s="4">
        <f t="shared" si="146"/>
        <v>0</v>
      </c>
      <c r="F561" s="15">
        <f>'入力シート（2事業場以降）'!AQ338</f>
        <v>0</v>
      </c>
      <c r="G561" s="4" t="str">
        <f>IF(AND($E561=1,$F561=1),'入力シート（2事業場以降）'!F338,"")&amp;""</f>
        <v/>
      </c>
      <c r="H561" s="15" t="str">
        <f>IFERROR(VLOOKUP($G561,補助対象機器一覧20220831!$A$2:$K$200,3,FALSE),"")</f>
        <v/>
      </c>
      <c r="I561" s="15" t="str">
        <f>IFERROR(VLOOKUP($G561,補助対象機器一覧20220831!$A$2:$K$200,4,FALSE),"")</f>
        <v/>
      </c>
      <c r="J561" s="15" t="str">
        <f>IFERROR(VLOOKUP($G561,補助対象機器一覧20220831!$A$2:$K$200,5,FALSE),"")</f>
        <v/>
      </c>
      <c r="K561" s="15" t="str">
        <f>IFERROR(VLOOKUP($G561,補助対象機器一覧20220831!$A$2:$K$200,6,FALSE),"")</f>
        <v/>
      </c>
      <c r="L561" s="4" t="str">
        <f>IF(AND($E561=1,$F561=1),'入力シート（2事業場以降）'!J338,"")&amp;""</f>
        <v/>
      </c>
      <c r="M561" s="4" t="str">
        <f>IF(AND($E561=1,$F561=1),'入力シート（2事業場以降）'!N338,"")&amp;""</f>
        <v/>
      </c>
      <c r="N561" s="4" t="str">
        <f>IF(AND($E561=1,$F561=1),'入力シート（2事業場以降）'!R338,"")&amp;""</f>
        <v/>
      </c>
      <c r="O561" s="4" t="str">
        <f>IF(AND($E561=1,$F561=1),'入力シート（2事業場以降）'!V338,"")&amp;""</f>
        <v/>
      </c>
      <c r="P561" s="4" t="str">
        <f>IFERROR(VLOOKUP($G561,補助対象機器一覧20220831!$A$2:$K$200,10,FALSE),"")</f>
        <v/>
      </c>
      <c r="Q561" s="15" t="str">
        <f>IF(AND($E561=1,$F561=2),TRIM(CLEAN('入力シート（2事業場以降）'!J340)),"")&amp;""</f>
        <v/>
      </c>
      <c r="R561" s="15" t="str">
        <f>IF(AND($E561=1,$F561=2),TRIM(CLEAN('入力シート（2事業場以降）'!N340)),"")&amp;""</f>
        <v/>
      </c>
      <c r="S561" s="15" t="str">
        <f>IF(AND($E561=1,$F561=2),TRIM(CLEAN('入力シート（2事業場以降）'!R340)),"")&amp;""</f>
        <v/>
      </c>
      <c r="T561" s="15" t="str">
        <f>IF(AND($E561=1,$F561=2),TRIM(CLEAN('入力シート（2事業場以降）'!V340)),"")&amp;""</f>
        <v/>
      </c>
      <c r="W561" s="117" t="str">
        <f t="shared" ca="1" si="143"/>
        <v>OK</v>
      </c>
      <c r="X561" t="str">
        <f t="shared" ca="1" si="130"/>
        <v/>
      </c>
      <c r="Y561">
        <f t="shared" si="126"/>
        <v>1</v>
      </c>
      <c r="Z561">
        <f t="shared" si="133"/>
        <v>1</v>
      </c>
      <c r="AA561" s="36"/>
      <c r="AB561" t="str">
        <f t="shared" si="144"/>
        <v>コード番号を選択してください。</v>
      </c>
      <c r="AC561" t="s">
        <v>450</v>
      </c>
      <c r="AD561" t="str">
        <f t="shared" ref="AD561" si="151">AE560</f>
        <v>1台目の機器が入力されていません。
詰めて入力してください。</v>
      </c>
      <c r="AE561" t="str">
        <f>C560&amp;"台目の機器が入力されていません。"&amp;CHAR(10)&amp;"詰めて入力してください。"</f>
        <v>2台目の機器が入力されていません。
詰めて入力してください。</v>
      </c>
      <c r="AF561" t="s">
        <v>451</v>
      </c>
      <c r="AH561">
        <f t="shared" si="127"/>
        <v>9999</v>
      </c>
      <c r="AI561">
        <f>SMALL($AH$514:$AH$663,48)</f>
        <v>9999</v>
      </c>
      <c r="AJ561" t="e">
        <f t="shared" si="128"/>
        <v>#N/A</v>
      </c>
      <c r="AK561" t="str">
        <f t="shared" si="129"/>
        <v>事業場99</v>
      </c>
    </row>
    <row r="562" spans="2:37" x14ac:dyDescent="0.15">
      <c r="B562" s="5">
        <v>17</v>
      </c>
      <c r="C562" s="5">
        <v>1</v>
      </c>
      <c r="D562" s="4">
        <v>1701</v>
      </c>
      <c r="E562" s="4">
        <f t="shared" si="146"/>
        <v>0</v>
      </c>
      <c r="F562" s="15">
        <f>'入力シート（2事業場以降）'!AQ343</f>
        <v>0</v>
      </c>
      <c r="G562" s="4" t="str">
        <f>IF(AND($E562=1,$F562=1),'入力シート（2事業場以降）'!F343,"")&amp;""</f>
        <v/>
      </c>
      <c r="H562" s="15" t="str">
        <f>IFERROR(VLOOKUP($G562,補助対象機器一覧20220831!$A$2:$K$200,3,FALSE),"")</f>
        <v/>
      </c>
      <c r="I562" s="15" t="str">
        <f>IFERROR(VLOOKUP($G562,補助対象機器一覧20220831!$A$2:$K$200,4,FALSE),"")</f>
        <v/>
      </c>
      <c r="J562" s="15" t="str">
        <f>IFERROR(VLOOKUP($G562,補助対象機器一覧20220831!$A$2:$K$200,5,FALSE),"")</f>
        <v/>
      </c>
      <c r="K562" s="15" t="str">
        <f>IFERROR(VLOOKUP($G562,補助対象機器一覧20220831!$A$2:$K$200,6,FALSE),"")</f>
        <v/>
      </c>
      <c r="L562" s="4" t="str">
        <f>IF(AND($E562=1,$F562=1),'入力シート（2事業場以降）'!J343,"")&amp;""</f>
        <v/>
      </c>
      <c r="M562" s="4" t="str">
        <f>IF(AND($E562=1,$F562=1),'入力シート（2事業場以降）'!N343,"")&amp;""</f>
        <v/>
      </c>
      <c r="N562" s="4" t="str">
        <f>IF(AND($E562=1,$F562=1),'入力シート（2事業場以降）'!R343,"")&amp;""</f>
        <v/>
      </c>
      <c r="O562" s="4" t="str">
        <f>IF(AND($E562=1,$F562=1),'入力シート（2事業場以降）'!V343,"")&amp;""</f>
        <v/>
      </c>
      <c r="P562" s="4" t="str">
        <f>IFERROR(VLOOKUP($G562,補助対象機器一覧20220831!$A$2:$K$200,10,FALSE),"")</f>
        <v/>
      </c>
      <c r="Q562" s="15" t="str">
        <f>IF(AND($E562=1,$F562=2),TRIM(CLEAN('入力シート（2事業場以降）'!J345)),"")&amp;""</f>
        <v/>
      </c>
      <c r="R562" s="15" t="str">
        <f>IF(AND($E562=1,$F562=2),TRIM(CLEAN('入力シート（2事業場以降）'!N345)),"")&amp;""</f>
        <v/>
      </c>
      <c r="S562" s="15" t="str">
        <f>IF(AND($E562=1,$F562=2),TRIM(CLEAN('入力シート（2事業場以降）'!R345)),"")&amp;""</f>
        <v/>
      </c>
      <c r="T562" s="15" t="str">
        <f>IF(AND($E562=1,$F562=2),TRIM(CLEAN('入力シート（2事業場以降）'!V345)),"")&amp;""</f>
        <v/>
      </c>
      <c r="V562">
        <v>7</v>
      </c>
      <c r="W562" s="117" t="str">
        <f t="shared" ca="1" si="143"/>
        <v>OK</v>
      </c>
      <c r="X562" t="str">
        <f t="shared" ca="1" si="130"/>
        <v>交付申請時のコード番号を選択してください。
申請するコード番号が選べなかった場合は、コード番号の有無で「なし」を選択してください。</v>
      </c>
      <c r="Y562">
        <f t="shared" si="126"/>
        <v>1</v>
      </c>
      <c r="Z562">
        <f t="shared" si="133"/>
        <v>0</v>
      </c>
      <c r="AA562"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62" t="str">
        <f t="shared" si="144"/>
        <v>コード番号を選択してください。</v>
      </c>
      <c r="AC562" t="s">
        <v>450</v>
      </c>
      <c r="AD562" s="36"/>
      <c r="AE562" s="36"/>
      <c r="AF562" t="s">
        <v>451</v>
      </c>
      <c r="AH562">
        <f t="shared" si="127"/>
        <v>9999</v>
      </c>
      <c r="AI562">
        <f>SMALL($AH$514:$AH$663,49)</f>
        <v>9999</v>
      </c>
      <c r="AJ562" t="e">
        <f t="shared" si="128"/>
        <v>#N/A</v>
      </c>
      <c r="AK562" t="str">
        <f t="shared" si="129"/>
        <v>事業場99</v>
      </c>
    </row>
    <row r="563" spans="2:37" x14ac:dyDescent="0.15">
      <c r="B563" s="5">
        <v>17</v>
      </c>
      <c r="C563" s="5">
        <v>2</v>
      </c>
      <c r="D563" s="4">
        <v>1702</v>
      </c>
      <c r="E563" s="4">
        <f t="shared" si="146"/>
        <v>0</v>
      </c>
      <c r="F563" s="15">
        <f>'入力シート（2事業場以降）'!AQ347</f>
        <v>0</v>
      </c>
      <c r="G563" s="4" t="str">
        <f>IF(AND($E563=1,$F563=1),'入力シート（2事業場以降）'!F347,"")&amp;""</f>
        <v/>
      </c>
      <c r="H563" s="15" t="str">
        <f>IFERROR(VLOOKUP($G563,補助対象機器一覧20220831!$A$2:$K$200,3,FALSE),"")</f>
        <v/>
      </c>
      <c r="I563" s="15" t="str">
        <f>IFERROR(VLOOKUP($G563,補助対象機器一覧20220831!$A$2:$K$200,4,FALSE),"")</f>
        <v/>
      </c>
      <c r="J563" s="15" t="str">
        <f>IFERROR(VLOOKUP($G563,補助対象機器一覧20220831!$A$2:$K$200,5,FALSE),"")</f>
        <v/>
      </c>
      <c r="K563" s="15" t="str">
        <f>IFERROR(VLOOKUP($G563,補助対象機器一覧20220831!$A$2:$K$200,6,FALSE),"")</f>
        <v/>
      </c>
      <c r="L563" s="4" t="str">
        <f>IF(AND($E563=1,$F563=1),'入力シート（2事業場以降）'!J347,"")&amp;""</f>
        <v/>
      </c>
      <c r="M563" s="4" t="str">
        <f>IF(AND($E563=1,$F563=1),'入力シート（2事業場以降）'!N347,"")&amp;""</f>
        <v/>
      </c>
      <c r="N563" s="4" t="str">
        <f>IF(AND($E563=1,$F563=1),'入力シート（2事業場以降）'!R347,"")&amp;""</f>
        <v/>
      </c>
      <c r="O563" s="4" t="str">
        <f>IF(AND($E563=1,$F563=1),'入力シート（2事業場以降）'!V347,"")&amp;""</f>
        <v/>
      </c>
      <c r="P563" s="4" t="str">
        <f>IFERROR(VLOOKUP($G563,補助対象機器一覧20220831!$A$2:$K$200,10,FALSE),"")</f>
        <v/>
      </c>
      <c r="Q563" s="15" t="str">
        <f>IF(AND($E563=1,$F563=2),TRIM(CLEAN('入力シート（2事業場以降）'!J349)),"")&amp;""</f>
        <v/>
      </c>
      <c r="R563" s="15" t="str">
        <f>IF(AND($E563=1,$F563=2),TRIM(CLEAN('入力シート（2事業場以降）'!N349)),"")&amp;""</f>
        <v/>
      </c>
      <c r="S563" s="15" t="str">
        <f>IF(AND($E563=1,$F563=2),TRIM(CLEAN('入力シート（2事業場以降）'!R349)),"")&amp;""</f>
        <v/>
      </c>
      <c r="T563" s="15" t="str">
        <f>IF(AND($E563=1,$F563=2),TRIM(CLEAN('入力シート（2事業場以降）'!V349)),"")&amp;""</f>
        <v/>
      </c>
      <c r="W563" s="117" t="str">
        <f t="shared" ca="1" si="143"/>
        <v>OK</v>
      </c>
      <c r="X563" t="str">
        <f t="shared" ca="1" si="130"/>
        <v/>
      </c>
      <c r="Y563">
        <f t="shared" si="126"/>
        <v>1</v>
      </c>
      <c r="Z563">
        <f t="shared" si="133"/>
        <v>2</v>
      </c>
      <c r="AA563" s="36"/>
      <c r="AB563" t="str">
        <f t="shared" si="144"/>
        <v>コード番号を選択してください。</v>
      </c>
      <c r="AC563" t="s">
        <v>450</v>
      </c>
      <c r="AD563" s="36"/>
      <c r="AE563" t="str">
        <f>C562&amp;"台目の機器が入力されていません。"&amp;CHAR(10)&amp;"詰めて入力してください。"</f>
        <v>1台目の機器が入力されていません。
詰めて入力してください。</v>
      </c>
      <c r="AF563" t="s">
        <v>451</v>
      </c>
      <c r="AH563">
        <f t="shared" si="127"/>
        <v>9999</v>
      </c>
      <c r="AI563">
        <f>SMALL($AH$514:$AH$663,50)</f>
        <v>9999</v>
      </c>
      <c r="AJ563" t="e">
        <f t="shared" si="128"/>
        <v>#N/A</v>
      </c>
      <c r="AK563" t="str">
        <f t="shared" si="129"/>
        <v>事業場99</v>
      </c>
    </row>
    <row r="564" spans="2:37" x14ac:dyDescent="0.15">
      <c r="B564" s="5">
        <v>17</v>
      </c>
      <c r="C564" s="5">
        <v>3</v>
      </c>
      <c r="D564" s="4">
        <v>1703</v>
      </c>
      <c r="E564" s="4">
        <f t="shared" si="146"/>
        <v>0</v>
      </c>
      <c r="F564" s="15">
        <f>'入力シート（2事業場以降）'!AQ351</f>
        <v>0</v>
      </c>
      <c r="G564" s="4" t="str">
        <f>IF(AND($E564=1,$F564=1),'入力シート（2事業場以降）'!F351,"")&amp;""</f>
        <v/>
      </c>
      <c r="H564" s="15" t="str">
        <f>IFERROR(VLOOKUP($G564,補助対象機器一覧20220831!$A$2:$K$200,3,FALSE),"")</f>
        <v/>
      </c>
      <c r="I564" s="15" t="str">
        <f>IFERROR(VLOOKUP($G564,補助対象機器一覧20220831!$A$2:$K$200,4,FALSE),"")</f>
        <v/>
      </c>
      <c r="J564" s="15" t="str">
        <f>IFERROR(VLOOKUP($G564,補助対象機器一覧20220831!$A$2:$K$200,5,FALSE),"")</f>
        <v/>
      </c>
      <c r="K564" s="15" t="str">
        <f>IFERROR(VLOOKUP($G564,補助対象機器一覧20220831!$A$2:$K$200,6,FALSE),"")</f>
        <v/>
      </c>
      <c r="L564" s="4" t="str">
        <f>IF(AND($E564=1,$F564=1),'入力シート（2事業場以降）'!J351,"")&amp;""</f>
        <v/>
      </c>
      <c r="M564" s="4" t="str">
        <f>IF(AND($E564=1,$F564=1),'入力シート（2事業場以降）'!N351,"")&amp;""</f>
        <v/>
      </c>
      <c r="N564" s="4" t="str">
        <f>IF(AND($E564=1,$F564=1),'入力シート（2事業場以降）'!R351,"")&amp;""</f>
        <v/>
      </c>
      <c r="O564" s="4" t="str">
        <f>IF(AND($E564=1,$F564=1),'入力シート（2事業場以降）'!V351,"")&amp;""</f>
        <v/>
      </c>
      <c r="P564" s="4" t="str">
        <f>IFERROR(VLOOKUP($G564,補助対象機器一覧20220831!$A$2:$K$200,10,FALSE),"")</f>
        <v/>
      </c>
      <c r="Q564" s="15" t="str">
        <f>IF(AND($E564=1,$F564=2),TRIM(CLEAN('入力シート（2事業場以降）'!J353)),"")&amp;""</f>
        <v/>
      </c>
      <c r="R564" s="15" t="str">
        <f>IF(AND($E564=1,$F564=2),TRIM(CLEAN('入力シート（2事業場以降）'!N353)),"")&amp;""</f>
        <v/>
      </c>
      <c r="S564" s="15" t="str">
        <f>IF(AND($E564=1,$F564=2),TRIM(CLEAN('入力シート（2事業場以降）'!R353)),"")&amp;""</f>
        <v/>
      </c>
      <c r="T564" s="15" t="str">
        <f>IF(AND($E564=1,$F564=2),TRIM(CLEAN('入力シート（2事業場以降）'!V353)),"")&amp;""</f>
        <v/>
      </c>
      <c r="W564" s="117" t="str">
        <f t="shared" ca="1" si="143"/>
        <v>OK</v>
      </c>
      <c r="X564" t="str">
        <f t="shared" ca="1" si="130"/>
        <v/>
      </c>
      <c r="Y564">
        <f t="shared" si="126"/>
        <v>1</v>
      </c>
      <c r="Z564">
        <f t="shared" si="133"/>
        <v>1</v>
      </c>
      <c r="AA564" s="36"/>
      <c r="AB564" t="str">
        <f t="shared" si="144"/>
        <v>コード番号を選択してください。</v>
      </c>
      <c r="AC564" t="s">
        <v>450</v>
      </c>
      <c r="AD564" t="str">
        <f t="shared" ref="AD564" si="152">AE563</f>
        <v>1台目の機器が入力されていません。
詰めて入力してください。</v>
      </c>
      <c r="AE564" t="str">
        <f>C563&amp;"台目の機器が入力されていません。"&amp;CHAR(10)&amp;"詰めて入力してください。"</f>
        <v>2台目の機器が入力されていません。
詰めて入力してください。</v>
      </c>
      <c r="AF564" t="s">
        <v>451</v>
      </c>
      <c r="AH564">
        <f t="shared" si="127"/>
        <v>9999</v>
      </c>
      <c r="AI564">
        <f>SMALL($AH$514:$AH$663,51)</f>
        <v>9999</v>
      </c>
      <c r="AJ564" t="e">
        <f t="shared" si="128"/>
        <v>#N/A</v>
      </c>
      <c r="AK564" t="str">
        <f t="shared" si="129"/>
        <v>事業場99</v>
      </c>
    </row>
    <row r="565" spans="2:37" x14ac:dyDescent="0.15">
      <c r="B565" s="5">
        <v>18</v>
      </c>
      <c r="C565" s="5">
        <v>1</v>
      </c>
      <c r="D565" s="4">
        <v>1801</v>
      </c>
      <c r="E565" s="4">
        <f t="shared" si="146"/>
        <v>0</v>
      </c>
      <c r="F565" s="15">
        <f>'入力シート（2事業場以降）'!AQ356</f>
        <v>0</v>
      </c>
      <c r="G565" s="4" t="str">
        <f>IF(AND($E565=1,$F565=1),'入力シート（2事業場以降）'!F356,"")&amp;""</f>
        <v/>
      </c>
      <c r="H565" s="15" t="str">
        <f>IFERROR(VLOOKUP($G565,補助対象機器一覧20220831!$A$2:$K$200,3,FALSE),"")</f>
        <v/>
      </c>
      <c r="I565" s="15" t="str">
        <f>IFERROR(VLOOKUP($G565,補助対象機器一覧20220831!$A$2:$K$200,4,FALSE),"")</f>
        <v/>
      </c>
      <c r="J565" s="15" t="str">
        <f>IFERROR(VLOOKUP($G565,補助対象機器一覧20220831!$A$2:$K$200,5,FALSE),"")</f>
        <v/>
      </c>
      <c r="K565" s="15" t="str">
        <f>IFERROR(VLOOKUP($G565,補助対象機器一覧20220831!$A$2:$K$200,6,FALSE),"")</f>
        <v/>
      </c>
      <c r="L565" s="4" t="str">
        <f>IF(AND($E565=1,$F565=1),'入力シート（2事業場以降）'!J356,"")&amp;""</f>
        <v/>
      </c>
      <c r="M565" s="4" t="str">
        <f>IF(AND($E565=1,$F565=1),'入力シート（2事業場以降）'!N356,"")&amp;""</f>
        <v/>
      </c>
      <c r="N565" s="4" t="str">
        <f>IF(AND($E565=1,$F565=1),'入力シート（2事業場以降）'!R356,"")&amp;""</f>
        <v/>
      </c>
      <c r="O565" s="4" t="str">
        <f>IF(AND($E565=1,$F565=1),'入力シート（2事業場以降）'!V356,"")&amp;""</f>
        <v/>
      </c>
      <c r="P565" s="4" t="str">
        <f>IFERROR(VLOOKUP($G565,補助対象機器一覧20220831!$A$2:$K$200,10,FALSE),"")</f>
        <v/>
      </c>
      <c r="Q565" s="15" t="str">
        <f>IF(AND($E565=1,$F565=2),TRIM(CLEAN('入力シート（2事業場以降）'!J358)),"")&amp;""</f>
        <v/>
      </c>
      <c r="R565" s="15" t="str">
        <f>IF(AND($E565=1,$F565=2),TRIM(CLEAN('入力シート（2事業場以降）'!N358)),"")&amp;""</f>
        <v/>
      </c>
      <c r="S565" s="15" t="str">
        <f>IF(AND($E565=1,$F565=2),TRIM(CLEAN('入力シート（2事業場以降）'!R358)),"")&amp;""</f>
        <v/>
      </c>
      <c r="T565" s="15" t="str">
        <f>IF(AND($E565=1,$F565=2),TRIM(CLEAN('入力シート（2事業場以降）'!V358)),"")&amp;""</f>
        <v/>
      </c>
      <c r="V565">
        <v>8</v>
      </c>
      <c r="W565" s="117" t="str">
        <f t="shared" ca="1" si="143"/>
        <v>OK</v>
      </c>
      <c r="X565" t="str">
        <f t="shared" ca="1" si="130"/>
        <v>交付申請時のコード番号を選択してください。
申請するコード番号が選べなかった場合は、コード番号の有無で「なし」を選択してください。</v>
      </c>
      <c r="Y565">
        <f t="shared" si="126"/>
        <v>1</v>
      </c>
      <c r="Z565">
        <f t="shared" si="133"/>
        <v>0</v>
      </c>
      <c r="AA565"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65" t="str">
        <f t="shared" si="144"/>
        <v>コード番号を選択してください。</v>
      </c>
      <c r="AC565" t="s">
        <v>450</v>
      </c>
      <c r="AD565" s="36"/>
      <c r="AE565" s="36"/>
      <c r="AF565" t="s">
        <v>451</v>
      </c>
      <c r="AH565">
        <f t="shared" si="127"/>
        <v>9999</v>
      </c>
      <c r="AI565">
        <f>SMALL($AH$514:$AH$663,52)</f>
        <v>9999</v>
      </c>
      <c r="AJ565" t="e">
        <f t="shared" si="128"/>
        <v>#N/A</v>
      </c>
      <c r="AK565" t="str">
        <f t="shared" si="129"/>
        <v>事業場99</v>
      </c>
    </row>
    <row r="566" spans="2:37" x14ac:dyDescent="0.15">
      <c r="B566" s="5">
        <v>18</v>
      </c>
      <c r="C566" s="5">
        <v>2</v>
      </c>
      <c r="D566" s="4">
        <v>1802</v>
      </c>
      <c r="E566" s="4">
        <f t="shared" si="146"/>
        <v>0</v>
      </c>
      <c r="F566" s="15">
        <f>'入力シート（2事業場以降）'!AQ360</f>
        <v>0</v>
      </c>
      <c r="G566" s="4" t="str">
        <f>IF(AND($E566=1,$F566=1),'入力シート（2事業場以降）'!F360,"")&amp;""</f>
        <v/>
      </c>
      <c r="H566" s="15" t="str">
        <f>IFERROR(VLOOKUP($G566,補助対象機器一覧20220831!$A$2:$K$200,3,FALSE),"")</f>
        <v/>
      </c>
      <c r="I566" s="15" t="str">
        <f>IFERROR(VLOOKUP($G566,補助対象機器一覧20220831!$A$2:$K$200,4,FALSE),"")</f>
        <v/>
      </c>
      <c r="J566" s="15" t="str">
        <f>IFERROR(VLOOKUP($G566,補助対象機器一覧20220831!$A$2:$K$200,5,FALSE),"")</f>
        <v/>
      </c>
      <c r="K566" s="15" t="str">
        <f>IFERROR(VLOOKUP($G566,補助対象機器一覧20220831!$A$2:$K$200,6,FALSE),"")</f>
        <v/>
      </c>
      <c r="L566" s="4" t="str">
        <f>IF(AND($E566=1,$F566=1),'入力シート（2事業場以降）'!J360,"")&amp;""</f>
        <v/>
      </c>
      <c r="M566" s="4" t="str">
        <f>IF(AND($E566=1,$F566=1),'入力シート（2事業場以降）'!N360,"")&amp;""</f>
        <v/>
      </c>
      <c r="N566" s="4" t="str">
        <f>IF(AND($E566=1,$F566=1),'入力シート（2事業場以降）'!R360,"")&amp;""</f>
        <v/>
      </c>
      <c r="O566" s="4" t="str">
        <f>IF(AND($E566=1,$F566=1),'入力シート（2事業場以降）'!V360,"")&amp;""</f>
        <v/>
      </c>
      <c r="P566" s="4" t="str">
        <f>IFERROR(VLOOKUP($G566,補助対象機器一覧20220831!$A$2:$K$200,10,FALSE),"")</f>
        <v/>
      </c>
      <c r="Q566" s="15" t="str">
        <f>IF(AND($E566=1,$F566=2),TRIM(CLEAN('入力シート（2事業場以降）'!J362)),"")&amp;""</f>
        <v/>
      </c>
      <c r="R566" s="15" t="str">
        <f>IF(AND($E566=1,$F566=2),TRIM(CLEAN('入力シート（2事業場以降）'!N362)),"")&amp;""</f>
        <v/>
      </c>
      <c r="S566" s="15" t="str">
        <f>IF(AND($E566=1,$F566=2),TRIM(CLEAN('入力シート（2事業場以降）'!R362)),"")&amp;""</f>
        <v/>
      </c>
      <c r="T566" s="15" t="str">
        <f>IF(AND($E566=1,$F566=2),TRIM(CLEAN('入力シート（2事業場以降）'!V362)),"")&amp;""</f>
        <v/>
      </c>
      <c r="W566" s="117" t="str">
        <f t="shared" ca="1" si="143"/>
        <v>OK</v>
      </c>
      <c r="X566" t="str">
        <f t="shared" ca="1" si="130"/>
        <v/>
      </c>
      <c r="Y566">
        <f t="shared" si="126"/>
        <v>1</v>
      </c>
      <c r="Z566">
        <f t="shared" si="133"/>
        <v>2</v>
      </c>
      <c r="AA566" s="36"/>
      <c r="AB566" t="str">
        <f t="shared" si="144"/>
        <v>コード番号を選択してください。</v>
      </c>
      <c r="AC566" t="s">
        <v>450</v>
      </c>
      <c r="AD566" s="36"/>
      <c r="AE566" t="str">
        <f>C565&amp;"台目の機器が入力されていません。"&amp;CHAR(10)&amp;"詰めて入力してください。"</f>
        <v>1台目の機器が入力されていません。
詰めて入力してください。</v>
      </c>
      <c r="AF566" t="s">
        <v>451</v>
      </c>
      <c r="AH566">
        <f t="shared" si="127"/>
        <v>9999</v>
      </c>
      <c r="AI566">
        <f>SMALL($AH$514:$AH$663,53)</f>
        <v>9999</v>
      </c>
      <c r="AJ566" t="e">
        <f t="shared" si="128"/>
        <v>#N/A</v>
      </c>
      <c r="AK566" t="str">
        <f t="shared" si="129"/>
        <v>事業場99</v>
      </c>
    </row>
    <row r="567" spans="2:37" x14ac:dyDescent="0.15">
      <c r="B567" s="5">
        <v>18</v>
      </c>
      <c r="C567" s="5">
        <v>3</v>
      </c>
      <c r="D567" s="4">
        <v>1803</v>
      </c>
      <c r="E567" s="4">
        <f t="shared" si="146"/>
        <v>0</v>
      </c>
      <c r="F567" s="15">
        <f>'入力シート（2事業場以降）'!AQ364</f>
        <v>0</v>
      </c>
      <c r="G567" s="4" t="str">
        <f>IF(AND($E567=1,$F567=1),'入力シート（2事業場以降）'!F364,"")&amp;""</f>
        <v/>
      </c>
      <c r="H567" s="15" t="str">
        <f>IFERROR(VLOOKUP($G567,補助対象機器一覧20220831!$A$2:$K$200,3,FALSE),"")</f>
        <v/>
      </c>
      <c r="I567" s="15" t="str">
        <f>IFERROR(VLOOKUP($G567,補助対象機器一覧20220831!$A$2:$K$200,4,FALSE),"")</f>
        <v/>
      </c>
      <c r="J567" s="15" t="str">
        <f>IFERROR(VLOOKUP($G567,補助対象機器一覧20220831!$A$2:$K$200,5,FALSE),"")</f>
        <v/>
      </c>
      <c r="K567" s="15" t="str">
        <f>IFERROR(VLOOKUP($G567,補助対象機器一覧20220831!$A$2:$K$200,6,FALSE),"")</f>
        <v/>
      </c>
      <c r="L567" s="4" t="str">
        <f>IF(AND($E567=1,$F567=1),'入力シート（2事業場以降）'!J364,"")&amp;""</f>
        <v/>
      </c>
      <c r="M567" s="4" t="str">
        <f>IF(AND($E567=1,$F567=1),'入力シート（2事業場以降）'!N364,"")&amp;""</f>
        <v/>
      </c>
      <c r="N567" s="4" t="str">
        <f>IF(AND($E567=1,$F567=1),'入力シート（2事業場以降）'!R364,"")&amp;""</f>
        <v/>
      </c>
      <c r="O567" s="4" t="str">
        <f>IF(AND($E567=1,$F567=1),'入力シート（2事業場以降）'!V364,"")&amp;""</f>
        <v/>
      </c>
      <c r="P567" s="4" t="str">
        <f>IFERROR(VLOOKUP($G567,補助対象機器一覧20220831!$A$2:$K$200,10,FALSE),"")</f>
        <v/>
      </c>
      <c r="Q567" s="15" t="str">
        <f>IF(AND($E567=1,$F567=2),TRIM(CLEAN('入力シート（2事業場以降）'!J366)),"")&amp;""</f>
        <v/>
      </c>
      <c r="R567" s="15" t="str">
        <f>IF(AND($E567=1,$F567=2),TRIM(CLEAN('入力シート（2事業場以降）'!N366)),"")&amp;""</f>
        <v/>
      </c>
      <c r="S567" s="15" t="str">
        <f>IF(AND($E567=1,$F567=2),TRIM(CLEAN('入力シート（2事業場以降）'!R366)),"")&amp;""</f>
        <v/>
      </c>
      <c r="T567" s="15" t="str">
        <f>IF(AND($E567=1,$F567=2),TRIM(CLEAN('入力シート（2事業場以降）'!V366)),"")&amp;""</f>
        <v/>
      </c>
      <c r="W567" s="117" t="str">
        <f t="shared" ca="1" si="143"/>
        <v>OK</v>
      </c>
      <c r="X567" t="str">
        <f t="shared" ca="1" si="130"/>
        <v/>
      </c>
      <c r="Y567">
        <f t="shared" si="126"/>
        <v>1</v>
      </c>
      <c r="Z567">
        <f t="shared" si="133"/>
        <v>1</v>
      </c>
      <c r="AA567" s="36"/>
      <c r="AB567" t="str">
        <f t="shared" si="144"/>
        <v>コード番号を選択してください。</v>
      </c>
      <c r="AC567" t="s">
        <v>450</v>
      </c>
      <c r="AD567" t="str">
        <f t="shared" ref="AD567" si="153">AE566</f>
        <v>1台目の機器が入力されていません。
詰めて入力してください。</v>
      </c>
      <c r="AE567" t="str">
        <f>C566&amp;"台目の機器が入力されていません。"&amp;CHAR(10)&amp;"詰めて入力してください。"</f>
        <v>2台目の機器が入力されていません。
詰めて入力してください。</v>
      </c>
      <c r="AF567" t="s">
        <v>451</v>
      </c>
      <c r="AH567">
        <f t="shared" si="127"/>
        <v>9999</v>
      </c>
      <c r="AI567">
        <f>SMALL($AH$514:$AH$663,54)</f>
        <v>9999</v>
      </c>
      <c r="AJ567" t="e">
        <f t="shared" si="128"/>
        <v>#N/A</v>
      </c>
      <c r="AK567" t="str">
        <f t="shared" si="129"/>
        <v>事業場99</v>
      </c>
    </row>
    <row r="568" spans="2:37" x14ac:dyDescent="0.15">
      <c r="B568" s="5">
        <v>19</v>
      </c>
      <c r="C568" s="5">
        <v>1</v>
      </c>
      <c r="D568" s="4">
        <v>1901</v>
      </c>
      <c r="E568" s="4">
        <f t="shared" si="146"/>
        <v>0</v>
      </c>
      <c r="F568" s="15">
        <f>'入力シート（2事業場以降）'!AQ369</f>
        <v>0</v>
      </c>
      <c r="G568" s="4" t="str">
        <f>IF(AND($E568=1,$F568=1),'入力シート（2事業場以降）'!F369,"")&amp;""</f>
        <v/>
      </c>
      <c r="H568" s="15" t="str">
        <f>IFERROR(VLOOKUP($G568,補助対象機器一覧20220831!$A$2:$K$200,3,FALSE),"")</f>
        <v/>
      </c>
      <c r="I568" s="15" t="str">
        <f>IFERROR(VLOOKUP($G568,補助対象機器一覧20220831!$A$2:$K$200,4,FALSE),"")</f>
        <v/>
      </c>
      <c r="J568" s="15" t="str">
        <f>IFERROR(VLOOKUP($G568,補助対象機器一覧20220831!$A$2:$K$200,5,FALSE),"")</f>
        <v/>
      </c>
      <c r="K568" s="15" t="str">
        <f>IFERROR(VLOOKUP($G568,補助対象機器一覧20220831!$A$2:$K$200,6,FALSE),"")</f>
        <v/>
      </c>
      <c r="L568" s="4" t="str">
        <f>IF(AND($E568=1,$F568=1),'入力シート（2事業場以降）'!J369,"")&amp;""</f>
        <v/>
      </c>
      <c r="M568" s="4" t="str">
        <f>IF(AND($E568=1,$F568=1),'入力シート（2事業場以降）'!N369,"")&amp;""</f>
        <v/>
      </c>
      <c r="N568" s="4" t="str">
        <f>IF(AND($E568=1,$F568=1),'入力シート（2事業場以降）'!R369,"")&amp;""</f>
        <v/>
      </c>
      <c r="O568" s="4" t="str">
        <f>IF(AND($E568=1,$F568=1),'入力シート（2事業場以降）'!V369,"")&amp;""</f>
        <v/>
      </c>
      <c r="P568" s="4" t="str">
        <f>IFERROR(VLOOKUP($G568,補助対象機器一覧20220831!$A$2:$K$200,10,FALSE),"")</f>
        <v/>
      </c>
      <c r="Q568" s="15" t="str">
        <f>IF(AND($E568=1,$F568=2),TRIM(CLEAN('入力シート（2事業場以降）'!J371)),"")&amp;""</f>
        <v/>
      </c>
      <c r="R568" s="15" t="str">
        <f>IF(AND($E568=1,$F568=2),TRIM(CLEAN('入力シート（2事業場以降）'!N371)),"")&amp;""</f>
        <v/>
      </c>
      <c r="S568" s="15" t="str">
        <f>IF(AND($E568=1,$F568=2),TRIM(CLEAN('入力シート（2事業場以降）'!R371)),"")&amp;""</f>
        <v/>
      </c>
      <c r="T568" s="15" t="str">
        <f>IF(AND($E568=1,$F568=2),TRIM(CLEAN('入力シート（2事業場以降）'!V371)),"")&amp;""</f>
        <v/>
      </c>
      <c r="V568">
        <v>9</v>
      </c>
      <c r="W568" s="117" t="str">
        <f t="shared" ca="1" si="143"/>
        <v>OK</v>
      </c>
      <c r="X568" t="str">
        <f t="shared" ca="1" si="130"/>
        <v>交付申請時のコード番号を選択してください。
申請するコード番号が選べなかった場合は、コード番号の有無で「なし」を選択してください。</v>
      </c>
      <c r="Y568">
        <f t="shared" si="126"/>
        <v>1</v>
      </c>
      <c r="Z568">
        <f t="shared" si="133"/>
        <v>0</v>
      </c>
      <c r="AA568"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68" t="str">
        <f t="shared" si="144"/>
        <v>コード番号を選択してください。</v>
      </c>
      <c r="AC568" t="s">
        <v>450</v>
      </c>
      <c r="AD568" s="36"/>
      <c r="AE568" s="36"/>
      <c r="AF568" t="s">
        <v>451</v>
      </c>
      <c r="AH568">
        <f t="shared" si="127"/>
        <v>9999</v>
      </c>
      <c r="AI568">
        <f>SMALL($AH$514:$AH$663,55)</f>
        <v>9999</v>
      </c>
      <c r="AJ568" t="e">
        <f t="shared" si="128"/>
        <v>#N/A</v>
      </c>
      <c r="AK568" t="str">
        <f t="shared" si="129"/>
        <v>事業場99</v>
      </c>
    </row>
    <row r="569" spans="2:37" x14ac:dyDescent="0.15">
      <c r="B569" s="5">
        <v>19</v>
      </c>
      <c r="C569" s="5">
        <v>2</v>
      </c>
      <c r="D569" s="4">
        <v>1902</v>
      </c>
      <c r="E569" s="4">
        <f t="shared" si="146"/>
        <v>0</v>
      </c>
      <c r="F569" s="15">
        <f>'入力シート（2事業場以降）'!AQ373</f>
        <v>0</v>
      </c>
      <c r="G569" s="4" t="str">
        <f>IF(AND($E569=1,$F569=1),'入力シート（2事業場以降）'!F373,"")&amp;""</f>
        <v/>
      </c>
      <c r="H569" s="15" t="str">
        <f>IFERROR(VLOOKUP($G569,補助対象機器一覧20220831!$A$2:$K$200,3,FALSE),"")</f>
        <v/>
      </c>
      <c r="I569" s="15" t="str">
        <f>IFERROR(VLOOKUP($G569,補助対象機器一覧20220831!$A$2:$K$200,4,FALSE),"")</f>
        <v/>
      </c>
      <c r="J569" s="15" t="str">
        <f>IFERROR(VLOOKUP($G569,補助対象機器一覧20220831!$A$2:$K$200,5,FALSE),"")</f>
        <v/>
      </c>
      <c r="K569" s="15" t="str">
        <f>IFERROR(VLOOKUP($G569,補助対象機器一覧20220831!$A$2:$K$200,6,FALSE),"")</f>
        <v/>
      </c>
      <c r="L569" s="4" t="str">
        <f>IF(AND($E569=1,$F569=1),'入力シート（2事業場以降）'!J373,"")&amp;""</f>
        <v/>
      </c>
      <c r="M569" s="4" t="str">
        <f>IF(AND($E569=1,$F569=1),'入力シート（2事業場以降）'!N373,"")&amp;""</f>
        <v/>
      </c>
      <c r="N569" s="4" t="str">
        <f>IF(AND($E569=1,$F569=1),'入力シート（2事業場以降）'!R373,"")&amp;""</f>
        <v/>
      </c>
      <c r="O569" s="4" t="str">
        <f>IF(AND($E569=1,$F569=1),'入力シート（2事業場以降）'!V373,"")&amp;""</f>
        <v/>
      </c>
      <c r="P569" s="4" t="str">
        <f>IFERROR(VLOOKUP($G569,補助対象機器一覧20220831!$A$2:$K$200,10,FALSE),"")</f>
        <v/>
      </c>
      <c r="Q569" s="15" t="str">
        <f>IF(AND($E569=1,$F569=2),TRIM(CLEAN('入力シート（2事業場以降）'!J375)),"")&amp;""</f>
        <v/>
      </c>
      <c r="R569" s="15" t="str">
        <f>IF(AND($E569=1,$F569=2),TRIM(CLEAN('入力シート（2事業場以降）'!N375)),"")&amp;""</f>
        <v/>
      </c>
      <c r="S569" s="15" t="str">
        <f>IF(AND($E569=1,$F569=2),TRIM(CLEAN('入力シート（2事業場以降）'!R375)),"")&amp;""</f>
        <v/>
      </c>
      <c r="T569" s="15" t="str">
        <f>IF(AND($E569=1,$F569=2),TRIM(CLEAN('入力シート（2事業場以降）'!V375)),"")&amp;""</f>
        <v/>
      </c>
      <c r="W569" s="117" t="str">
        <f t="shared" ca="1" si="143"/>
        <v>OK</v>
      </c>
      <c r="X569" t="str">
        <f t="shared" ca="1" si="130"/>
        <v/>
      </c>
      <c r="Y569">
        <f t="shared" si="126"/>
        <v>1</v>
      </c>
      <c r="Z569">
        <f t="shared" si="133"/>
        <v>2</v>
      </c>
      <c r="AA569" s="36"/>
      <c r="AB569" t="str">
        <f t="shared" si="144"/>
        <v>コード番号を選択してください。</v>
      </c>
      <c r="AC569" t="s">
        <v>450</v>
      </c>
      <c r="AD569" s="36"/>
      <c r="AE569" t="str">
        <f>C568&amp;"台目の機器が入力されていません。"&amp;CHAR(10)&amp;"詰めて入力してください。"</f>
        <v>1台目の機器が入力されていません。
詰めて入力してください。</v>
      </c>
      <c r="AF569" t="s">
        <v>451</v>
      </c>
      <c r="AH569">
        <f t="shared" si="127"/>
        <v>9999</v>
      </c>
      <c r="AI569">
        <f>SMALL($AH$514:$AH$663,56)</f>
        <v>9999</v>
      </c>
      <c r="AJ569" t="e">
        <f t="shared" si="128"/>
        <v>#N/A</v>
      </c>
      <c r="AK569" t="str">
        <f t="shared" si="129"/>
        <v>事業場99</v>
      </c>
    </row>
    <row r="570" spans="2:37" x14ac:dyDescent="0.15">
      <c r="B570" s="5">
        <v>19</v>
      </c>
      <c r="C570" s="5">
        <v>3</v>
      </c>
      <c r="D570" s="4">
        <v>1903</v>
      </c>
      <c r="E570" s="4">
        <f t="shared" si="146"/>
        <v>0</v>
      </c>
      <c r="F570" s="15">
        <f>'入力シート（2事業場以降）'!AQ377</f>
        <v>0</v>
      </c>
      <c r="G570" s="4" t="str">
        <f>IF(AND($E570=1,$F570=1),'入力シート（2事業場以降）'!F377,"")&amp;""</f>
        <v/>
      </c>
      <c r="H570" s="15" t="str">
        <f>IFERROR(VLOOKUP($G570,補助対象機器一覧20220831!$A$2:$K$200,3,FALSE),"")</f>
        <v/>
      </c>
      <c r="I570" s="15" t="str">
        <f>IFERROR(VLOOKUP($G570,補助対象機器一覧20220831!$A$2:$K$200,4,FALSE),"")</f>
        <v/>
      </c>
      <c r="J570" s="15" t="str">
        <f>IFERROR(VLOOKUP($G570,補助対象機器一覧20220831!$A$2:$K$200,5,FALSE),"")</f>
        <v/>
      </c>
      <c r="K570" s="15" t="str">
        <f>IFERROR(VLOOKUP($G570,補助対象機器一覧20220831!$A$2:$K$200,6,FALSE),"")</f>
        <v/>
      </c>
      <c r="L570" s="4" t="str">
        <f>IF(AND($E570=1,$F570=1),'入力シート（2事業場以降）'!J377,"")&amp;""</f>
        <v/>
      </c>
      <c r="M570" s="4" t="str">
        <f>IF(AND($E570=1,$F570=1),'入力シート（2事業場以降）'!N377,"")&amp;""</f>
        <v/>
      </c>
      <c r="N570" s="4" t="str">
        <f>IF(AND($E570=1,$F570=1),'入力シート（2事業場以降）'!R377,"")&amp;""</f>
        <v/>
      </c>
      <c r="O570" s="4" t="str">
        <f>IF(AND($E570=1,$F570=1),'入力シート（2事業場以降）'!V377,"")&amp;""</f>
        <v/>
      </c>
      <c r="P570" s="4" t="str">
        <f>IFERROR(VLOOKUP($G570,補助対象機器一覧20220831!$A$2:$K$200,10,FALSE),"")</f>
        <v/>
      </c>
      <c r="Q570" s="15" t="str">
        <f>IF(AND($E570=1,$F570=2),TRIM(CLEAN('入力シート（2事業場以降）'!J379)),"")&amp;""</f>
        <v/>
      </c>
      <c r="R570" s="15" t="str">
        <f>IF(AND($E570=1,$F570=2),TRIM(CLEAN('入力シート（2事業場以降）'!N379)),"")&amp;""</f>
        <v/>
      </c>
      <c r="S570" s="15" t="str">
        <f>IF(AND($E570=1,$F570=2),TRIM(CLEAN('入力シート（2事業場以降）'!R379)),"")&amp;""</f>
        <v/>
      </c>
      <c r="T570" s="15" t="str">
        <f>IF(AND($E570=1,$F570=2),TRIM(CLEAN('入力シート（2事業場以降）'!V379)),"")&amp;""</f>
        <v/>
      </c>
      <c r="W570" s="117" t="str">
        <f t="shared" ca="1" si="143"/>
        <v>OK</v>
      </c>
      <c r="X570" t="str">
        <f t="shared" ca="1" si="130"/>
        <v/>
      </c>
      <c r="Y570">
        <f t="shared" si="126"/>
        <v>1</v>
      </c>
      <c r="Z570">
        <f t="shared" si="133"/>
        <v>1</v>
      </c>
      <c r="AA570" s="36"/>
      <c r="AB570" t="str">
        <f t="shared" si="144"/>
        <v>コード番号を選択してください。</v>
      </c>
      <c r="AC570" t="s">
        <v>450</v>
      </c>
      <c r="AD570" t="str">
        <f t="shared" ref="AD570" si="154">AE569</f>
        <v>1台目の機器が入力されていません。
詰めて入力してください。</v>
      </c>
      <c r="AE570" t="str">
        <f>C569&amp;"台目の機器が入力されていません。"&amp;CHAR(10)&amp;"詰めて入力してください。"</f>
        <v>2台目の機器が入力されていません。
詰めて入力してください。</v>
      </c>
      <c r="AF570" t="s">
        <v>451</v>
      </c>
      <c r="AH570">
        <f t="shared" si="127"/>
        <v>9999</v>
      </c>
      <c r="AI570">
        <f>SMALL($AH$514:$AH$663,57)</f>
        <v>9999</v>
      </c>
      <c r="AJ570" t="e">
        <f t="shared" si="128"/>
        <v>#N/A</v>
      </c>
      <c r="AK570" t="str">
        <f t="shared" si="129"/>
        <v>事業場99</v>
      </c>
    </row>
    <row r="571" spans="2:37" x14ac:dyDescent="0.15">
      <c r="B571" s="5">
        <v>20</v>
      </c>
      <c r="C571" s="5">
        <v>1</v>
      </c>
      <c r="D571" s="4">
        <v>2001</v>
      </c>
      <c r="E571" s="4">
        <f t="shared" si="146"/>
        <v>0</v>
      </c>
      <c r="F571" s="15">
        <f>'入力シート（2事業場以降）'!AQ382</f>
        <v>0</v>
      </c>
      <c r="G571" s="4" t="str">
        <f>IF(AND($E571=1,$F571=1),'入力シート（2事業場以降）'!F382,"")&amp;""</f>
        <v/>
      </c>
      <c r="H571" s="15" t="str">
        <f>IFERROR(VLOOKUP($G571,補助対象機器一覧20220831!$A$2:$K$200,3,FALSE),"")</f>
        <v/>
      </c>
      <c r="I571" s="15" t="str">
        <f>IFERROR(VLOOKUP($G571,補助対象機器一覧20220831!$A$2:$K$200,4,FALSE),"")</f>
        <v/>
      </c>
      <c r="J571" s="15" t="str">
        <f>IFERROR(VLOOKUP($G571,補助対象機器一覧20220831!$A$2:$K$200,5,FALSE),"")</f>
        <v/>
      </c>
      <c r="K571" s="15" t="str">
        <f>IFERROR(VLOOKUP($G571,補助対象機器一覧20220831!$A$2:$K$200,6,FALSE),"")</f>
        <v/>
      </c>
      <c r="L571" s="4" t="str">
        <f>IF(AND($E571=1,$F571=1),'入力シート（2事業場以降）'!J382,"")&amp;""</f>
        <v/>
      </c>
      <c r="M571" s="4" t="str">
        <f>IF(AND($E571=1,$F571=1),'入力シート（2事業場以降）'!N382,"")&amp;""</f>
        <v/>
      </c>
      <c r="N571" s="4" t="str">
        <f>IF(AND($E571=1,$F571=1),'入力シート（2事業場以降）'!R382,"")&amp;""</f>
        <v/>
      </c>
      <c r="O571" s="4" t="str">
        <f>IF(AND($E571=1,$F571=1),'入力シート（2事業場以降）'!V382,"")&amp;""</f>
        <v/>
      </c>
      <c r="P571" s="4" t="str">
        <f>IFERROR(VLOOKUP($G571,補助対象機器一覧20220831!$A$2:$K$200,10,FALSE),"")</f>
        <v/>
      </c>
      <c r="Q571" s="15" t="str">
        <f>IF(AND($E571=1,$F571=2),TRIM(CLEAN('入力シート（2事業場以降）'!J384)),"")&amp;""</f>
        <v/>
      </c>
      <c r="R571" s="15" t="str">
        <f>IF(AND($E571=1,$F571=2),TRIM(CLEAN('入力シート（2事業場以降）'!N384)),"")&amp;""</f>
        <v/>
      </c>
      <c r="S571" s="15" t="str">
        <f>IF(AND($E571=1,$F571=2),TRIM(CLEAN('入力シート（2事業場以降）'!R384)),"")&amp;""</f>
        <v/>
      </c>
      <c r="T571" s="15" t="str">
        <f>IF(AND($E571=1,$F571=2),TRIM(CLEAN('入力シート（2事業場以降）'!V384)),"")&amp;""</f>
        <v/>
      </c>
      <c r="V571">
        <v>10</v>
      </c>
      <c r="W571" s="117" t="str">
        <f t="shared" ca="1" si="143"/>
        <v>OK</v>
      </c>
      <c r="X571" t="str">
        <f t="shared" ca="1" si="130"/>
        <v>交付申請時のコード番号を選択してください。
申請するコード番号が選べなかった場合は、コード番号の有無で「なし」を選択してください。</v>
      </c>
      <c r="Y571">
        <f t="shared" si="126"/>
        <v>1</v>
      </c>
      <c r="Z571">
        <f t="shared" si="133"/>
        <v>0</v>
      </c>
      <c r="AA571"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71" t="str">
        <f t="shared" si="144"/>
        <v>コード番号を選択してください。</v>
      </c>
      <c r="AC571" t="s">
        <v>450</v>
      </c>
      <c r="AD571" s="36"/>
      <c r="AE571" s="36"/>
      <c r="AF571" t="s">
        <v>451</v>
      </c>
      <c r="AH571">
        <f t="shared" si="127"/>
        <v>9999</v>
      </c>
      <c r="AI571">
        <f>SMALL($AH$514:$AH$663,58)</f>
        <v>9999</v>
      </c>
      <c r="AJ571" t="e">
        <f t="shared" si="128"/>
        <v>#N/A</v>
      </c>
      <c r="AK571" t="str">
        <f t="shared" si="129"/>
        <v>事業場99</v>
      </c>
    </row>
    <row r="572" spans="2:37" x14ac:dyDescent="0.15">
      <c r="B572" s="5">
        <v>20</v>
      </c>
      <c r="C572" s="5">
        <v>2</v>
      </c>
      <c r="D572" s="4">
        <v>2002</v>
      </c>
      <c r="E572" s="4">
        <f t="shared" si="146"/>
        <v>0</v>
      </c>
      <c r="F572" s="15">
        <f>'入力シート（2事業場以降）'!AQ386</f>
        <v>0</v>
      </c>
      <c r="G572" s="4" t="str">
        <f>IF(AND($E572=1,$F572=1),'入力シート（2事業場以降）'!F386,"")&amp;""</f>
        <v/>
      </c>
      <c r="H572" s="15" t="str">
        <f>IFERROR(VLOOKUP($G572,補助対象機器一覧20220831!$A$2:$K$200,3,FALSE),"")</f>
        <v/>
      </c>
      <c r="I572" s="15" t="str">
        <f>IFERROR(VLOOKUP($G572,補助対象機器一覧20220831!$A$2:$K$200,4,FALSE),"")</f>
        <v/>
      </c>
      <c r="J572" s="15" t="str">
        <f>IFERROR(VLOOKUP($G572,補助対象機器一覧20220831!$A$2:$K$200,5,FALSE),"")</f>
        <v/>
      </c>
      <c r="K572" s="15" t="str">
        <f>IFERROR(VLOOKUP($G572,補助対象機器一覧20220831!$A$2:$K$200,6,FALSE),"")</f>
        <v/>
      </c>
      <c r="L572" s="4" t="str">
        <f>IF(AND($E572=1,$F572=1),'入力シート（2事業場以降）'!J386,"")&amp;""</f>
        <v/>
      </c>
      <c r="M572" s="4" t="str">
        <f>IF(AND($E572=1,$F572=1),'入力シート（2事業場以降）'!N386,"")&amp;""</f>
        <v/>
      </c>
      <c r="N572" s="4" t="str">
        <f>IF(AND($E572=1,$F572=1),'入力シート（2事業場以降）'!R386,"")&amp;""</f>
        <v/>
      </c>
      <c r="O572" s="4" t="str">
        <f>IF(AND($E572=1,$F572=1),'入力シート（2事業場以降）'!V386,"")&amp;""</f>
        <v/>
      </c>
      <c r="P572" s="4" t="str">
        <f>IFERROR(VLOOKUP($G572,補助対象機器一覧20220831!$A$2:$K$200,10,FALSE),"")</f>
        <v/>
      </c>
      <c r="Q572" s="15" t="str">
        <f>IF(AND($E572=1,$F572=2),TRIM(CLEAN('入力シート（2事業場以降）'!J388)),"")&amp;""</f>
        <v/>
      </c>
      <c r="R572" s="15" t="str">
        <f>IF(AND($E572=1,$F572=2),TRIM(CLEAN('入力シート（2事業場以降）'!N388)),"")&amp;""</f>
        <v/>
      </c>
      <c r="S572" s="15" t="str">
        <f>IF(AND($E572=1,$F572=2),TRIM(CLEAN('入力シート（2事業場以降）'!R388)),"")&amp;""</f>
        <v/>
      </c>
      <c r="T572" s="15" t="str">
        <f>IF(AND($E572=1,$F572=2),TRIM(CLEAN('入力シート（2事業場以降）'!V388)),"")&amp;""</f>
        <v/>
      </c>
      <c r="W572" s="117" t="str">
        <f t="shared" ca="1" si="143"/>
        <v>OK</v>
      </c>
      <c r="X572" t="str">
        <f t="shared" ca="1" si="130"/>
        <v/>
      </c>
      <c r="Y572">
        <f t="shared" si="126"/>
        <v>1</v>
      </c>
      <c r="Z572">
        <f t="shared" si="133"/>
        <v>2</v>
      </c>
      <c r="AA572" s="36"/>
      <c r="AB572" t="str">
        <f t="shared" si="144"/>
        <v>コード番号を選択してください。</v>
      </c>
      <c r="AC572" t="s">
        <v>450</v>
      </c>
      <c r="AD572" s="36"/>
      <c r="AE572" t="str">
        <f>C571&amp;"台目の機器が入力されていません。"&amp;CHAR(10)&amp;"詰めて入力してください。"</f>
        <v>1台目の機器が入力されていません。
詰めて入力してください。</v>
      </c>
      <c r="AF572" t="s">
        <v>451</v>
      </c>
      <c r="AH572">
        <f t="shared" si="127"/>
        <v>9999</v>
      </c>
      <c r="AI572">
        <f>SMALL($AH$514:$AH$663,59)</f>
        <v>9999</v>
      </c>
      <c r="AJ572" t="e">
        <f t="shared" si="128"/>
        <v>#N/A</v>
      </c>
      <c r="AK572" t="str">
        <f t="shared" si="129"/>
        <v>事業場99</v>
      </c>
    </row>
    <row r="573" spans="2:37" x14ac:dyDescent="0.15">
      <c r="B573" s="5">
        <v>20</v>
      </c>
      <c r="C573" s="5">
        <v>3</v>
      </c>
      <c r="D573" s="4">
        <v>2003</v>
      </c>
      <c r="E573" s="4">
        <f t="shared" si="146"/>
        <v>0</v>
      </c>
      <c r="F573" s="15">
        <f>'入力シート（2事業場以降）'!AQ390</f>
        <v>0</v>
      </c>
      <c r="G573" s="4" t="str">
        <f>IF(AND($E573=1,$F573=1),'入力シート（2事業場以降）'!F390,"")&amp;""</f>
        <v/>
      </c>
      <c r="H573" s="15" t="str">
        <f>IFERROR(VLOOKUP($G573,補助対象機器一覧20220831!$A$2:$K$200,3,FALSE),"")</f>
        <v/>
      </c>
      <c r="I573" s="15" t="str">
        <f>IFERROR(VLOOKUP($G573,補助対象機器一覧20220831!$A$2:$K$200,4,FALSE),"")</f>
        <v/>
      </c>
      <c r="J573" s="15" t="str">
        <f>IFERROR(VLOOKUP($G573,補助対象機器一覧20220831!$A$2:$K$200,5,FALSE),"")</f>
        <v/>
      </c>
      <c r="K573" s="15" t="str">
        <f>IFERROR(VLOOKUP($G573,補助対象機器一覧20220831!$A$2:$K$200,6,FALSE),"")</f>
        <v/>
      </c>
      <c r="L573" s="4" t="str">
        <f>IF(AND($E573=1,$F573=1),'入力シート（2事業場以降）'!J390,"")&amp;""</f>
        <v/>
      </c>
      <c r="M573" s="4" t="str">
        <f>IF(AND($E573=1,$F573=1),'入力シート（2事業場以降）'!N390,"")&amp;""</f>
        <v/>
      </c>
      <c r="N573" s="4" t="str">
        <f>IF(AND($E573=1,$F573=1),'入力シート（2事業場以降）'!R390,"")&amp;""</f>
        <v/>
      </c>
      <c r="O573" s="4" t="str">
        <f>IF(AND($E573=1,$F573=1),'入力シート（2事業場以降）'!V390,"")&amp;""</f>
        <v/>
      </c>
      <c r="P573" s="4" t="str">
        <f>IFERROR(VLOOKUP($G573,補助対象機器一覧20220831!$A$2:$K$200,10,FALSE),"")</f>
        <v/>
      </c>
      <c r="Q573" s="15" t="str">
        <f>IF(AND($E573=1,$F573=2),TRIM(CLEAN('入力シート（2事業場以降）'!J392)),"")&amp;""</f>
        <v/>
      </c>
      <c r="R573" s="15" t="str">
        <f>IF(AND($E573=1,$F573=2),TRIM(CLEAN('入力シート（2事業場以降）'!N392)),"")&amp;""</f>
        <v/>
      </c>
      <c r="S573" s="15" t="str">
        <f>IF(AND($E573=1,$F573=2),TRIM(CLEAN('入力シート（2事業場以降）'!R392)),"")&amp;""</f>
        <v/>
      </c>
      <c r="T573" s="15" t="str">
        <f>IF(AND($E573=1,$F573=2),TRIM(CLEAN('入力シート（2事業場以降）'!V392)),"")&amp;""</f>
        <v/>
      </c>
      <c r="W573" s="117" t="str">
        <f t="shared" ca="1" si="143"/>
        <v>OK</v>
      </c>
      <c r="X573" t="str">
        <f t="shared" ca="1" si="130"/>
        <v/>
      </c>
      <c r="Y573">
        <f t="shared" si="126"/>
        <v>1</v>
      </c>
      <c r="Z573">
        <f t="shared" si="133"/>
        <v>1</v>
      </c>
      <c r="AA573" s="36"/>
      <c r="AB573" t="str">
        <f t="shared" si="144"/>
        <v>コード番号を選択してください。</v>
      </c>
      <c r="AC573" t="s">
        <v>450</v>
      </c>
      <c r="AD573" t="str">
        <f t="shared" ref="AD573" si="155">AE572</f>
        <v>1台目の機器が入力されていません。
詰めて入力してください。</v>
      </c>
      <c r="AE573" t="str">
        <f>C572&amp;"台目の機器が入力されていません。"&amp;CHAR(10)&amp;"詰めて入力してください。"</f>
        <v>2台目の機器が入力されていません。
詰めて入力してください。</v>
      </c>
      <c r="AF573" t="s">
        <v>451</v>
      </c>
      <c r="AH573">
        <f t="shared" si="127"/>
        <v>9999</v>
      </c>
      <c r="AI573">
        <f>SMALL($AH$514:$AH$663,60)</f>
        <v>9999</v>
      </c>
      <c r="AJ573" t="e">
        <f t="shared" si="128"/>
        <v>#N/A</v>
      </c>
      <c r="AK573" t="str">
        <f t="shared" si="129"/>
        <v>事業場99</v>
      </c>
    </row>
    <row r="574" spans="2:37" x14ac:dyDescent="0.15">
      <c r="B574" s="5">
        <v>21</v>
      </c>
      <c r="C574" s="5">
        <v>1</v>
      </c>
      <c r="D574" s="4">
        <v>2101</v>
      </c>
      <c r="E574" s="4">
        <f t="shared" si="146"/>
        <v>0</v>
      </c>
      <c r="F574" s="15">
        <f>'入力シート（2事業場以降）'!AQ395</f>
        <v>0</v>
      </c>
      <c r="G574" s="4" t="str">
        <f>IF(AND($E574=1,$F574=1),'入力シート（2事業場以降）'!F395,"")&amp;""</f>
        <v/>
      </c>
      <c r="H574" s="15" t="str">
        <f>IFERROR(VLOOKUP($G574,補助対象機器一覧20220831!$A$2:$K$200,3,FALSE),"")</f>
        <v/>
      </c>
      <c r="I574" s="15" t="str">
        <f>IFERROR(VLOOKUP($G574,補助対象機器一覧20220831!$A$2:$K$200,4,FALSE),"")</f>
        <v/>
      </c>
      <c r="J574" s="15" t="str">
        <f>IFERROR(VLOOKUP($G574,補助対象機器一覧20220831!$A$2:$K$200,5,FALSE),"")</f>
        <v/>
      </c>
      <c r="K574" s="15" t="str">
        <f>IFERROR(VLOOKUP($G574,補助対象機器一覧20220831!$A$2:$K$200,6,FALSE),"")</f>
        <v/>
      </c>
      <c r="L574" s="4" t="str">
        <f>IF(AND($E574=1,$F574=1),'入力シート（2事業場以降）'!J395,"")&amp;""</f>
        <v/>
      </c>
      <c r="M574" s="4" t="str">
        <f>IF(AND($E574=1,$F574=1),'入力シート（2事業場以降）'!N395,"")&amp;""</f>
        <v/>
      </c>
      <c r="N574" s="4" t="str">
        <f>IF(AND($E574=1,$F574=1),'入力シート（2事業場以降）'!R395,"")&amp;""</f>
        <v/>
      </c>
      <c r="O574" s="4" t="str">
        <f>IF(AND($E574=1,$F574=1),'入力シート（2事業場以降）'!V395,"")&amp;""</f>
        <v/>
      </c>
      <c r="P574" s="4" t="str">
        <f>IFERROR(VLOOKUP($G574,補助対象機器一覧20220831!$A$2:$K$200,10,FALSE),"")</f>
        <v/>
      </c>
      <c r="Q574" s="15" t="str">
        <f>IF(AND($E574=1,$F574=2),TRIM(CLEAN('入力シート（2事業場以降）'!J397)),"")&amp;""</f>
        <v/>
      </c>
      <c r="R574" s="15" t="str">
        <f>IF(AND($E574=1,$F574=2),TRIM(CLEAN('入力シート（2事業場以降）'!N397)),"")&amp;""</f>
        <v/>
      </c>
      <c r="S574" s="15" t="str">
        <f>IF(AND($E574=1,$F574=2),TRIM(CLEAN('入力シート（2事業場以降）'!R397)),"")&amp;""</f>
        <v/>
      </c>
      <c r="T574" s="15" t="str">
        <f>IF(AND($E574=1,$F574=2),TRIM(CLEAN('入力シート（2事業場以降）'!V397)),"")&amp;""</f>
        <v/>
      </c>
      <c r="V574">
        <v>1</v>
      </c>
      <c r="W574" s="117" t="str">
        <f t="shared" ca="1" si="143"/>
        <v>OK</v>
      </c>
      <c r="X574" t="str">
        <f t="shared" ca="1" si="130"/>
        <v>交付申請時のコード番号を選択してください。
申請するコード番号が選べなかった場合は、コード番号の有無で「なし」を選択してください。</v>
      </c>
      <c r="Y574">
        <f t="shared" si="126"/>
        <v>1</v>
      </c>
      <c r="Z574">
        <f t="shared" si="133"/>
        <v>0</v>
      </c>
      <c r="AA574"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74" t="str">
        <f t="shared" si="144"/>
        <v>コード番号を選択してください。</v>
      </c>
      <c r="AC574" t="s">
        <v>450</v>
      </c>
      <c r="AD574" s="36"/>
      <c r="AE574" s="36"/>
      <c r="AF574" t="s">
        <v>451</v>
      </c>
      <c r="AH574">
        <f t="shared" si="127"/>
        <v>9999</v>
      </c>
      <c r="AI574">
        <f>SMALL($AH$514:$AH$663,61)</f>
        <v>9999</v>
      </c>
      <c r="AJ574" t="e">
        <f t="shared" si="128"/>
        <v>#N/A</v>
      </c>
      <c r="AK574" t="str">
        <f t="shared" si="129"/>
        <v>事業場99</v>
      </c>
    </row>
    <row r="575" spans="2:37" x14ac:dyDescent="0.15">
      <c r="B575" s="5">
        <v>21</v>
      </c>
      <c r="C575" s="5">
        <v>2</v>
      </c>
      <c r="D575" s="4">
        <v>2102</v>
      </c>
      <c r="E575" s="4">
        <f t="shared" si="146"/>
        <v>0</v>
      </c>
      <c r="F575" s="15">
        <f>'入力シート（2事業場以降）'!AQ399</f>
        <v>0</v>
      </c>
      <c r="G575" s="4" t="str">
        <f>IF(AND($E575=1,$F575=1),'入力シート（2事業場以降）'!F399,"")&amp;""</f>
        <v/>
      </c>
      <c r="H575" s="15" t="str">
        <f>IFERROR(VLOOKUP($G575,補助対象機器一覧20220831!$A$2:$K$200,3,FALSE),"")</f>
        <v/>
      </c>
      <c r="I575" s="15" t="str">
        <f>IFERROR(VLOOKUP($G575,補助対象機器一覧20220831!$A$2:$K$200,4,FALSE),"")</f>
        <v/>
      </c>
      <c r="J575" s="15" t="str">
        <f>IFERROR(VLOOKUP($G575,補助対象機器一覧20220831!$A$2:$K$200,5,FALSE),"")</f>
        <v/>
      </c>
      <c r="K575" s="15" t="str">
        <f>IFERROR(VLOOKUP($G575,補助対象機器一覧20220831!$A$2:$K$200,6,FALSE),"")</f>
        <v/>
      </c>
      <c r="L575" s="4" t="str">
        <f>IF(AND($E575=1,$F575=1),'入力シート（2事業場以降）'!J399,"")&amp;""</f>
        <v/>
      </c>
      <c r="M575" s="4" t="str">
        <f>IF(AND($E575=1,$F575=1),'入力シート（2事業場以降）'!N399,"")&amp;""</f>
        <v/>
      </c>
      <c r="N575" s="4" t="str">
        <f>IF(AND($E575=1,$F575=1),'入力シート（2事業場以降）'!R399,"")&amp;""</f>
        <v/>
      </c>
      <c r="O575" s="4" t="str">
        <f>IF(AND($E575=1,$F575=1),'入力シート（2事業場以降）'!V399,"")&amp;""</f>
        <v/>
      </c>
      <c r="P575" s="4" t="str">
        <f>IFERROR(VLOOKUP($G575,補助対象機器一覧20220831!$A$2:$K$200,10,FALSE),"")</f>
        <v/>
      </c>
      <c r="Q575" s="15" t="str">
        <f>IF(AND($E575=1,$F575=2),TRIM(CLEAN('入力シート（2事業場以降）'!J401)),"")&amp;""</f>
        <v/>
      </c>
      <c r="R575" s="15" t="str">
        <f>IF(AND($E575=1,$F575=2),TRIM(CLEAN('入力シート（2事業場以降）'!N401)),"")&amp;""</f>
        <v/>
      </c>
      <c r="S575" s="15" t="str">
        <f>IF(AND($E575=1,$F575=2),TRIM(CLEAN('入力シート（2事業場以降）'!R401)),"")&amp;""</f>
        <v/>
      </c>
      <c r="T575" s="15" t="str">
        <f>IF(AND($E575=1,$F575=2),TRIM(CLEAN('入力シート（2事業場以降）'!V401)),"")&amp;""</f>
        <v/>
      </c>
      <c r="W575" s="117" t="str">
        <f t="shared" ca="1" si="143"/>
        <v>OK</v>
      </c>
      <c r="X575" t="str">
        <f t="shared" ca="1" si="130"/>
        <v/>
      </c>
      <c r="Y575">
        <f t="shared" si="126"/>
        <v>1</v>
      </c>
      <c r="Z575">
        <f t="shared" si="133"/>
        <v>2</v>
      </c>
      <c r="AA575" s="36"/>
      <c r="AB575" t="str">
        <f t="shared" si="144"/>
        <v>コード番号を選択してください。</v>
      </c>
      <c r="AC575" t="s">
        <v>450</v>
      </c>
      <c r="AD575" s="36"/>
      <c r="AE575" t="str">
        <f>C574&amp;"台目の機器が入力されていません。"&amp;CHAR(10)&amp;"詰めて入力してください。"</f>
        <v>1台目の機器が入力されていません。
詰めて入力してください。</v>
      </c>
      <c r="AF575" t="s">
        <v>451</v>
      </c>
      <c r="AH575">
        <f t="shared" si="127"/>
        <v>9999</v>
      </c>
      <c r="AI575">
        <f>SMALL($AH$514:$AH$663,62)</f>
        <v>9999</v>
      </c>
      <c r="AJ575" t="e">
        <f t="shared" si="128"/>
        <v>#N/A</v>
      </c>
      <c r="AK575" t="str">
        <f t="shared" si="129"/>
        <v>事業場99</v>
      </c>
    </row>
    <row r="576" spans="2:37" x14ac:dyDescent="0.15">
      <c r="B576" s="5">
        <v>21</v>
      </c>
      <c r="C576" s="5">
        <v>3</v>
      </c>
      <c r="D576" s="4">
        <v>2103</v>
      </c>
      <c r="E576" s="4">
        <f t="shared" si="146"/>
        <v>0</v>
      </c>
      <c r="F576" s="15">
        <f>'入力シート（2事業場以降）'!AQ403</f>
        <v>0</v>
      </c>
      <c r="G576" s="4" t="str">
        <f>IF(AND($E576=1,$F576=1),'入力シート（2事業場以降）'!F403,"")&amp;""</f>
        <v/>
      </c>
      <c r="H576" s="15" t="str">
        <f>IFERROR(VLOOKUP($G576,補助対象機器一覧20220831!$A$2:$K$200,3,FALSE),"")</f>
        <v/>
      </c>
      <c r="I576" s="15" t="str">
        <f>IFERROR(VLOOKUP($G576,補助対象機器一覧20220831!$A$2:$K$200,4,FALSE),"")</f>
        <v/>
      </c>
      <c r="J576" s="15" t="str">
        <f>IFERROR(VLOOKUP($G576,補助対象機器一覧20220831!$A$2:$K$200,5,FALSE),"")</f>
        <v/>
      </c>
      <c r="K576" s="15" t="str">
        <f>IFERROR(VLOOKUP($G576,補助対象機器一覧20220831!$A$2:$K$200,6,FALSE),"")</f>
        <v/>
      </c>
      <c r="L576" s="4" t="str">
        <f>IF(AND($E576=1,$F576=1),'入力シート（2事業場以降）'!J403,"")&amp;""</f>
        <v/>
      </c>
      <c r="M576" s="4" t="str">
        <f>IF(AND($E576=1,$F576=1),'入力シート（2事業場以降）'!N403,"")&amp;""</f>
        <v/>
      </c>
      <c r="N576" s="4" t="str">
        <f>IF(AND($E576=1,$F576=1),'入力シート（2事業場以降）'!R403,"")&amp;""</f>
        <v/>
      </c>
      <c r="O576" s="4" t="str">
        <f>IF(AND($E576=1,$F576=1),'入力シート（2事業場以降）'!V403,"")&amp;""</f>
        <v/>
      </c>
      <c r="P576" s="4" t="str">
        <f>IFERROR(VLOOKUP($G576,補助対象機器一覧20220831!$A$2:$K$200,10,FALSE),"")</f>
        <v/>
      </c>
      <c r="Q576" s="15" t="str">
        <f>IF(AND($E576=1,$F576=2),TRIM(CLEAN('入力シート（2事業場以降）'!J405)),"")&amp;""</f>
        <v/>
      </c>
      <c r="R576" s="15" t="str">
        <f>IF(AND($E576=1,$F576=2),TRIM(CLEAN('入力シート（2事業場以降）'!N405)),"")&amp;""</f>
        <v/>
      </c>
      <c r="S576" s="15" t="str">
        <f>IF(AND($E576=1,$F576=2),TRIM(CLEAN('入力シート（2事業場以降）'!R405)),"")&amp;""</f>
        <v/>
      </c>
      <c r="T576" s="15" t="str">
        <f>IF(AND($E576=1,$F576=2),TRIM(CLEAN('入力シート（2事業場以降）'!V405)),"")&amp;""</f>
        <v/>
      </c>
      <c r="W576" s="117" t="str">
        <f t="shared" ca="1" si="143"/>
        <v>OK</v>
      </c>
      <c r="X576" t="str">
        <f t="shared" ca="1" si="130"/>
        <v/>
      </c>
      <c r="Y576">
        <f t="shared" si="126"/>
        <v>1</v>
      </c>
      <c r="Z576">
        <f t="shared" si="133"/>
        <v>1</v>
      </c>
      <c r="AA576" s="36"/>
      <c r="AB576" t="str">
        <f t="shared" si="144"/>
        <v>コード番号を選択してください。</v>
      </c>
      <c r="AC576" t="s">
        <v>450</v>
      </c>
      <c r="AD576" t="str">
        <f t="shared" ref="AD576" si="156">AE575</f>
        <v>1台目の機器が入力されていません。
詰めて入力してください。</v>
      </c>
      <c r="AE576" t="str">
        <f>C575&amp;"台目の機器が入力されていません。"&amp;CHAR(10)&amp;"詰めて入力してください。"</f>
        <v>2台目の機器が入力されていません。
詰めて入力してください。</v>
      </c>
      <c r="AF576" t="s">
        <v>451</v>
      </c>
      <c r="AH576">
        <f t="shared" si="127"/>
        <v>9999</v>
      </c>
      <c r="AI576">
        <f>SMALL($AH$514:$AH$663,63)</f>
        <v>9999</v>
      </c>
      <c r="AJ576" t="e">
        <f t="shared" si="128"/>
        <v>#N/A</v>
      </c>
      <c r="AK576" t="str">
        <f t="shared" si="129"/>
        <v>事業場99</v>
      </c>
    </row>
    <row r="577" spans="2:37" x14ac:dyDescent="0.15">
      <c r="B577" s="5">
        <v>22</v>
      </c>
      <c r="C577" s="5">
        <v>1</v>
      </c>
      <c r="D577" s="4">
        <v>2201</v>
      </c>
      <c r="E577" s="4">
        <f t="shared" si="146"/>
        <v>0</v>
      </c>
      <c r="F577" s="15">
        <f>'入力シート（2事業場以降）'!AQ408</f>
        <v>0</v>
      </c>
      <c r="G577" s="4" t="str">
        <f>IF(AND($E577=1,$F577=1),'入力シート（2事業場以降）'!F408,"")&amp;""</f>
        <v/>
      </c>
      <c r="H577" s="15" t="str">
        <f>IFERROR(VLOOKUP($G577,補助対象機器一覧20220831!$A$2:$K$200,3,FALSE),"")</f>
        <v/>
      </c>
      <c r="I577" s="15" t="str">
        <f>IFERROR(VLOOKUP($G577,補助対象機器一覧20220831!$A$2:$K$200,4,FALSE),"")</f>
        <v/>
      </c>
      <c r="J577" s="15" t="str">
        <f>IFERROR(VLOOKUP($G577,補助対象機器一覧20220831!$A$2:$K$200,5,FALSE),"")</f>
        <v/>
      </c>
      <c r="K577" s="15" t="str">
        <f>IFERROR(VLOOKUP($G577,補助対象機器一覧20220831!$A$2:$K$200,6,FALSE),"")</f>
        <v/>
      </c>
      <c r="L577" s="4" t="str">
        <f>IF(AND($E577=1,$F577=1),'入力シート（2事業場以降）'!J408,"")&amp;""</f>
        <v/>
      </c>
      <c r="M577" s="4" t="str">
        <f>IF(AND($E577=1,$F577=1),'入力シート（2事業場以降）'!N408,"")&amp;""</f>
        <v/>
      </c>
      <c r="N577" s="4" t="str">
        <f>IF(AND($E577=1,$F577=1),'入力シート（2事業場以降）'!R408,"")&amp;""</f>
        <v/>
      </c>
      <c r="O577" s="4" t="str">
        <f>IF(AND($E577=1,$F577=1),'入力シート（2事業場以降）'!V408,"")&amp;""</f>
        <v/>
      </c>
      <c r="P577" s="4" t="str">
        <f>IFERROR(VLOOKUP($G577,補助対象機器一覧20220831!$A$2:$K$200,10,FALSE),"")</f>
        <v/>
      </c>
      <c r="Q577" s="15" t="str">
        <f>IF(AND($E577=1,$F577=2),TRIM(CLEAN('入力シート（2事業場以降）'!J410)),"")&amp;""</f>
        <v/>
      </c>
      <c r="R577" s="15" t="str">
        <f>IF(AND($E577=1,$F577=2),TRIM(CLEAN('入力シート（2事業場以降）'!N410)),"")&amp;""</f>
        <v/>
      </c>
      <c r="S577" s="15" t="str">
        <f>IF(AND($E577=1,$F577=2),TRIM(CLEAN('入力シート（2事業場以降）'!R410)),"")&amp;""</f>
        <v/>
      </c>
      <c r="T577" s="15" t="str">
        <f>IF(AND($E577=1,$F577=2),TRIM(CLEAN('入力シート（2事業場以降）'!V410)),"")&amp;""</f>
        <v/>
      </c>
      <c r="V577">
        <v>2</v>
      </c>
      <c r="W577" s="117" t="str">
        <f t="shared" ca="1" si="143"/>
        <v>OK</v>
      </c>
      <c r="X577" t="str">
        <f t="shared" ca="1" si="130"/>
        <v>交付申請時のコード番号を選択してください。
申請するコード番号が選べなかった場合は、コード番号の有無で「なし」を選択してください。</v>
      </c>
      <c r="Y577">
        <f t="shared" si="126"/>
        <v>1</v>
      </c>
      <c r="Z577">
        <f t="shared" si="133"/>
        <v>0</v>
      </c>
      <c r="AA577"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77" t="str">
        <f t="shared" si="144"/>
        <v>コード番号を選択してください。</v>
      </c>
      <c r="AC577" t="s">
        <v>450</v>
      </c>
      <c r="AD577" s="36"/>
      <c r="AE577" s="36"/>
      <c r="AF577" t="s">
        <v>451</v>
      </c>
      <c r="AH577">
        <f t="shared" si="127"/>
        <v>9999</v>
      </c>
      <c r="AI577">
        <f>SMALL($AH$514:$AH$663,64)</f>
        <v>9999</v>
      </c>
      <c r="AJ577" t="e">
        <f t="shared" si="128"/>
        <v>#N/A</v>
      </c>
      <c r="AK577" t="str">
        <f t="shared" si="129"/>
        <v>事業場99</v>
      </c>
    </row>
    <row r="578" spans="2:37" x14ac:dyDescent="0.15">
      <c r="B578" s="5">
        <v>22</v>
      </c>
      <c r="C578" s="5">
        <v>2</v>
      </c>
      <c r="D578" s="4">
        <v>2202</v>
      </c>
      <c r="E578" s="4">
        <f t="shared" si="146"/>
        <v>0</v>
      </c>
      <c r="F578" s="15">
        <f>'入力シート（2事業場以降）'!AQ412</f>
        <v>0</v>
      </c>
      <c r="G578" s="4" t="str">
        <f>IF(AND($E578=1,$F578=1),'入力シート（2事業場以降）'!F412,"")&amp;""</f>
        <v/>
      </c>
      <c r="H578" s="15" t="str">
        <f>IFERROR(VLOOKUP($G578,補助対象機器一覧20220831!$A$2:$K$200,3,FALSE),"")</f>
        <v/>
      </c>
      <c r="I578" s="15" t="str">
        <f>IFERROR(VLOOKUP($G578,補助対象機器一覧20220831!$A$2:$K$200,4,FALSE),"")</f>
        <v/>
      </c>
      <c r="J578" s="15" t="str">
        <f>IFERROR(VLOOKUP($G578,補助対象機器一覧20220831!$A$2:$K$200,5,FALSE),"")</f>
        <v/>
      </c>
      <c r="K578" s="15" t="str">
        <f>IFERROR(VLOOKUP($G578,補助対象機器一覧20220831!$A$2:$K$200,6,FALSE),"")</f>
        <v/>
      </c>
      <c r="L578" s="4" t="str">
        <f>IF(AND($E578=1,$F578=1),'入力シート（2事業場以降）'!J412,"")&amp;""</f>
        <v/>
      </c>
      <c r="M578" s="4" t="str">
        <f>IF(AND($E578=1,$F578=1),'入力シート（2事業場以降）'!N412,"")&amp;""</f>
        <v/>
      </c>
      <c r="N578" s="4" t="str">
        <f>IF(AND($E578=1,$F578=1),'入力シート（2事業場以降）'!R412,"")&amp;""</f>
        <v/>
      </c>
      <c r="O578" s="4" t="str">
        <f>IF(AND($E578=1,$F578=1),'入力シート（2事業場以降）'!V412,"")&amp;""</f>
        <v/>
      </c>
      <c r="P578" s="4" t="str">
        <f>IFERROR(VLOOKUP($G578,補助対象機器一覧20220831!$A$2:$K$200,10,FALSE),"")</f>
        <v/>
      </c>
      <c r="Q578" s="15" t="str">
        <f>IF(AND($E578=1,$F578=2),TRIM(CLEAN('入力シート（2事業場以降）'!J414)),"")&amp;""</f>
        <v/>
      </c>
      <c r="R578" s="15" t="str">
        <f>IF(AND($E578=1,$F578=2),TRIM(CLEAN('入力シート（2事業場以降）'!N414)),"")&amp;""</f>
        <v/>
      </c>
      <c r="S578" s="15" t="str">
        <f>IF(AND($E578=1,$F578=2),TRIM(CLEAN('入力シート（2事業場以降）'!R414)),"")&amp;""</f>
        <v/>
      </c>
      <c r="T578" s="15" t="str">
        <f>IF(AND($E578=1,$F578=2),TRIM(CLEAN('入力シート（2事業場以降）'!V414)),"")&amp;""</f>
        <v/>
      </c>
      <c r="W578" s="117" t="str">
        <f t="shared" ref="W578:W609" ca="1" si="157">IF(AND(B578&lt;=$G$60,X578&lt;&gt;""),IF(X578="OK",X578,"NG"),"OK")</f>
        <v>OK</v>
      </c>
      <c r="X578" t="str">
        <f t="shared" ca="1" si="130"/>
        <v/>
      </c>
      <c r="Y578">
        <f t="shared" si="126"/>
        <v>1</v>
      </c>
      <c r="Z578">
        <f t="shared" si="133"/>
        <v>2</v>
      </c>
      <c r="AA578" s="36"/>
      <c r="AB578" t="str">
        <f t="shared" ref="AB578:AB609" si="158">$G$513&amp;"を選択してください。"</f>
        <v>コード番号を選択してください。</v>
      </c>
      <c r="AC578" t="s">
        <v>450</v>
      </c>
      <c r="AD578" s="36"/>
      <c r="AE578" t="str">
        <f>C577&amp;"台目の機器が入力されていません。"&amp;CHAR(10)&amp;"詰めて入力してください。"</f>
        <v>1台目の機器が入力されていません。
詰めて入力してください。</v>
      </c>
      <c r="AF578" t="s">
        <v>451</v>
      </c>
      <c r="AH578">
        <f t="shared" si="127"/>
        <v>9999</v>
      </c>
      <c r="AI578">
        <f>SMALL($AH$514:$AH$663,65)</f>
        <v>9999</v>
      </c>
      <c r="AJ578" t="e">
        <f t="shared" si="128"/>
        <v>#N/A</v>
      </c>
      <c r="AK578" t="str">
        <f t="shared" si="129"/>
        <v>事業場99</v>
      </c>
    </row>
    <row r="579" spans="2:37" x14ac:dyDescent="0.15">
      <c r="B579" s="5">
        <v>22</v>
      </c>
      <c r="C579" s="5">
        <v>3</v>
      </c>
      <c r="D579" s="4">
        <v>2203</v>
      </c>
      <c r="E579" s="4">
        <f t="shared" si="146"/>
        <v>0</v>
      </c>
      <c r="F579" s="15">
        <f>'入力シート（2事業場以降）'!AQ416</f>
        <v>0</v>
      </c>
      <c r="G579" s="4" t="str">
        <f>IF(AND($E579=1,$F579=1),'入力シート（2事業場以降）'!F416,"")&amp;""</f>
        <v/>
      </c>
      <c r="H579" s="15" t="str">
        <f>IFERROR(VLOOKUP($G579,補助対象機器一覧20220831!$A$2:$K$200,3,FALSE),"")</f>
        <v/>
      </c>
      <c r="I579" s="15" t="str">
        <f>IFERROR(VLOOKUP($G579,補助対象機器一覧20220831!$A$2:$K$200,4,FALSE),"")</f>
        <v/>
      </c>
      <c r="J579" s="15" t="str">
        <f>IFERROR(VLOOKUP($G579,補助対象機器一覧20220831!$A$2:$K$200,5,FALSE),"")</f>
        <v/>
      </c>
      <c r="K579" s="15" t="str">
        <f>IFERROR(VLOOKUP($G579,補助対象機器一覧20220831!$A$2:$K$200,6,FALSE),"")</f>
        <v/>
      </c>
      <c r="L579" s="4" t="str">
        <f>IF(AND($E579=1,$F579=1),'入力シート（2事業場以降）'!J416,"")&amp;""</f>
        <v/>
      </c>
      <c r="M579" s="4" t="str">
        <f>IF(AND($E579=1,$F579=1),'入力シート（2事業場以降）'!N416,"")&amp;""</f>
        <v/>
      </c>
      <c r="N579" s="4" t="str">
        <f>IF(AND($E579=1,$F579=1),'入力シート（2事業場以降）'!R416,"")&amp;""</f>
        <v/>
      </c>
      <c r="O579" s="4" t="str">
        <f>IF(AND($E579=1,$F579=1),'入力シート（2事業場以降）'!V416,"")&amp;""</f>
        <v/>
      </c>
      <c r="P579" s="4" t="str">
        <f>IFERROR(VLOOKUP($G579,補助対象機器一覧20220831!$A$2:$K$200,10,FALSE),"")</f>
        <v/>
      </c>
      <c r="Q579" s="15" t="str">
        <f>IF(AND($E579=1,$F579=2),TRIM(CLEAN('入力シート（2事業場以降）'!J418)),"")&amp;""</f>
        <v/>
      </c>
      <c r="R579" s="15" t="str">
        <f>IF(AND($E579=1,$F579=2),TRIM(CLEAN('入力シート（2事業場以降）'!N418)),"")&amp;""</f>
        <v/>
      </c>
      <c r="S579" s="15" t="str">
        <f>IF(AND($E579=1,$F579=2),TRIM(CLEAN('入力シート（2事業場以降）'!R418)),"")&amp;""</f>
        <v/>
      </c>
      <c r="T579" s="15" t="str">
        <f>IF(AND($E579=1,$F579=2),TRIM(CLEAN('入力シート（2事業場以降）'!V418)),"")&amp;""</f>
        <v/>
      </c>
      <c r="W579" s="117" t="str">
        <f t="shared" ca="1" si="157"/>
        <v>OK</v>
      </c>
      <c r="X579" t="str">
        <f t="shared" ref="X579:X642" ca="1" si="159">IF(Y579&lt;&gt;0,OFFSET(Z579,0,Y579),IF(Z579&lt;&gt;0,IF(Z579=-1,AC579,OFFSET(AC579,0,Z579)),$V$1))&amp;""</f>
        <v/>
      </c>
      <c r="Y579">
        <f t="shared" ref="Y579:Y642" si="160">IF(AND(F579=0,G579=""),1,0)</f>
        <v>1</v>
      </c>
      <c r="Z579">
        <f t="shared" si="133"/>
        <v>1</v>
      </c>
      <c r="AA579" s="36"/>
      <c r="AB579" t="str">
        <f t="shared" si="158"/>
        <v>コード番号を選択してください。</v>
      </c>
      <c r="AC579" t="s">
        <v>450</v>
      </c>
      <c r="AD579" t="str">
        <f t="shared" ref="AD579" si="161">AE578</f>
        <v>1台目の機器が入力されていません。
詰めて入力してください。</v>
      </c>
      <c r="AE579" t="str">
        <f>C578&amp;"台目の機器が入力されていません。"&amp;CHAR(10)&amp;"詰めて入力してください。"</f>
        <v>2台目の機器が入力されていません。
詰めて入力してください。</v>
      </c>
      <c r="AF579" t="s">
        <v>451</v>
      </c>
      <c r="AH579">
        <f t="shared" ref="AH579:AH642" si="162">IF(AND(E579=1,Y579=0),VALUE(B579&amp;0&amp;C579),9999)</f>
        <v>9999</v>
      </c>
      <c r="AI579">
        <f>SMALL($AH$514:$AH$663,66)</f>
        <v>9999</v>
      </c>
      <c r="AJ579" t="e">
        <f t="shared" ref="AJ579:AJ642" si="163">VLOOKUP(AI579,$D$514:$F$663,3,FALSE)</f>
        <v>#N/A</v>
      </c>
      <c r="AK579" t="str">
        <f t="shared" ref="AK579:AK642" si="164">"事業場"&amp;IF(LEN(AI579)=3,LEFT(AI579,1),LEFT(AI579,2))</f>
        <v>事業場99</v>
      </c>
    </row>
    <row r="580" spans="2:37" x14ac:dyDescent="0.15">
      <c r="B580" s="5">
        <v>23</v>
      </c>
      <c r="C580" s="5">
        <v>1</v>
      </c>
      <c r="D580" s="4">
        <v>2301</v>
      </c>
      <c r="E580" s="4">
        <f t="shared" si="146"/>
        <v>0</v>
      </c>
      <c r="F580" s="15">
        <f>'入力シート（2事業場以降）'!AQ421</f>
        <v>0</v>
      </c>
      <c r="G580" s="4" t="str">
        <f>IF(AND($E580=1,$F580=1),'入力シート（2事業場以降）'!F421,"")&amp;""</f>
        <v/>
      </c>
      <c r="H580" s="15" t="str">
        <f>IFERROR(VLOOKUP($G580,補助対象機器一覧20220831!$A$2:$K$200,3,FALSE),"")</f>
        <v/>
      </c>
      <c r="I580" s="15" t="str">
        <f>IFERROR(VLOOKUP($G580,補助対象機器一覧20220831!$A$2:$K$200,4,FALSE),"")</f>
        <v/>
      </c>
      <c r="J580" s="15" t="str">
        <f>IFERROR(VLOOKUP($G580,補助対象機器一覧20220831!$A$2:$K$200,5,FALSE),"")</f>
        <v/>
      </c>
      <c r="K580" s="15" t="str">
        <f>IFERROR(VLOOKUP($G580,補助対象機器一覧20220831!$A$2:$K$200,6,FALSE),"")</f>
        <v/>
      </c>
      <c r="L580" s="4" t="str">
        <f>IF(AND($E580=1,$F580=1),'入力シート（2事業場以降）'!J421,"")&amp;""</f>
        <v/>
      </c>
      <c r="M580" s="4" t="str">
        <f>IF(AND($E580=1,$F580=1),'入力シート（2事業場以降）'!N421,"")&amp;""</f>
        <v/>
      </c>
      <c r="N580" s="4" t="str">
        <f>IF(AND($E580=1,$F580=1),'入力シート（2事業場以降）'!R421,"")&amp;""</f>
        <v/>
      </c>
      <c r="O580" s="4" t="str">
        <f>IF(AND($E580=1,$F580=1),'入力シート（2事業場以降）'!V421,"")&amp;""</f>
        <v/>
      </c>
      <c r="P580" s="4" t="str">
        <f>IFERROR(VLOOKUP($G580,補助対象機器一覧20220831!$A$2:$K$200,10,FALSE),"")</f>
        <v/>
      </c>
      <c r="Q580" s="15" t="str">
        <f>IF(AND($E580=1,$F580=2),TRIM(CLEAN('入力シート（2事業場以降）'!J423)),"")&amp;""</f>
        <v/>
      </c>
      <c r="R580" s="15" t="str">
        <f>IF(AND($E580=1,$F580=2),TRIM(CLEAN('入力シート（2事業場以降）'!N423)),"")&amp;""</f>
        <v/>
      </c>
      <c r="S580" s="15" t="str">
        <f>IF(AND($E580=1,$F580=2),TRIM(CLEAN('入力シート（2事業場以降）'!R423)),"")&amp;""</f>
        <v/>
      </c>
      <c r="T580" s="15" t="str">
        <f>IF(AND($E580=1,$F580=2),TRIM(CLEAN('入力シート（2事業場以降）'!V423)),"")&amp;""</f>
        <v/>
      </c>
      <c r="V580">
        <v>3</v>
      </c>
      <c r="W580" s="117" t="str">
        <f t="shared" ca="1" si="157"/>
        <v>OK</v>
      </c>
      <c r="X580" t="str">
        <f t="shared" ca="1" si="159"/>
        <v>交付申請時のコード番号を選択してください。
申請するコード番号が選べなかった場合は、コード番号の有無で「なし」を選択してください。</v>
      </c>
      <c r="Y580">
        <f t="shared" si="160"/>
        <v>1</v>
      </c>
      <c r="Z580">
        <f t="shared" si="133"/>
        <v>0</v>
      </c>
      <c r="AA580"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80" t="str">
        <f t="shared" si="158"/>
        <v>コード番号を選択してください。</v>
      </c>
      <c r="AC580" t="s">
        <v>450</v>
      </c>
      <c r="AD580" s="36"/>
      <c r="AE580" s="36"/>
      <c r="AF580" t="s">
        <v>451</v>
      </c>
      <c r="AH580">
        <f t="shared" si="162"/>
        <v>9999</v>
      </c>
      <c r="AI580">
        <f>SMALL($AH$514:$AH$663,67)</f>
        <v>9999</v>
      </c>
      <c r="AJ580" t="e">
        <f t="shared" si="163"/>
        <v>#N/A</v>
      </c>
      <c r="AK580" t="str">
        <f t="shared" si="164"/>
        <v>事業場99</v>
      </c>
    </row>
    <row r="581" spans="2:37" x14ac:dyDescent="0.15">
      <c r="B581" s="5">
        <v>23</v>
      </c>
      <c r="C581" s="5">
        <v>2</v>
      </c>
      <c r="D581" s="4">
        <v>2302</v>
      </c>
      <c r="E581" s="4">
        <f t="shared" ref="E581:E612" si="165">IF(AND(B735&lt;=$G$60),1,0)</f>
        <v>0</v>
      </c>
      <c r="F581" s="15">
        <f>'入力シート（2事業場以降）'!AQ425</f>
        <v>0</v>
      </c>
      <c r="G581" s="4" t="str">
        <f>IF(AND($E581=1,$F581=1),'入力シート（2事業場以降）'!F425,"")&amp;""</f>
        <v/>
      </c>
      <c r="H581" s="15" t="str">
        <f>IFERROR(VLOOKUP($G581,補助対象機器一覧20220831!$A$2:$K$200,3,FALSE),"")</f>
        <v/>
      </c>
      <c r="I581" s="15" t="str">
        <f>IFERROR(VLOOKUP($G581,補助対象機器一覧20220831!$A$2:$K$200,4,FALSE),"")</f>
        <v/>
      </c>
      <c r="J581" s="15" t="str">
        <f>IFERROR(VLOOKUP($G581,補助対象機器一覧20220831!$A$2:$K$200,5,FALSE),"")</f>
        <v/>
      </c>
      <c r="K581" s="15" t="str">
        <f>IFERROR(VLOOKUP($G581,補助対象機器一覧20220831!$A$2:$K$200,6,FALSE),"")</f>
        <v/>
      </c>
      <c r="L581" s="4" t="str">
        <f>IF(AND($E581=1,$F581=1),'入力シート（2事業場以降）'!J425,"")&amp;""</f>
        <v/>
      </c>
      <c r="M581" s="4" t="str">
        <f>IF(AND($E581=1,$F581=1),'入力シート（2事業場以降）'!N425,"")&amp;""</f>
        <v/>
      </c>
      <c r="N581" s="4" t="str">
        <f>IF(AND($E581=1,$F581=1),'入力シート（2事業場以降）'!R425,"")&amp;""</f>
        <v/>
      </c>
      <c r="O581" s="4" t="str">
        <f>IF(AND($E581=1,$F581=1),'入力シート（2事業場以降）'!V425,"")&amp;""</f>
        <v/>
      </c>
      <c r="P581" s="4" t="str">
        <f>IFERROR(VLOOKUP($G581,補助対象機器一覧20220831!$A$2:$K$200,10,FALSE),"")</f>
        <v/>
      </c>
      <c r="Q581" s="15" t="str">
        <f>IF(AND($E581=1,$F581=2),TRIM(CLEAN('入力シート（2事業場以降）'!J427)),"")&amp;""</f>
        <v/>
      </c>
      <c r="R581" s="15" t="str">
        <f>IF(AND($E581=1,$F581=2),TRIM(CLEAN('入力シート（2事業場以降）'!N427)),"")&amp;""</f>
        <v/>
      </c>
      <c r="S581" s="15" t="str">
        <f>IF(AND($E581=1,$F581=2),TRIM(CLEAN('入力シート（2事業場以降）'!R427)),"")&amp;""</f>
        <v/>
      </c>
      <c r="T581" s="15" t="str">
        <f>IF(AND($E581=1,$F581=2),TRIM(CLEAN('入力シート（2事業場以降）'!V427)),"")&amp;""</f>
        <v/>
      </c>
      <c r="W581" s="117" t="str">
        <f t="shared" ca="1" si="157"/>
        <v>OK</v>
      </c>
      <c r="X581" t="str">
        <f t="shared" ca="1" si="159"/>
        <v/>
      </c>
      <c r="Y581">
        <f t="shared" si="160"/>
        <v>1</v>
      </c>
      <c r="Z581">
        <f t="shared" ref="Z581:Z644" si="166">IF(AND(C581=3,OR(Y579&lt;&gt;0,Z579&lt;&gt;0)),1,IF(AND(1&lt;C581,OR(Y580&lt;&gt;0,Z580&lt;&gt;0)),2,IF(AND(F581&lt;&gt;2,G581&lt;&gt;"",L581=""),3,IF(AND(F581=2,0&lt;COUNTIF(Q581:T581,"")),-1,0))))</f>
        <v>2</v>
      </c>
      <c r="AA581" s="36"/>
      <c r="AB581" t="str">
        <f t="shared" si="158"/>
        <v>コード番号を選択してください。</v>
      </c>
      <c r="AC581" t="s">
        <v>450</v>
      </c>
      <c r="AD581" s="36"/>
      <c r="AE581" t="str">
        <f>C580&amp;"台目の機器が入力されていません。"&amp;CHAR(10)&amp;"詰めて入力してください。"</f>
        <v>1台目の機器が入力されていません。
詰めて入力してください。</v>
      </c>
      <c r="AF581" t="s">
        <v>451</v>
      </c>
      <c r="AH581">
        <f t="shared" si="162"/>
        <v>9999</v>
      </c>
      <c r="AI581">
        <f>SMALL($AH$514:$AH$663,68)</f>
        <v>9999</v>
      </c>
      <c r="AJ581" t="e">
        <f t="shared" si="163"/>
        <v>#N/A</v>
      </c>
      <c r="AK581" t="str">
        <f t="shared" si="164"/>
        <v>事業場99</v>
      </c>
    </row>
    <row r="582" spans="2:37" x14ac:dyDescent="0.15">
      <c r="B582" s="5">
        <v>23</v>
      </c>
      <c r="C582" s="5">
        <v>3</v>
      </c>
      <c r="D582" s="4">
        <v>2303</v>
      </c>
      <c r="E582" s="4">
        <f t="shared" si="165"/>
        <v>0</v>
      </c>
      <c r="F582" s="15">
        <f>'入力シート（2事業場以降）'!AQ429</f>
        <v>0</v>
      </c>
      <c r="G582" s="4" t="str">
        <f>IF(AND($E582=1,$F582=1),'入力シート（2事業場以降）'!F429,"")&amp;""</f>
        <v/>
      </c>
      <c r="H582" s="15" t="str">
        <f>IFERROR(VLOOKUP($G582,補助対象機器一覧20220831!$A$2:$K$200,3,FALSE),"")</f>
        <v/>
      </c>
      <c r="I582" s="15" t="str">
        <f>IFERROR(VLOOKUP($G582,補助対象機器一覧20220831!$A$2:$K$200,4,FALSE),"")</f>
        <v/>
      </c>
      <c r="J582" s="15" t="str">
        <f>IFERROR(VLOOKUP($G582,補助対象機器一覧20220831!$A$2:$K$200,5,FALSE),"")</f>
        <v/>
      </c>
      <c r="K582" s="15" t="str">
        <f>IFERROR(VLOOKUP($G582,補助対象機器一覧20220831!$A$2:$K$200,6,FALSE),"")</f>
        <v/>
      </c>
      <c r="L582" s="4" t="str">
        <f>IF(AND($E582=1,$F582=1),'入力シート（2事業場以降）'!J429,"")&amp;""</f>
        <v/>
      </c>
      <c r="M582" s="4" t="str">
        <f>IF(AND($E582=1,$F582=1),'入力シート（2事業場以降）'!N429,"")&amp;""</f>
        <v/>
      </c>
      <c r="N582" s="4" t="str">
        <f>IF(AND($E582=1,$F582=1),'入力シート（2事業場以降）'!R429,"")&amp;""</f>
        <v/>
      </c>
      <c r="O582" s="4" t="str">
        <f>IF(AND($E582=1,$F582=1),'入力シート（2事業場以降）'!V429,"")&amp;""</f>
        <v/>
      </c>
      <c r="P582" s="4" t="str">
        <f>IFERROR(VLOOKUP($G582,補助対象機器一覧20220831!$A$2:$K$200,10,FALSE),"")</f>
        <v/>
      </c>
      <c r="Q582" s="15" t="str">
        <f>IF(AND($E582=1,$F582=2),TRIM(CLEAN('入力シート（2事業場以降）'!J431)),"")&amp;""</f>
        <v/>
      </c>
      <c r="R582" s="15" t="str">
        <f>IF(AND($E582=1,$F582=2),TRIM(CLEAN('入力シート（2事業場以降）'!N431)),"")&amp;""</f>
        <v/>
      </c>
      <c r="S582" s="15" t="str">
        <f>IF(AND($E582=1,$F582=2),TRIM(CLEAN('入力シート（2事業場以降）'!R431)),"")&amp;""</f>
        <v/>
      </c>
      <c r="T582" s="15" t="str">
        <f>IF(AND($E582=1,$F582=2),TRIM(CLEAN('入力シート（2事業場以降）'!V431)),"")&amp;""</f>
        <v/>
      </c>
      <c r="W582" s="117" t="str">
        <f t="shared" ca="1" si="157"/>
        <v>OK</v>
      </c>
      <c r="X582" t="str">
        <f t="shared" ca="1" si="159"/>
        <v/>
      </c>
      <c r="Y582">
        <f t="shared" si="160"/>
        <v>1</v>
      </c>
      <c r="Z582">
        <f t="shared" si="166"/>
        <v>1</v>
      </c>
      <c r="AA582" s="36"/>
      <c r="AB582" t="str">
        <f t="shared" si="158"/>
        <v>コード番号を選択してください。</v>
      </c>
      <c r="AC582" t="s">
        <v>450</v>
      </c>
      <c r="AD582" t="str">
        <f t="shared" ref="AD582" si="167">AE581</f>
        <v>1台目の機器が入力されていません。
詰めて入力してください。</v>
      </c>
      <c r="AE582" t="str">
        <f>C581&amp;"台目の機器が入力されていません。"&amp;CHAR(10)&amp;"詰めて入力してください。"</f>
        <v>2台目の機器が入力されていません。
詰めて入力してください。</v>
      </c>
      <c r="AF582" t="s">
        <v>451</v>
      </c>
      <c r="AH582">
        <f t="shared" si="162"/>
        <v>9999</v>
      </c>
      <c r="AI582">
        <f>SMALL($AH$514:$AH$663,69)</f>
        <v>9999</v>
      </c>
      <c r="AJ582" t="e">
        <f t="shared" si="163"/>
        <v>#N/A</v>
      </c>
      <c r="AK582" t="str">
        <f t="shared" si="164"/>
        <v>事業場99</v>
      </c>
    </row>
    <row r="583" spans="2:37" x14ac:dyDescent="0.15">
      <c r="B583" s="5">
        <v>24</v>
      </c>
      <c r="C583" s="5">
        <v>1</v>
      </c>
      <c r="D583" s="4">
        <v>2401</v>
      </c>
      <c r="E583" s="4">
        <f t="shared" si="165"/>
        <v>0</v>
      </c>
      <c r="F583" s="15">
        <f>'入力シート（2事業場以降）'!AQ434</f>
        <v>0</v>
      </c>
      <c r="G583" s="4" t="str">
        <f>IF(AND($E583=1,$F583=1),'入力シート（2事業場以降）'!F434,"")&amp;""</f>
        <v/>
      </c>
      <c r="H583" s="15" t="str">
        <f>IFERROR(VLOOKUP($G583,補助対象機器一覧20220831!$A$2:$K$200,3,FALSE),"")</f>
        <v/>
      </c>
      <c r="I583" s="15" t="str">
        <f>IFERROR(VLOOKUP($G583,補助対象機器一覧20220831!$A$2:$K$200,4,FALSE),"")</f>
        <v/>
      </c>
      <c r="J583" s="15" t="str">
        <f>IFERROR(VLOOKUP($G583,補助対象機器一覧20220831!$A$2:$K$200,5,FALSE),"")</f>
        <v/>
      </c>
      <c r="K583" s="15" t="str">
        <f>IFERROR(VLOOKUP($G583,補助対象機器一覧20220831!$A$2:$K$200,6,FALSE),"")</f>
        <v/>
      </c>
      <c r="L583" s="4" t="str">
        <f>IF(AND($E583=1,$F583=1),'入力シート（2事業場以降）'!J434,"")&amp;""</f>
        <v/>
      </c>
      <c r="M583" s="4" t="str">
        <f>IF(AND($E583=1,$F583=1),'入力シート（2事業場以降）'!N434,"")&amp;""</f>
        <v/>
      </c>
      <c r="N583" s="4" t="str">
        <f>IF(AND($E583=1,$F583=1),'入力シート（2事業場以降）'!R434,"")&amp;""</f>
        <v/>
      </c>
      <c r="O583" s="4" t="str">
        <f>IF(AND($E583=1,$F583=1),'入力シート（2事業場以降）'!V434,"")&amp;""</f>
        <v/>
      </c>
      <c r="P583" s="4" t="str">
        <f>IFERROR(VLOOKUP($G583,補助対象機器一覧20220831!$A$2:$K$200,10,FALSE),"")</f>
        <v/>
      </c>
      <c r="Q583" s="15" t="str">
        <f>IF(AND($E583=1,$F583=2),TRIM(CLEAN('入力シート（2事業場以降）'!J436)),"")&amp;""</f>
        <v/>
      </c>
      <c r="R583" s="15" t="str">
        <f>IF(AND($E583=1,$F583=2),TRIM(CLEAN('入力シート（2事業場以降）'!N436)),"")&amp;""</f>
        <v/>
      </c>
      <c r="S583" s="15" t="str">
        <f>IF(AND($E583=1,$F583=2),TRIM(CLEAN('入力シート（2事業場以降）'!R436)),"")&amp;""</f>
        <v/>
      </c>
      <c r="T583" s="15" t="str">
        <f>IF(AND($E583=1,$F583=2),TRIM(CLEAN('入力シート（2事業場以降）'!V436)),"")&amp;""</f>
        <v/>
      </c>
      <c r="V583">
        <v>4</v>
      </c>
      <c r="W583" s="117" t="str">
        <f t="shared" ca="1" si="157"/>
        <v>OK</v>
      </c>
      <c r="X583" t="str">
        <f t="shared" ca="1" si="159"/>
        <v>交付申請時のコード番号を選択してください。
申請するコード番号が選べなかった場合は、コード番号の有無で「なし」を選択してください。</v>
      </c>
      <c r="Y583">
        <f t="shared" si="160"/>
        <v>1</v>
      </c>
      <c r="Z583">
        <f t="shared" si="166"/>
        <v>0</v>
      </c>
      <c r="AA583"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83" t="str">
        <f t="shared" si="158"/>
        <v>コード番号を選択してください。</v>
      </c>
      <c r="AC583" t="s">
        <v>450</v>
      </c>
      <c r="AD583" s="36"/>
      <c r="AE583" s="36"/>
      <c r="AF583" t="s">
        <v>451</v>
      </c>
      <c r="AH583">
        <f t="shared" si="162"/>
        <v>9999</v>
      </c>
      <c r="AI583">
        <f>SMALL($AH$514:$AH$663,70)</f>
        <v>9999</v>
      </c>
      <c r="AJ583" t="e">
        <f t="shared" si="163"/>
        <v>#N/A</v>
      </c>
      <c r="AK583" t="str">
        <f t="shared" si="164"/>
        <v>事業場99</v>
      </c>
    </row>
    <row r="584" spans="2:37" x14ac:dyDescent="0.15">
      <c r="B584" s="5">
        <v>24</v>
      </c>
      <c r="C584" s="5">
        <v>2</v>
      </c>
      <c r="D584" s="4">
        <v>2402</v>
      </c>
      <c r="E584" s="4">
        <f t="shared" si="165"/>
        <v>0</v>
      </c>
      <c r="F584" s="15">
        <f>'入力シート（2事業場以降）'!AQ438</f>
        <v>0</v>
      </c>
      <c r="G584" s="4" t="str">
        <f>IF(AND($E584=1,$F584=1),'入力シート（2事業場以降）'!F438,"")&amp;""</f>
        <v/>
      </c>
      <c r="H584" s="15" t="str">
        <f>IFERROR(VLOOKUP($G584,補助対象機器一覧20220831!$A$2:$K$200,3,FALSE),"")</f>
        <v/>
      </c>
      <c r="I584" s="15" t="str">
        <f>IFERROR(VLOOKUP($G584,補助対象機器一覧20220831!$A$2:$K$200,4,FALSE),"")</f>
        <v/>
      </c>
      <c r="J584" s="15" t="str">
        <f>IFERROR(VLOOKUP($G584,補助対象機器一覧20220831!$A$2:$K$200,5,FALSE),"")</f>
        <v/>
      </c>
      <c r="K584" s="15" t="str">
        <f>IFERROR(VLOOKUP($G584,補助対象機器一覧20220831!$A$2:$K$200,6,FALSE),"")</f>
        <v/>
      </c>
      <c r="L584" s="4" t="str">
        <f>IF(AND($E584=1,$F584=1),'入力シート（2事業場以降）'!J438,"")&amp;""</f>
        <v/>
      </c>
      <c r="M584" s="4" t="str">
        <f>IF(AND($E584=1,$F584=1),'入力シート（2事業場以降）'!N438,"")&amp;""</f>
        <v/>
      </c>
      <c r="N584" s="4" t="str">
        <f>IF(AND($E584=1,$F584=1),'入力シート（2事業場以降）'!R438,"")&amp;""</f>
        <v/>
      </c>
      <c r="O584" s="4" t="str">
        <f>IF(AND($E584=1,$F584=1),'入力シート（2事業場以降）'!V438,"")&amp;""</f>
        <v/>
      </c>
      <c r="P584" s="4" t="str">
        <f>IFERROR(VLOOKUP($G584,補助対象機器一覧20220831!$A$2:$K$200,10,FALSE),"")</f>
        <v/>
      </c>
      <c r="Q584" s="15" t="str">
        <f>IF(AND($E584=1,$F584=2),TRIM(CLEAN('入力シート（2事業場以降）'!J440)),"")&amp;""</f>
        <v/>
      </c>
      <c r="R584" s="15" t="str">
        <f>IF(AND($E584=1,$F584=2),TRIM(CLEAN('入力シート（2事業場以降）'!N440)),"")&amp;""</f>
        <v/>
      </c>
      <c r="S584" s="15" t="str">
        <f>IF(AND($E584=1,$F584=2),TRIM(CLEAN('入力シート（2事業場以降）'!R440)),"")&amp;""</f>
        <v/>
      </c>
      <c r="T584" s="15" t="str">
        <f>IF(AND($E584=1,$F584=2),TRIM(CLEAN('入力シート（2事業場以降）'!V440)),"")&amp;""</f>
        <v/>
      </c>
      <c r="W584" s="117" t="str">
        <f t="shared" ca="1" si="157"/>
        <v>OK</v>
      </c>
      <c r="X584" t="str">
        <f t="shared" ca="1" si="159"/>
        <v/>
      </c>
      <c r="Y584">
        <f t="shared" si="160"/>
        <v>1</v>
      </c>
      <c r="Z584">
        <f t="shared" si="166"/>
        <v>2</v>
      </c>
      <c r="AA584" s="36"/>
      <c r="AB584" t="str">
        <f t="shared" si="158"/>
        <v>コード番号を選択してください。</v>
      </c>
      <c r="AC584" t="s">
        <v>450</v>
      </c>
      <c r="AD584" s="36"/>
      <c r="AE584" t="str">
        <f>C583&amp;"台目の機器が入力されていません。"&amp;CHAR(10)&amp;"詰めて入力してください。"</f>
        <v>1台目の機器が入力されていません。
詰めて入力してください。</v>
      </c>
      <c r="AF584" t="s">
        <v>451</v>
      </c>
      <c r="AH584">
        <f t="shared" si="162"/>
        <v>9999</v>
      </c>
      <c r="AI584">
        <f>SMALL($AH$514:$AH$663,71)</f>
        <v>9999</v>
      </c>
      <c r="AJ584" t="e">
        <f t="shared" si="163"/>
        <v>#N/A</v>
      </c>
      <c r="AK584" t="str">
        <f t="shared" si="164"/>
        <v>事業場99</v>
      </c>
    </row>
    <row r="585" spans="2:37" x14ac:dyDescent="0.15">
      <c r="B585" s="5">
        <v>24</v>
      </c>
      <c r="C585" s="5">
        <v>3</v>
      </c>
      <c r="D585" s="4">
        <v>2403</v>
      </c>
      <c r="E585" s="4">
        <f t="shared" si="165"/>
        <v>0</v>
      </c>
      <c r="F585" s="15">
        <f>'入力シート（2事業場以降）'!AQ442</f>
        <v>0</v>
      </c>
      <c r="G585" s="4" t="str">
        <f>IF(AND($E585=1,$F585=1),'入力シート（2事業場以降）'!F442,"")&amp;""</f>
        <v/>
      </c>
      <c r="H585" s="15" t="str">
        <f>IFERROR(VLOOKUP($G585,補助対象機器一覧20220831!$A$2:$K$200,3,FALSE),"")</f>
        <v/>
      </c>
      <c r="I585" s="15" t="str">
        <f>IFERROR(VLOOKUP($G585,補助対象機器一覧20220831!$A$2:$K$200,4,FALSE),"")</f>
        <v/>
      </c>
      <c r="J585" s="15" t="str">
        <f>IFERROR(VLOOKUP($G585,補助対象機器一覧20220831!$A$2:$K$200,5,FALSE),"")</f>
        <v/>
      </c>
      <c r="K585" s="15" t="str">
        <f>IFERROR(VLOOKUP($G585,補助対象機器一覧20220831!$A$2:$K$200,6,FALSE),"")</f>
        <v/>
      </c>
      <c r="L585" s="4" t="str">
        <f>IF(AND($E585=1,$F585=1),'入力シート（2事業場以降）'!J442,"")&amp;""</f>
        <v/>
      </c>
      <c r="M585" s="4" t="str">
        <f>IF(AND($E585=1,$F585=1),'入力シート（2事業場以降）'!N442,"")&amp;""</f>
        <v/>
      </c>
      <c r="N585" s="4" t="str">
        <f>IF(AND($E585=1,$F585=1),'入力シート（2事業場以降）'!R442,"")&amp;""</f>
        <v/>
      </c>
      <c r="O585" s="4" t="str">
        <f>IF(AND($E585=1,$F585=1),'入力シート（2事業場以降）'!V442,"")&amp;""</f>
        <v/>
      </c>
      <c r="P585" s="4" t="str">
        <f>IFERROR(VLOOKUP($G585,補助対象機器一覧20220831!$A$2:$K$200,10,FALSE),"")</f>
        <v/>
      </c>
      <c r="Q585" s="15" t="str">
        <f>IF(AND($E585=1,$F585=2),TRIM(CLEAN('入力シート（2事業場以降）'!J444)),"")&amp;""</f>
        <v/>
      </c>
      <c r="R585" s="15" t="str">
        <f>IF(AND($E585=1,$F585=2),TRIM(CLEAN('入力シート（2事業場以降）'!N444)),"")&amp;""</f>
        <v/>
      </c>
      <c r="S585" s="15" t="str">
        <f>IF(AND($E585=1,$F585=2),TRIM(CLEAN('入力シート（2事業場以降）'!R444)),"")&amp;""</f>
        <v/>
      </c>
      <c r="T585" s="15" t="str">
        <f>IF(AND($E585=1,$F585=2),TRIM(CLEAN('入力シート（2事業場以降）'!V444)),"")&amp;""</f>
        <v/>
      </c>
      <c r="W585" s="117" t="str">
        <f t="shared" ca="1" si="157"/>
        <v>OK</v>
      </c>
      <c r="X585" t="str">
        <f t="shared" ca="1" si="159"/>
        <v/>
      </c>
      <c r="Y585">
        <f t="shared" si="160"/>
        <v>1</v>
      </c>
      <c r="Z585">
        <f t="shared" si="166"/>
        <v>1</v>
      </c>
      <c r="AA585" s="36"/>
      <c r="AB585" t="str">
        <f t="shared" si="158"/>
        <v>コード番号を選択してください。</v>
      </c>
      <c r="AC585" t="s">
        <v>450</v>
      </c>
      <c r="AD585" t="str">
        <f t="shared" ref="AD585" si="168">AE584</f>
        <v>1台目の機器が入力されていません。
詰めて入力してください。</v>
      </c>
      <c r="AE585" t="str">
        <f>C584&amp;"台目の機器が入力されていません。"&amp;CHAR(10)&amp;"詰めて入力してください。"</f>
        <v>2台目の機器が入力されていません。
詰めて入力してください。</v>
      </c>
      <c r="AF585" t="s">
        <v>451</v>
      </c>
      <c r="AH585">
        <f t="shared" si="162"/>
        <v>9999</v>
      </c>
      <c r="AI585">
        <f>SMALL($AH$514:$AH$663,72)</f>
        <v>9999</v>
      </c>
      <c r="AJ585" t="e">
        <f t="shared" si="163"/>
        <v>#N/A</v>
      </c>
      <c r="AK585" t="str">
        <f t="shared" si="164"/>
        <v>事業場99</v>
      </c>
    </row>
    <row r="586" spans="2:37" x14ac:dyDescent="0.15">
      <c r="B586" s="5">
        <v>25</v>
      </c>
      <c r="C586" s="5">
        <v>1</v>
      </c>
      <c r="D586" s="4">
        <v>2501</v>
      </c>
      <c r="E586" s="4">
        <f t="shared" si="165"/>
        <v>0</v>
      </c>
      <c r="F586" s="15">
        <f>'入力シート（2事業場以降）'!AQ447</f>
        <v>0</v>
      </c>
      <c r="G586" s="4" t="str">
        <f>IF(AND($E586=1,$F586=1),'入力シート（2事業場以降）'!F447,"")&amp;""</f>
        <v/>
      </c>
      <c r="H586" s="15" t="str">
        <f>IFERROR(VLOOKUP($G586,補助対象機器一覧20220831!$A$2:$K$200,3,FALSE),"")</f>
        <v/>
      </c>
      <c r="I586" s="15" t="str">
        <f>IFERROR(VLOOKUP($G586,補助対象機器一覧20220831!$A$2:$K$200,4,FALSE),"")</f>
        <v/>
      </c>
      <c r="J586" s="15" t="str">
        <f>IFERROR(VLOOKUP($G586,補助対象機器一覧20220831!$A$2:$K$200,5,FALSE),"")</f>
        <v/>
      </c>
      <c r="K586" s="15" t="str">
        <f>IFERROR(VLOOKUP($G586,補助対象機器一覧20220831!$A$2:$K$200,6,FALSE),"")</f>
        <v/>
      </c>
      <c r="L586" s="4" t="str">
        <f>IF(AND($E586=1,$F586=1),'入力シート（2事業場以降）'!J447,"")&amp;""</f>
        <v/>
      </c>
      <c r="M586" s="4" t="str">
        <f>IF(AND($E586=1,$F586=1),'入力シート（2事業場以降）'!N447,"")&amp;""</f>
        <v/>
      </c>
      <c r="N586" s="4" t="str">
        <f>IF(AND($E586=1,$F586=1),'入力シート（2事業場以降）'!R447,"")&amp;""</f>
        <v/>
      </c>
      <c r="O586" s="4" t="str">
        <f>IF(AND($E586=1,$F586=1),'入力シート（2事業場以降）'!V447,"")&amp;""</f>
        <v/>
      </c>
      <c r="P586" s="4" t="str">
        <f>IFERROR(VLOOKUP($G586,補助対象機器一覧20220831!$A$2:$K$200,10,FALSE),"")</f>
        <v/>
      </c>
      <c r="Q586" s="15" t="str">
        <f>IF(AND($E586=1,$F586=2),TRIM(CLEAN('入力シート（2事業場以降）'!J449)),"")&amp;""</f>
        <v/>
      </c>
      <c r="R586" s="15" t="str">
        <f>IF(AND($E586=1,$F586=2),TRIM(CLEAN('入力シート（2事業場以降）'!N449)),"")&amp;""</f>
        <v/>
      </c>
      <c r="S586" s="15" t="str">
        <f>IF(AND($E586=1,$F586=2),TRIM(CLEAN('入力シート（2事業場以降）'!R449)),"")&amp;""</f>
        <v/>
      </c>
      <c r="T586" s="15" t="str">
        <f>IF(AND($E586=1,$F586=2),TRIM(CLEAN('入力シート（2事業場以降）'!V449)),"")&amp;""</f>
        <v/>
      </c>
      <c r="V586">
        <v>5</v>
      </c>
      <c r="W586" s="117" t="str">
        <f t="shared" ca="1" si="157"/>
        <v>OK</v>
      </c>
      <c r="X586" t="str">
        <f t="shared" ca="1" si="159"/>
        <v>交付申請時のコード番号を選択してください。
申請するコード番号が選べなかった場合は、コード番号の有無で「なし」を選択してください。</v>
      </c>
      <c r="Y586">
        <f t="shared" si="160"/>
        <v>1</v>
      </c>
      <c r="Z586">
        <f t="shared" si="166"/>
        <v>0</v>
      </c>
      <c r="AA586"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86" t="str">
        <f t="shared" si="158"/>
        <v>コード番号を選択してください。</v>
      </c>
      <c r="AC586" t="s">
        <v>450</v>
      </c>
      <c r="AD586" s="36"/>
      <c r="AE586" s="36"/>
      <c r="AF586" t="s">
        <v>451</v>
      </c>
      <c r="AH586">
        <f t="shared" si="162"/>
        <v>9999</v>
      </c>
      <c r="AI586">
        <f>SMALL($AH$514:$AH$663,73)</f>
        <v>9999</v>
      </c>
      <c r="AJ586" t="e">
        <f t="shared" si="163"/>
        <v>#N/A</v>
      </c>
      <c r="AK586" t="str">
        <f t="shared" si="164"/>
        <v>事業場99</v>
      </c>
    </row>
    <row r="587" spans="2:37" x14ac:dyDescent="0.15">
      <c r="B587" s="5">
        <v>25</v>
      </c>
      <c r="C587" s="5">
        <v>2</v>
      </c>
      <c r="D587" s="4">
        <v>2502</v>
      </c>
      <c r="E587" s="4">
        <f t="shared" si="165"/>
        <v>0</v>
      </c>
      <c r="F587" s="15">
        <f>'入力シート（2事業場以降）'!AQ451</f>
        <v>0</v>
      </c>
      <c r="G587" s="4" t="str">
        <f>IF(AND($E587=1,$F587=1),'入力シート（2事業場以降）'!F451,"")&amp;""</f>
        <v/>
      </c>
      <c r="H587" s="15" t="str">
        <f>IFERROR(VLOOKUP($G587,補助対象機器一覧20220831!$A$2:$K$200,3,FALSE),"")</f>
        <v/>
      </c>
      <c r="I587" s="15" t="str">
        <f>IFERROR(VLOOKUP($G587,補助対象機器一覧20220831!$A$2:$K$200,4,FALSE),"")</f>
        <v/>
      </c>
      <c r="J587" s="15" t="str">
        <f>IFERROR(VLOOKUP($G587,補助対象機器一覧20220831!$A$2:$K$200,5,FALSE),"")</f>
        <v/>
      </c>
      <c r="K587" s="15" t="str">
        <f>IFERROR(VLOOKUP($G587,補助対象機器一覧20220831!$A$2:$K$200,6,FALSE),"")</f>
        <v/>
      </c>
      <c r="L587" s="4" t="str">
        <f>IF(AND($E587=1,$F587=1),'入力シート（2事業場以降）'!J451,"")&amp;""</f>
        <v/>
      </c>
      <c r="M587" s="4" t="str">
        <f>IF(AND($E587=1,$F587=1),'入力シート（2事業場以降）'!N451,"")&amp;""</f>
        <v/>
      </c>
      <c r="N587" s="4" t="str">
        <f>IF(AND($E587=1,$F587=1),'入力シート（2事業場以降）'!R451,"")&amp;""</f>
        <v/>
      </c>
      <c r="O587" s="4" t="str">
        <f>IF(AND($E587=1,$F587=1),'入力シート（2事業場以降）'!V451,"")&amp;""</f>
        <v/>
      </c>
      <c r="P587" s="4" t="str">
        <f>IFERROR(VLOOKUP($G587,補助対象機器一覧20220831!$A$2:$K$200,10,FALSE),"")</f>
        <v/>
      </c>
      <c r="Q587" s="15" t="str">
        <f>IF(AND($E587=1,$F587=2),TRIM(CLEAN('入力シート（2事業場以降）'!J453)),"")&amp;""</f>
        <v/>
      </c>
      <c r="R587" s="15" t="str">
        <f>IF(AND($E587=1,$F587=2),TRIM(CLEAN('入力シート（2事業場以降）'!N453)),"")&amp;""</f>
        <v/>
      </c>
      <c r="S587" s="15" t="str">
        <f>IF(AND($E587=1,$F587=2),TRIM(CLEAN('入力シート（2事業場以降）'!R453)),"")&amp;""</f>
        <v/>
      </c>
      <c r="T587" s="15" t="str">
        <f>IF(AND($E587=1,$F587=2),TRIM(CLEAN('入力シート（2事業場以降）'!V453)),"")&amp;""</f>
        <v/>
      </c>
      <c r="W587" s="117" t="str">
        <f t="shared" ca="1" si="157"/>
        <v>OK</v>
      </c>
      <c r="X587" t="str">
        <f t="shared" ca="1" si="159"/>
        <v/>
      </c>
      <c r="Y587">
        <f t="shared" si="160"/>
        <v>1</v>
      </c>
      <c r="Z587">
        <f t="shared" si="166"/>
        <v>2</v>
      </c>
      <c r="AA587" s="36"/>
      <c r="AB587" t="str">
        <f t="shared" si="158"/>
        <v>コード番号を選択してください。</v>
      </c>
      <c r="AC587" t="s">
        <v>450</v>
      </c>
      <c r="AD587" s="36"/>
      <c r="AE587" t="str">
        <f>C586&amp;"台目の機器が入力されていません。"&amp;CHAR(10)&amp;"詰めて入力してください。"</f>
        <v>1台目の機器が入力されていません。
詰めて入力してください。</v>
      </c>
      <c r="AF587" t="s">
        <v>451</v>
      </c>
      <c r="AH587">
        <f t="shared" si="162"/>
        <v>9999</v>
      </c>
      <c r="AI587">
        <f>SMALL($AH$514:$AH$663,74)</f>
        <v>9999</v>
      </c>
      <c r="AJ587" t="e">
        <f t="shared" si="163"/>
        <v>#N/A</v>
      </c>
      <c r="AK587" t="str">
        <f t="shared" si="164"/>
        <v>事業場99</v>
      </c>
    </row>
    <row r="588" spans="2:37" x14ac:dyDescent="0.15">
      <c r="B588" s="5">
        <v>25</v>
      </c>
      <c r="C588" s="5">
        <v>3</v>
      </c>
      <c r="D588" s="4">
        <v>2503</v>
      </c>
      <c r="E588" s="4">
        <f t="shared" si="165"/>
        <v>0</v>
      </c>
      <c r="F588" s="15">
        <f>'入力シート（2事業場以降）'!AQ455</f>
        <v>0</v>
      </c>
      <c r="G588" s="4" t="str">
        <f>IF(AND($E588=1,$F588=1),'入力シート（2事業場以降）'!F455,"")&amp;""</f>
        <v/>
      </c>
      <c r="H588" s="15" t="str">
        <f>IFERROR(VLOOKUP($G588,補助対象機器一覧20220831!$A$2:$K$200,3,FALSE),"")</f>
        <v/>
      </c>
      <c r="I588" s="15" t="str">
        <f>IFERROR(VLOOKUP($G588,補助対象機器一覧20220831!$A$2:$K$200,4,FALSE),"")</f>
        <v/>
      </c>
      <c r="J588" s="15" t="str">
        <f>IFERROR(VLOOKUP($G588,補助対象機器一覧20220831!$A$2:$K$200,5,FALSE),"")</f>
        <v/>
      </c>
      <c r="K588" s="15" t="str">
        <f>IFERROR(VLOOKUP($G588,補助対象機器一覧20220831!$A$2:$K$200,6,FALSE),"")</f>
        <v/>
      </c>
      <c r="L588" s="4" t="str">
        <f>IF(AND($E588=1,$F588=1),'入力シート（2事業場以降）'!J455,"")&amp;""</f>
        <v/>
      </c>
      <c r="M588" s="4" t="str">
        <f>IF(AND($E588=1,$F588=1),'入力シート（2事業場以降）'!N455,"")&amp;""</f>
        <v/>
      </c>
      <c r="N588" s="4" t="str">
        <f>IF(AND($E588=1,$F588=1),'入力シート（2事業場以降）'!R455,"")&amp;""</f>
        <v/>
      </c>
      <c r="O588" s="4" t="str">
        <f>IF(AND($E588=1,$F588=1),'入力シート（2事業場以降）'!V455,"")&amp;""</f>
        <v/>
      </c>
      <c r="P588" s="4" t="str">
        <f>IFERROR(VLOOKUP($G588,補助対象機器一覧20220831!$A$2:$K$200,10,FALSE),"")</f>
        <v/>
      </c>
      <c r="Q588" s="15" t="str">
        <f>IF(AND($E588=1,$F588=2),TRIM(CLEAN('入力シート（2事業場以降）'!J457)),"")&amp;""</f>
        <v/>
      </c>
      <c r="R588" s="15" t="str">
        <f>IF(AND($E588=1,$F588=2),TRIM(CLEAN('入力シート（2事業場以降）'!N457)),"")&amp;""</f>
        <v/>
      </c>
      <c r="S588" s="15" t="str">
        <f>IF(AND($E588=1,$F588=2),TRIM(CLEAN('入力シート（2事業場以降）'!R457)),"")&amp;""</f>
        <v/>
      </c>
      <c r="T588" s="15" t="str">
        <f>IF(AND($E588=1,$F588=2),TRIM(CLEAN('入力シート（2事業場以降）'!V457)),"")&amp;""</f>
        <v/>
      </c>
      <c r="W588" s="117" t="str">
        <f t="shared" ca="1" si="157"/>
        <v>OK</v>
      </c>
      <c r="X588" t="str">
        <f t="shared" ca="1" si="159"/>
        <v/>
      </c>
      <c r="Y588">
        <f t="shared" si="160"/>
        <v>1</v>
      </c>
      <c r="Z588">
        <f t="shared" si="166"/>
        <v>1</v>
      </c>
      <c r="AA588" s="36"/>
      <c r="AB588" t="str">
        <f t="shared" si="158"/>
        <v>コード番号を選択してください。</v>
      </c>
      <c r="AC588" t="s">
        <v>450</v>
      </c>
      <c r="AD588" t="str">
        <f t="shared" ref="AD588" si="169">AE587</f>
        <v>1台目の機器が入力されていません。
詰めて入力してください。</v>
      </c>
      <c r="AE588" t="str">
        <f>C587&amp;"台目の機器が入力されていません。"&amp;CHAR(10)&amp;"詰めて入力してください。"</f>
        <v>2台目の機器が入力されていません。
詰めて入力してください。</v>
      </c>
      <c r="AF588" t="s">
        <v>451</v>
      </c>
      <c r="AH588">
        <f t="shared" si="162"/>
        <v>9999</v>
      </c>
      <c r="AI588">
        <f>SMALL($AH$514:$AH$663,75)</f>
        <v>9999</v>
      </c>
      <c r="AJ588" t="e">
        <f t="shared" si="163"/>
        <v>#N/A</v>
      </c>
      <c r="AK588" t="str">
        <f t="shared" si="164"/>
        <v>事業場99</v>
      </c>
    </row>
    <row r="589" spans="2:37" x14ac:dyDescent="0.15">
      <c r="B589" s="5">
        <v>26</v>
      </c>
      <c r="C589" s="5">
        <v>1</v>
      </c>
      <c r="D589" s="4">
        <v>2601</v>
      </c>
      <c r="E589" s="4">
        <f t="shared" si="165"/>
        <v>0</v>
      </c>
      <c r="F589" s="15">
        <f>'入力シート（2事業場以降）'!AQ460</f>
        <v>0</v>
      </c>
      <c r="G589" s="4" t="str">
        <f>IF(AND($E589=1,$F589=1),'入力シート（2事業場以降）'!F460,"")&amp;""</f>
        <v/>
      </c>
      <c r="H589" s="15" t="str">
        <f>IFERROR(VLOOKUP($G589,補助対象機器一覧20220831!$A$2:$K$200,3,FALSE),"")</f>
        <v/>
      </c>
      <c r="I589" s="15" t="str">
        <f>IFERROR(VLOOKUP($G589,補助対象機器一覧20220831!$A$2:$K$200,4,FALSE),"")</f>
        <v/>
      </c>
      <c r="J589" s="15" t="str">
        <f>IFERROR(VLOOKUP($G589,補助対象機器一覧20220831!$A$2:$K$200,5,FALSE),"")</f>
        <v/>
      </c>
      <c r="K589" s="15" t="str">
        <f>IFERROR(VLOOKUP($G589,補助対象機器一覧20220831!$A$2:$K$200,6,FALSE),"")</f>
        <v/>
      </c>
      <c r="L589" s="4" t="str">
        <f>IF(AND($E589=1,$F589=1),'入力シート（2事業場以降）'!J460,"")&amp;""</f>
        <v/>
      </c>
      <c r="M589" s="4" t="str">
        <f>IF(AND($E589=1,$F589=1),'入力シート（2事業場以降）'!N460,"")&amp;""</f>
        <v/>
      </c>
      <c r="N589" s="4" t="str">
        <f>IF(AND($E589=1,$F589=1),'入力シート（2事業場以降）'!R460,"")&amp;""</f>
        <v/>
      </c>
      <c r="O589" s="4" t="str">
        <f>IF(AND($E589=1,$F589=1),'入力シート（2事業場以降）'!V460,"")&amp;""</f>
        <v/>
      </c>
      <c r="P589" s="4" t="str">
        <f>IFERROR(VLOOKUP($G589,補助対象機器一覧20220831!$A$2:$K$200,10,FALSE),"")</f>
        <v/>
      </c>
      <c r="Q589" s="15" t="str">
        <f>IF(AND($E589=1,$F589=2),TRIM(CLEAN('入力シート（2事業場以降）'!J462)),"")&amp;""</f>
        <v/>
      </c>
      <c r="R589" s="15" t="str">
        <f>IF(AND($E589=1,$F589=2),TRIM(CLEAN('入力シート（2事業場以降）'!N462)),"")&amp;""</f>
        <v/>
      </c>
      <c r="S589" s="15" t="str">
        <f>IF(AND($E589=1,$F589=2),TRIM(CLEAN('入力シート（2事業場以降）'!R462)),"")&amp;""</f>
        <v/>
      </c>
      <c r="T589" s="15" t="str">
        <f>IF(AND($E589=1,$F589=2),TRIM(CLEAN('入力シート（2事業場以降）'!V462)),"")&amp;""</f>
        <v/>
      </c>
      <c r="V589">
        <v>6</v>
      </c>
      <c r="W589" s="117" t="str">
        <f t="shared" ca="1" si="157"/>
        <v>OK</v>
      </c>
      <c r="X589" t="str">
        <f t="shared" ca="1" si="159"/>
        <v>交付申請時のコード番号を選択してください。
申請するコード番号が選べなかった場合は、コード番号の有無で「なし」を選択してください。</v>
      </c>
      <c r="Y589">
        <f t="shared" si="160"/>
        <v>1</v>
      </c>
      <c r="Z589">
        <f t="shared" si="166"/>
        <v>0</v>
      </c>
      <c r="AA589"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89" t="str">
        <f t="shared" si="158"/>
        <v>コード番号を選択してください。</v>
      </c>
      <c r="AC589" t="s">
        <v>450</v>
      </c>
      <c r="AD589" s="36"/>
      <c r="AE589" s="36"/>
      <c r="AF589" t="s">
        <v>451</v>
      </c>
      <c r="AH589">
        <f t="shared" si="162"/>
        <v>9999</v>
      </c>
      <c r="AI589">
        <f>SMALL($AH$514:$AH$663,76)</f>
        <v>9999</v>
      </c>
      <c r="AJ589" t="e">
        <f t="shared" si="163"/>
        <v>#N/A</v>
      </c>
      <c r="AK589" t="str">
        <f t="shared" si="164"/>
        <v>事業場99</v>
      </c>
    </row>
    <row r="590" spans="2:37" x14ac:dyDescent="0.15">
      <c r="B590" s="5">
        <v>26</v>
      </c>
      <c r="C590" s="5">
        <v>2</v>
      </c>
      <c r="D590" s="4">
        <v>2602</v>
      </c>
      <c r="E590" s="4">
        <f t="shared" si="165"/>
        <v>0</v>
      </c>
      <c r="F590" s="15">
        <f>'入力シート（2事業場以降）'!AQ464</f>
        <v>0</v>
      </c>
      <c r="G590" s="4" t="str">
        <f>IF(AND($E590=1,$F590=1),'入力シート（2事業場以降）'!F464,"")&amp;""</f>
        <v/>
      </c>
      <c r="H590" s="15" t="str">
        <f>IFERROR(VLOOKUP($G590,補助対象機器一覧20220831!$A$2:$K$200,3,FALSE),"")</f>
        <v/>
      </c>
      <c r="I590" s="15" t="str">
        <f>IFERROR(VLOOKUP($G590,補助対象機器一覧20220831!$A$2:$K$200,4,FALSE),"")</f>
        <v/>
      </c>
      <c r="J590" s="15" t="str">
        <f>IFERROR(VLOOKUP($G590,補助対象機器一覧20220831!$A$2:$K$200,5,FALSE),"")</f>
        <v/>
      </c>
      <c r="K590" s="15" t="str">
        <f>IFERROR(VLOOKUP($G590,補助対象機器一覧20220831!$A$2:$K$200,6,FALSE),"")</f>
        <v/>
      </c>
      <c r="L590" s="4" t="str">
        <f>IF(AND($E590=1,$F590=1),'入力シート（2事業場以降）'!J464,"")&amp;""</f>
        <v/>
      </c>
      <c r="M590" s="4" t="str">
        <f>IF(AND($E590=1,$F590=1),'入力シート（2事業場以降）'!N464,"")&amp;""</f>
        <v/>
      </c>
      <c r="N590" s="4" t="str">
        <f>IF(AND($E590=1,$F590=1),'入力シート（2事業場以降）'!R464,"")&amp;""</f>
        <v/>
      </c>
      <c r="O590" s="4" t="str">
        <f>IF(AND($E590=1,$F590=1),'入力シート（2事業場以降）'!V464,"")&amp;""</f>
        <v/>
      </c>
      <c r="P590" s="4" t="str">
        <f>IFERROR(VLOOKUP($G590,補助対象機器一覧20220831!$A$2:$K$200,10,FALSE),"")</f>
        <v/>
      </c>
      <c r="Q590" s="15" t="str">
        <f>IF(AND($E590=1,$F590=2),TRIM(CLEAN('入力シート（2事業場以降）'!J466)),"")&amp;""</f>
        <v/>
      </c>
      <c r="R590" s="15" t="str">
        <f>IF(AND($E590=1,$F590=2),TRIM(CLEAN('入力シート（2事業場以降）'!N466)),"")&amp;""</f>
        <v/>
      </c>
      <c r="S590" s="15" t="str">
        <f>IF(AND($E590=1,$F590=2),TRIM(CLEAN('入力シート（2事業場以降）'!R466)),"")&amp;""</f>
        <v/>
      </c>
      <c r="T590" s="15" t="str">
        <f>IF(AND($E590=1,$F590=2),TRIM(CLEAN('入力シート（2事業場以降）'!V466)),"")&amp;""</f>
        <v/>
      </c>
      <c r="W590" s="117" t="str">
        <f t="shared" ca="1" si="157"/>
        <v>OK</v>
      </c>
      <c r="X590" t="str">
        <f t="shared" ca="1" si="159"/>
        <v/>
      </c>
      <c r="Y590">
        <f t="shared" si="160"/>
        <v>1</v>
      </c>
      <c r="Z590">
        <f t="shared" si="166"/>
        <v>2</v>
      </c>
      <c r="AA590" s="36"/>
      <c r="AB590" t="str">
        <f t="shared" si="158"/>
        <v>コード番号を選択してください。</v>
      </c>
      <c r="AC590" t="s">
        <v>450</v>
      </c>
      <c r="AD590" s="36"/>
      <c r="AE590" t="str">
        <f>C589&amp;"台目の機器が入力されていません。"&amp;CHAR(10)&amp;"詰めて入力してください。"</f>
        <v>1台目の機器が入力されていません。
詰めて入力してください。</v>
      </c>
      <c r="AF590" t="s">
        <v>451</v>
      </c>
      <c r="AH590">
        <f t="shared" si="162"/>
        <v>9999</v>
      </c>
      <c r="AI590">
        <f>SMALL($AH$514:$AH$663,77)</f>
        <v>9999</v>
      </c>
      <c r="AJ590" t="e">
        <f t="shared" si="163"/>
        <v>#N/A</v>
      </c>
      <c r="AK590" t="str">
        <f t="shared" si="164"/>
        <v>事業場99</v>
      </c>
    </row>
    <row r="591" spans="2:37" x14ac:dyDescent="0.15">
      <c r="B591" s="5">
        <v>26</v>
      </c>
      <c r="C591" s="5">
        <v>3</v>
      </c>
      <c r="D591" s="4">
        <v>2603</v>
      </c>
      <c r="E591" s="4">
        <f t="shared" si="165"/>
        <v>0</v>
      </c>
      <c r="F591" s="15">
        <f>'入力シート（2事業場以降）'!AQ468</f>
        <v>0</v>
      </c>
      <c r="G591" s="4" t="str">
        <f>IF(AND($E591=1,$F591=1),'入力シート（2事業場以降）'!F468,"")&amp;""</f>
        <v/>
      </c>
      <c r="H591" s="15" t="str">
        <f>IFERROR(VLOOKUP($G591,補助対象機器一覧20220831!$A$2:$K$200,3,FALSE),"")</f>
        <v/>
      </c>
      <c r="I591" s="15" t="str">
        <f>IFERROR(VLOOKUP($G591,補助対象機器一覧20220831!$A$2:$K$200,4,FALSE),"")</f>
        <v/>
      </c>
      <c r="J591" s="15" t="str">
        <f>IFERROR(VLOOKUP($G591,補助対象機器一覧20220831!$A$2:$K$200,5,FALSE),"")</f>
        <v/>
      </c>
      <c r="K591" s="15" t="str">
        <f>IFERROR(VLOOKUP($G591,補助対象機器一覧20220831!$A$2:$K$200,6,FALSE),"")</f>
        <v/>
      </c>
      <c r="L591" s="4" t="str">
        <f>IF(AND($E591=1,$F591=1),'入力シート（2事業場以降）'!J468,"")&amp;""</f>
        <v/>
      </c>
      <c r="M591" s="4" t="str">
        <f>IF(AND($E591=1,$F591=1),'入力シート（2事業場以降）'!N468,"")&amp;""</f>
        <v/>
      </c>
      <c r="N591" s="4" t="str">
        <f>IF(AND($E591=1,$F591=1),'入力シート（2事業場以降）'!R468,"")&amp;""</f>
        <v/>
      </c>
      <c r="O591" s="4" t="str">
        <f>IF(AND($E591=1,$F591=1),'入力シート（2事業場以降）'!V468,"")&amp;""</f>
        <v/>
      </c>
      <c r="P591" s="4" t="str">
        <f>IFERROR(VLOOKUP($G591,補助対象機器一覧20220831!$A$2:$K$200,10,FALSE),"")</f>
        <v/>
      </c>
      <c r="Q591" s="15" t="str">
        <f>IF(AND($E591=1,$F591=2),TRIM(CLEAN('入力シート（2事業場以降）'!J470)),"")&amp;""</f>
        <v/>
      </c>
      <c r="R591" s="15" t="str">
        <f>IF(AND($E591=1,$F591=2),TRIM(CLEAN('入力シート（2事業場以降）'!N470)),"")&amp;""</f>
        <v/>
      </c>
      <c r="S591" s="15" t="str">
        <f>IF(AND($E591=1,$F591=2),TRIM(CLEAN('入力シート（2事業場以降）'!R470)),"")&amp;""</f>
        <v/>
      </c>
      <c r="T591" s="15" t="str">
        <f>IF(AND($E591=1,$F591=2),TRIM(CLEAN('入力シート（2事業場以降）'!V470)),"")&amp;""</f>
        <v/>
      </c>
      <c r="W591" s="117" t="str">
        <f t="shared" ca="1" si="157"/>
        <v>OK</v>
      </c>
      <c r="X591" t="str">
        <f t="shared" ca="1" si="159"/>
        <v/>
      </c>
      <c r="Y591">
        <f t="shared" si="160"/>
        <v>1</v>
      </c>
      <c r="Z591">
        <f t="shared" si="166"/>
        <v>1</v>
      </c>
      <c r="AA591" s="36"/>
      <c r="AB591" t="str">
        <f t="shared" si="158"/>
        <v>コード番号を選択してください。</v>
      </c>
      <c r="AC591" t="s">
        <v>450</v>
      </c>
      <c r="AD591" t="str">
        <f t="shared" ref="AD591" si="170">AE590</f>
        <v>1台目の機器が入力されていません。
詰めて入力してください。</v>
      </c>
      <c r="AE591" t="str">
        <f>C590&amp;"台目の機器が入力されていません。"&amp;CHAR(10)&amp;"詰めて入力してください。"</f>
        <v>2台目の機器が入力されていません。
詰めて入力してください。</v>
      </c>
      <c r="AF591" t="s">
        <v>451</v>
      </c>
      <c r="AH591">
        <f t="shared" si="162"/>
        <v>9999</v>
      </c>
      <c r="AI591">
        <f>SMALL($AH$514:$AH$663,78)</f>
        <v>9999</v>
      </c>
      <c r="AJ591" t="e">
        <f t="shared" si="163"/>
        <v>#N/A</v>
      </c>
      <c r="AK591" t="str">
        <f t="shared" si="164"/>
        <v>事業場99</v>
      </c>
    </row>
    <row r="592" spans="2:37" x14ac:dyDescent="0.15">
      <c r="B592" s="5">
        <v>27</v>
      </c>
      <c r="C592" s="5">
        <v>1</v>
      </c>
      <c r="D592" s="4">
        <v>2701</v>
      </c>
      <c r="E592" s="4">
        <f t="shared" si="165"/>
        <v>0</v>
      </c>
      <c r="F592" s="15">
        <f>'入力シート（2事業場以降）'!AQ473</f>
        <v>0</v>
      </c>
      <c r="G592" s="4" t="str">
        <f>IF(AND($E592=1,$F592=1),'入力シート（2事業場以降）'!F473,"")&amp;""</f>
        <v/>
      </c>
      <c r="H592" s="15" t="str">
        <f>IFERROR(VLOOKUP($G592,補助対象機器一覧20220831!$A$2:$K$200,3,FALSE),"")</f>
        <v/>
      </c>
      <c r="I592" s="15" t="str">
        <f>IFERROR(VLOOKUP($G592,補助対象機器一覧20220831!$A$2:$K$200,4,FALSE),"")</f>
        <v/>
      </c>
      <c r="J592" s="15" t="str">
        <f>IFERROR(VLOOKUP($G592,補助対象機器一覧20220831!$A$2:$K$200,5,FALSE),"")</f>
        <v/>
      </c>
      <c r="K592" s="15" t="str">
        <f>IFERROR(VLOOKUP($G592,補助対象機器一覧20220831!$A$2:$K$200,6,FALSE),"")</f>
        <v/>
      </c>
      <c r="L592" s="4" t="str">
        <f>IF(AND($E592=1,$F592=1),'入力シート（2事業場以降）'!J473,"")&amp;""</f>
        <v/>
      </c>
      <c r="M592" s="4" t="str">
        <f>IF(AND($E592=1,$F592=1),'入力シート（2事業場以降）'!N473,"")&amp;""</f>
        <v/>
      </c>
      <c r="N592" s="4" t="str">
        <f>IF(AND($E592=1,$F592=1),'入力シート（2事業場以降）'!R473,"")&amp;""</f>
        <v/>
      </c>
      <c r="O592" s="4" t="str">
        <f>IF(AND($E592=1,$F592=1),'入力シート（2事業場以降）'!V473,"")&amp;""</f>
        <v/>
      </c>
      <c r="P592" s="4" t="str">
        <f>IFERROR(VLOOKUP($G592,補助対象機器一覧20220831!$A$2:$K$200,10,FALSE),"")</f>
        <v/>
      </c>
      <c r="Q592" s="15" t="str">
        <f>IF(AND($E592=1,$F592=2),TRIM(CLEAN('入力シート（2事業場以降）'!J475)),"")&amp;""</f>
        <v/>
      </c>
      <c r="R592" s="15" t="str">
        <f>IF(AND($E592=1,$F592=2),TRIM(CLEAN('入力シート（2事業場以降）'!N475)),"")&amp;""</f>
        <v/>
      </c>
      <c r="S592" s="15" t="str">
        <f>IF(AND($E592=1,$F592=2),TRIM(CLEAN('入力シート（2事業場以降）'!R475)),"")&amp;""</f>
        <v/>
      </c>
      <c r="T592" s="15" t="str">
        <f>IF(AND($E592=1,$F592=2),TRIM(CLEAN('入力シート（2事業場以降）'!V475)),"")&amp;""</f>
        <v/>
      </c>
      <c r="V592">
        <v>7</v>
      </c>
      <c r="W592" s="117" t="str">
        <f t="shared" ca="1" si="157"/>
        <v>OK</v>
      </c>
      <c r="X592" t="str">
        <f t="shared" ca="1" si="159"/>
        <v>交付申請時のコード番号を選択してください。
申請するコード番号が選べなかった場合は、コード番号の有無で「なし」を選択してください。</v>
      </c>
      <c r="Y592">
        <f t="shared" si="160"/>
        <v>1</v>
      </c>
      <c r="Z592">
        <f t="shared" si="166"/>
        <v>0</v>
      </c>
      <c r="AA592"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92" t="str">
        <f t="shared" si="158"/>
        <v>コード番号を選択してください。</v>
      </c>
      <c r="AC592" t="s">
        <v>450</v>
      </c>
      <c r="AD592" s="36"/>
      <c r="AE592" s="36"/>
      <c r="AF592" t="s">
        <v>451</v>
      </c>
      <c r="AH592">
        <f t="shared" si="162"/>
        <v>9999</v>
      </c>
      <c r="AI592">
        <f>SMALL($AH$514:$AH$663,79)</f>
        <v>9999</v>
      </c>
      <c r="AJ592" t="e">
        <f t="shared" si="163"/>
        <v>#N/A</v>
      </c>
      <c r="AK592" t="str">
        <f t="shared" si="164"/>
        <v>事業場99</v>
      </c>
    </row>
    <row r="593" spans="2:37" x14ac:dyDescent="0.15">
      <c r="B593" s="5">
        <v>27</v>
      </c>
      <c r="C593" s="5">
        <v>2</v>
      </c>
      <c r="D593" s="4">
        <v>2702</v>
      </c>
      <c r="E593" s="4">
        <f t="shared" si="165"/>
        <v>0</v>
      </c>
      <c r="F593" s="15">
        <f>'入力シート（2事業場以降）'!AQ477</f>
        <v>0</v>
      </c>
      <c r="G593" s="4" t="str">
        <f>IF(AND($E593=1,$F593=1),'入力シート（2事業場以降）'!F477,"")&amp;""</f>
        <v/>
      </c>
      <c r="H593" s="15" t="str">
        <f>IFERROR(VLOOKUP($G593,補助対象機器一覧20220831!$A$2:$K$200,3,FALSE),"")</f>
        <v/>
      </c>
      <c r="I593" s="15" t="str">
        <f>IFERROR(VLOOKUP($G593,補助対象機器一覧20220831!$A$2:$K$200,4,FALSE),"")</f>
        <v/>
      </c>
      <c r="J593" s="15" t="str">
        <f>IFERROR(VLOOKUP($G593,補助対象機器一覧20220831!$A$2:$K$200,5,FALSE),"")</f>
        <v/>
      </c>
      <c r="K593" s="15" t="str">
        <f>IFERROR(VLOOKUP($G593,補助対象機器一覧20220831!$A$2:$K$200,6,FALSE),"")</f>
        <v/>
      </c>
      <c r="L593" s="4" t="str">
        <f>IF(AND($E593=1,$F593=1),'入力シート（2事業場以降）'!J477,"")&amp;""</f>
        <v/>
      </c>
      <c r="M593" s="4" t="str">
        <f>IF(AND($E593=1,$F593=1),'入力シート（2事業場以降）'!N477,"")&amp;""</f>
        <v/>
      </c>
      <c r="N593" s="4" t="str">
        <f>IF(AND($E593=1,$F593=1),'入力シート（2事業場以降）'!R477,"")&amp;""</f>
        <v/>
      </c>
      <c r="O593" s="4" t="str">
        <f>IF(AND($E593=1,$F593=1),'入力シート（2事業場以降）'!V477,"")&amp;""</f>
        <v/>
      </c>
      <c r="P593" s="4" t="str">
        <f>IFERROR(VLOOKUP($G593,補助対象機器一覧20220831!$A$2:$K$200,10,FALSE),"")</f>
        <v/>
      </c>
      <c r="Q593" s="15" t="str">
        <f>IF(AND($E593=1,$F593=2),TRIM(CLEAN('入力シート（2事業場以降）'!J479)),"")&amp;""</f>
        <v/>
      </c>
      <c r="R593" s="15" t="str">
        <f>IF(AND($E593=1,$F593=2),TRIM(CLEAN('入力シート（2事業場以降）'!N479)),"")&amp;""</f>
        <v/>
      </c>
      <c r="S593" s="15" t="str">
        <f>IF(AND($E593=1,$F593=2),TRIM(CLEAN('入力シート（2事業場以降）'!R479)),"")&amp;""</f>
        <v/>
      </c>
      <c r="T593" s="15" t="str">
        <f>IF(AND($E593=1,$F593=2),TRIM(CLEAN('入力シート（2事業場以降）'!V479)),"")&amp;""</f>
        <v/>
      </c>
      <c r="W593" s="117" t="str">
        <f t="shared" ca="1" si="157"/>
        <v>OK</v>
      </c>
      <c r="X593" t="str">
        <f t="shared" ca="1" si="159"/>
        <v/>
      </c>
      <c r="Y593">
        <f t="shared" si="160"/>
        <v>1</v>
      </c>
      <c r="Z593">
        <f t="shared" si="166"/>
        <v>2</v>
      </c>
      <c r="AA593" s="36"/>
      <c r="AB593" t="str">
        <f t="shared" si="158"/>
        <v>コード番号を選択してください。</v>
      </c>
      <c r="AC593" t="s">
        <v>450</v>
      </c>
      <c r="AD593" s="36"/>
      <c r="AE593" t="str">
        <f>C592&amp;"台目の機器が入力されていません。"&amp;CHAR(10)&amp;"詰めて入力してください。"</f>
        <v>1台目の機器が入力されていません。
詰めて入力してください。</v>
      </c>
      <c r="AF593" t="s">
        <v>451</v>
      </c>
      <c r="AH593">
        <f t="shared" si="162"/>
        <v>9999</v>
      </c>
      <c r="AI593">
        <f>SMALL($AH$514:$AH$663,80)</f>
        <v>9999</v>
      </c>
      <c r="AJ593" t="e">
        <f t="shared" si="163"/>
        <v>#N/A</v>
      </c>
      <c r="AK593" t="str">
        <f t="shared" si="164"/>
        <v>事業場99</v>
      </c>
    </row>
    <row r="594" spans="2:37" x14ac:dyDescent="0.15">
      <c r="B594" s="5">
        <v>27</v>
      </c>
      <c r="C594" s="5">
        <v>3</v>
      </c>
      <c r="D594" s="4">
        <v>2703</v>
      </c>
      <c r="E594" s="4">
        <f t="shared" si="165"/>
        <v>0</v>
      </c>
      <c r="F594" s="15">
        <f>'入力シート（2事業場以降）'!AQ481</f>
        <v>0</v>
      </c>
      <c r="G594" s="4" t="str">
        <f>IF(AND($E594=1,$F594=1),'入力シート（2事業場以降）'!F481,"")&amp;""</f>
        <v/>
      </c>
      <c r="H594" s="15" t="str">
        <f>IFERROR(VLOOKUP($G594,補助対象機器一覧20220831!$A$2:$K$200,3,FALSE),"")</f>
        <v/>
      </c>
      <c r="I594" s="15" t="str">
        <f>IFERROR(VLOOKUP($G594,補助対象機器一覧20220831!$A$2:$K$200,4,FALSE),"")</f>
        <v/>
      </c>
      <c r="J594" s="15" t="str">
        <f>IFERROR(VLOOKUP($G594,補助対象機器一覧20220831!$A$2:$K$200,5,FALSE),"")</f>
        <v/>
      </c>
      <c r="K594" s="15" t="str">
        <f>IFERROR(VLOOKUP($G594,補助対象機器一覧20220831!$A$2:$K$200,6,FALSE),"")</f>
        <v/>
      </c>
      <c r="L594" s="4" t="str">
        <f>IF(AND($E594=1,$F594=1),'入力シート（2事業場以降）'!J481,"")&amp;""</f>
        <v/>
      </c>
      <c r="M594" s="4" t="str">
        <f>IF(AND($E594=1,$F594=1),'入力シート（2事業場以降）'!N481,"")&amp;""</f>
        <v/>
      </c>
      <c r="N594" s="4" t="str">
        <f>IF(AND($E594=1,$F594=1),'入力シート（2事業場以降）'!R481,"")&amp;""</f>
        <v/>
      </c>
      <c r="O594" s="4" t="str">
        <f>IF(AND($E594=1,$F594=1),'入力シート（2事業場以降）'!V481,"")&amp;""</f>
        <v/>
      </c>
      <c r="P594" s="4" t="str">
        <f>IFERROR(VLOOKUP($G594,補助対象機器一覧20220831!$A$2:$K$200,10,FALSE),"")</f>
        <v/>
      </c>
      <c r="Q594" s="15" t="str">
        <f>IF(AND($E594=1,$F594=2),TRIM(CLEAN('入力シート（2事業場以降）'!J483)),"")&amp;""</f>
        <v/>
      </c>
      <c r="R594" s="15" t="str">
        <f>IF(AND($E594=1,$F594=2),TRIM(CLEAN('入力シート（2事業場以降）'!N483)),"")&amp;""</f>
        <v/>
      </c>
      <c r="S594" s="15" t="str">
        <f>IF(AND($E594=1,$F594=2),TRIM(CLEAN('入力シート（2事業場以降）'!R483)),"")&amp;""</f>
        <v/>
      </c>
      <c r="T594" s="15" t="str">
        <f>IF(AND($E594=1,$F594=2),TRIM(CLEAN('入力シート（2事業場以降）'!V483)),"")&amp;""</f>
        <v/>
      </c>
      <c r="W594" s="117" t="str">
        <f t="shared" ca="1" si="157"/>
        <v>OK</v>
      </c>
      <c r="X594" t="str">
        <f t="shared" ca="1" si="159"/>
        <v/>
      </c>
      <c r="Y594">
        <f t="shared" si="160"/>
        <v>1</v>
      </c>
      <c r="Z594">
        <f t="shared" si="166"/>
        <v>1</v>
      </c>
      <c r="AA594" s="36"/>
      <c r="AB594" t="str">
        <f t="shared" si="158"/>
        <v>コード番号を選択してください。</v>
      </c>
      <c r="AC594" t="s">
        <v>450</v>
      </c>
      <c r="AD594" t="str">
        <f t="shared" ref="AD594" si="171">AE593</f>
        <v>1台目の機器が入力されていません。
詰めて入力してください。</v>
      </c>
      <c r="AE594" t="str">
        <f>C593&amp;"台目の機器が入力されていません。"&amp;CHAR(10)&amp;"詰めて入力してください。"</f>
        <v>2台目の機器が入力されていません。
詰めて入力してください。</v>
      </c>
      <c r="AF594" t="s">
        <v>451</v>
      </c>
      <c r="AH594">
        <f t="shared" si="162"/>
        <v>9999</v>
      </c>
      <c r="AI594">
        <f>SMALL($AH$514:$AH$663,81)</f>
        <v>9999</v>
      </c>
      <c r="AJ594" t="e">
        <f t="shared" si="163"/>
        <v>#N/A</v>
      </c>
      <c r="AK594" t="str">
        <f t="shared" si="164"/>
        <v>事業場99</v>
      </c>
    </row>
    <row r="595" spans="2:37" x14ac:dyDescent="0.15">
      <c r="B595" s="5">
        <v>28</v>
      </c>
      <c r="C595" s="5">
        <v>1</v>
      </c>
      <c r="D595" s="4">
        <v>2801</v>
      </c>
      <c r="E595" s="4">
        <f t="shared" si="165"/>
        <v>0</v>
      </c>
      <c r="F595" s="15">
        <f>'入力シート（2事業場以降）'!AQ486</f>
        <v>0</v>
      </c>
      <c r="G595" s="4" t="str">
        <f>IF(AND($E595=1,$F595=1),'入力シート（2事業場以降）'!F486,"")&amp;""</f>
        <v/>
      </c>
      <c r="H595" s="15" t="str">
        <f>IFERROR(VLOOKUP($G595,補助対象機器一覧20220831!$A$2:$K$200,3,FALSE),"")</f>
        <v/>
      </c>
      <c r="I595" s="15" t="str">
        <f>IFERROR(VLOOKUP($G595,補助対象機器一覧20220831!$A$2:$K$200,4,FALSE),"")</f>
        <v/>
      </c>
      <c r="J595" s="15" t="str">
        <f>IFERROR(VLOOKUP($G595,補助対象機器一覧20220831!$A$2:$K$200,5,FALSE),"")</f>
        <v/>
      </c>
      <c r="K595" s="15" t="str">
        <f>IFERROR(VLOOKUP($G595,補助対象機器一覧20220831!$A$2:$K$200,6,FALSE),"")</f>
        <v/>
      </c>
      <c r="L595" s="4" t="str">
        <f>IF(AND($E595=1,$F595=1),'入力シート（2事業場以降）'!J486,"")&amp;""</f>
        <v/>
      </c>
      <c r="M595" s="4" t="str">
        <f>IF(AND($E595=1,$F595=1),'入力シート（2事業場以降）'!N486,"")&amp;""</f>
        <v/>
      </c>
      <c r="N595" s="4" t="str">
        <f>IF(AND($E595=1,$F595=1),'入力シート（2事業場以降）'!R486,"")&amp;""</f>
        <v/>
      </c>
      <c r="O595" s="4" t="str">
        <f>IF(AND($E595=1,$F595=1),'入力シート（2事業場以降）'!V486,"")&amp;""</f>
        <v/>
      </c>
      <c r="P595" s="4" t="str">
        <f>IFERROR(VLOOKUP($G595,補助対象機器一覧20220831!$A$2:$K$200,10,FALSE),"")</f>
        <v/>
      </c>
      <c r="Q595" s="15" t="str">
        <f>IF(AND($E595=1,$F595=2),TRIM(CLEAN('入力シート（2事業場以降）'!J488)),"")&amp;""</f>
        <v/>
      </c>
      <c r="R595" s="15" t="str">
        <f>IF(AND($E595=1,$F595=2),TRIM(CLEAN('入力シート（2事業場以降）'!N488)),"")&amp;""</f>
        <v/>
      </c>
      <c r="S595" s="15" t="str">
        <f>IF(AND($E595=1,$F595=2),TRIM(CLEAN('入力シート（2事業場以降）'!R488)),"")&amp;""</f>
        <v/>
      </c>
      <c r="T595" s="15" t="str">
        <f>IF(AND($E595=1,$F595=2),TRIM(CLEAN('入力シート（2事業場以降）'!V488)),"")&amp;""</f>
        <v/>
      </c>
      <c r="V595">
        <v>8</v>
      </c>
      <c r="W595" s="117" t="str">
        <f t="shared" ca="1" si="157"/>
        <v>OK</v>
      </c>
      <c r="X595" t="str">
        <f t="shared" ca="1" si="159"/>
        <v>交付申請時のコード番号を選択してください。
申請するコード番号が選べなかった場合は、コード番号の有無で「なし」を選択してください。</v>
      </c>
      <c r="Y595">
        <f t="shared" si="160"/>
        <v>1</v>
      </c>
      <c r="Z595">
        <f t="shared" si="166"/>
        <v>0</v>
      </c>
      <c r="AA595"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95" t="str">
        <f t="shared" si="158"/>
        <v>コード番号を選択してください。</v>
      </c>
      <c r="AC595" t="s">
        <v>450</v>
      </c>
      <c r="AD595" s="36"/>
      <c r="AE595" s="36"/>
      <c r="AF595" t="s">
        <v>451</v>
      </c>
      <c r="AH595">
        <f t="shared" si="162"/>
        <v>9999</v>
      </c>
      <c r="AI595">
        <f>SMALL($AH$514:$AH$663,82)</f>
        <v>9999</v>
      </c>
      <c r="AJ595" t="e">
        <f t="shared" si="163"/>
        <v>#N/A</v>
      </c>
      <c r="AK595" t="str">
        <f t="shared" si="164"/>
        <v>事業場99</v>
      </c>
    </row>
    <row r="596" spans="2:37" x14ac:dyDescent="0.15">
      <c r="B596" s="5">
        <v>28</v>
      </c>
      <c r="C596" s="5">
        <v>2</v>
      </c>
      <c r="D596" s="4">
        <v>2802</v>
      </c>
      <c r="E596" s="4">
        <f t="shared" si="165"/>
        <v>0</v>
      </c>
      <c r="F596" s="15">
        <f>'入力シート（2事業場以降）'!AQ490</f>
        <v>0</v>
      </c>
      <c r="G596" s="4" t="str">
        <f>IF(AND($E596=1,$F596=1),'入力シート（2事業場以降）'!F490,"")&amp;""</f>
        <v/>
      </c>
      <c r="H596" s="15" t="str">
        <f>IFERROR(VLOOKUP($G596,補助対象機器一覧20220831!$A$2:$K$200,3,FALSE),"")</f>
        <v/>
      </c>
      <c r="I596" s="15" t="str">
        <f>IFERROR(VLOOKUP($G596,補助対象機器一覧20220831!$A$2:$K$200,4,FALSE),"")</f>
        <v/>
      </c>
      <c r="J596" s="15" t="str">
        <f>IFERROR(VLOOKUP($G596,補助対象機器一覧20220831!$A$2:$K$200,5,FALSE),"")</f>
        <v/>
      </c>
      <c r="K596" s="15" t="str">
        <f>IFERROR(VLOOKUP($G596,補助対象機器一覧20220831!$A$2:$K$200,6,FALSE),"")</f>
        <v/>
      </c>
      <c r="L596" s="4" t="str">
        <f>IF(AND($E596=1,$F596=1),'入力シート（2事業場以降）'!J490,"")&amp;""</f>
        <v/>
      </c>
      <c r="M596" s="4" t="str">
        <f>IF(AND($E596=1,$F596=1),'入力シート（2事業場以降）'!N490,"")&amp;""</f>
        <v/>
      </c>
      <c r="N596" s="4" t="str">
        <f>IF(AND($E596=1,$F596=1),'入力シート（2事業場以降）'!R490,"")&amp;""</f>
        <v/>
      </c>
      <c r="O596" s="4" t="str">
        <f>IF(AND($E596=1,$F596=1),'入力シート（2事業場以降）'!V490,"")&amp;""</f>
        <v/>
      </c>
      <c r="P596" s="4" t="str">
        <f>IFERROR(VLOOKUP($G596,補助対象機器一覧20220831!$A$2:$K$200,10,FALSE),"")</f>
        <v/>
      </c>
      <c r="Q596" s="15" t="str">
        <f>IF(AND($E596=1,$F596=2),TRIM(CLEAN('入力シート（2事業場以降）'!J492)),"")&amp;""</f>
        <v/>
      </c>
      <c r="R596" s="15" t="str">
        <f>IF(AND($E596=1,$F596=2),TRIM(CLEAN('入力シート（2事業場以降）'!N492)),"")&amp;""</f>
        <v/>
      </c>
      <c r="S596" s="15" t="str">
        <f>IF(AND($E596=1,$F596=2),TRIM(CLEAN('入力シート（2事業場以降）'!R492)),"")&amp;""</f>
        <v/>
      </c>
      <c r="T596" s="15" t="str">
        <f>IF(AND($E596=1,$F596=2),TRIM(CLEAN('入力シート（2事業場以降）'!V492)),"")&amp;""</f>
        <v/>
      </c>
      <c r="W596" s="117" t="str">
        <f t="shared" ca="1" si="157"/>
        <v>OK</v>
      </c>
      <c r="X596" t="str">
        <f t="shared" ca="1" si="159"/>
        <v/>
      </c>
      <c r="Y596">
        <f t="shared" si="160"/>
        <v>1</v>
      </c>
      <c r="Z596">
        <f t="shared" si="166"/>
        <v>2</v>
      </c>
      <c r="AA596" s="36"/>
      <c r="AB596" t="str">
        <f t="shared" si="158"/>
        <v>コード番号を選択してください。</v>
      </c>
      <c r="AC596" t="s">
        <v>450</v>
      </c>
      <c r="AD596" s="36"/>
      <c r="AE596" t="str">
        <f>C595&amp;"台目の機器が入力されていません。"&amp;CHAR(10)&amp;"詰めて入力してください。"</f>
        <v>1台目の機器が入力されていません。
詰めて入力してください。</v>
      </c>
      <c r="AF596" t="s">
        <v>451</v>
      </c>
      <c r="AH596">
        <f t="shared" si="162"/>
        <v>9999</v>
      </c>
      <c r="AI596">
        <f>SMALL($AH$514:$AH$663,83)</f>
        <v>9999</v>
      </c>
      <c r="AJ596" t="e">
        <f t="shared" si="163"/>
        <v>#N/A</v>
      </c>
      <c r="AK596" t="str">
        <f t="shared" si="164"/>
        <v>事業場99</v>
      </c>
    </row>
    <row r="597" spans="2:37" x14ac:dyDescent="0.15">
      <c r="B597" s="5">
        <v>28</v>
      </c>
      <c r="C597" s="5">
        <v>3</v>
      </c>
      <c r="D597" s="4">
        <v>2803</v>
      </c>
      <c r="E597" s="4">
        <f t="shared" si="165"/>
        <v>0</v>
      </c>
      <c r="F597" s="15">
        <f>'入力シート（2事業場以降）'!AQ494</f>
        <v>0</v>
      </c>
      <c r="G597" s="4" t="str">
        <f>IF(AND($E597=1,$F597=1),'入力シート（2事業場以降）'!F494,"")&amp;""</f>
        <v/>
      </c>
      <c r="H597" s="15" t="str">
        <f>IFERROR(VLOOKUP($G597,補助対象機器一覧20220831!$A$2:$K$200,3,FALSE),"")</f>
        <v/>
      </c>
      <c r="I597" s="15" t="str">
        <f>IFERROR(VLOOKUP($G597,補助対象機器一覧20220831!$A$2:$K$200,4,FALSE),"")</f>
        <v/>
      </c>
      <c r="J597" s="15" t="str">
        <f>IFERROR(VLOOKUP($G597,補助対象機器一覧20220831!$A$2:$K$200,5,FALSE),"")</f>
        <v/>
      </c>
      <c r="K597" s="15" t="str">
        <f>IFERROR(VLOOKUP($G597,補助対象機器一覧20220831!$A$2:$K$200,6,FALSE),"")</f>
        <v/>
      </c>
      <c r="L597" s="4" t="str">
        <f>IF(AND($E597=1,$F597=1),'入力シート（2事業場以降）'!J494,"")&amp;""</f>
        <v/>
      </c>
      <c r="M597" s="4" t="str">
        <f>IF(AND($E597=1,$F597=1),'入力シート（2事業場以降）'!N494,"")&amp;""</f>
        <v/>
      </c>
      <c r="N597" s="4" t="str">
        <f>IF(AND($E597=1,$F597=1),'入力シート（2事業場以降）'!R494,"")&amp;""</f>
        <v/>
      </c>
      <c r="O597" s="4" t="str">
        <f>IF(AND($E597=1,$F597=1),'入力シート（2事業場以降）'!V494,"")&amp;""</f>
        <v/>
      </c>
      <c r="P597" s="4" t="str">
        <f>IFERROR(VLOOKUP($G597,補助対象機器一覧20220831!$A$2:$K$200,10,FALSE),"")</f>
        <v/>
      </c>
      <c r="Q597" s="15" t="str">
        <f>IF(AND($E597=1,$F597=2),TRIM(CLEAN('入力シート（2事業場以降）'!J496)),"")&amp;""</f>
        <v/>
      </c>
      <c r="R597" s="15" t="str">
        <f>IF(AND($E597=1,$F597=2),TRIM(CLEAN('入力シート（2事業場以降）'!N496)),"")&amp;""</f>
        <v/>
      </c>
      <c r="S597" s="15" t="str">
        <f>IF(AND($E597=1,$F597=2),TRIM(CLEAN('入力シート（2事業場以降）'!R496)),"")&amp;""</f>
        <v/>
      </c>
      <c r="T597" s="15" t="str">
        <f>IF(AND($E597=1,$F597=2),TRIM(CLEAN('入力シート（2事業場以降）'!V496)),"")&amp;""</f>
        <v/>
      </c>
      <c r="W597" s="117" t="str">
        <f t="shared" ca="1" si="157"/>
        <v>OK</v>
      </c>
      <c r="X597" t="str">
        <f t="shared" ca="1" si="159"/>
        <v/>
      </c>
      <c r="Y597">
        <f t="shared" si="160"/>
        <v>1</v>
      </c>
      <c r="Z597">
        <f t="shared" si="166"/>
        <v>1</v>
      </c>
      <c r="AA597" s="36"/>
      <c r="AB597" t="str">
        <f t="shared" si="158"/>
        <v>コード番号を選択してください。</v>
      </c>
      <c r="AC597" t="s">
        <v>450</v>
      </c>
      <c r="AD597" t="str">
        <f t="shared" ref="AD597" si="172">AE596</f>
        <v>1台目の機器が入力されていません。
詰めて入力してください。</v>
      </c>
      <c r="AE597" t="str">
        <f>C596&amp;"台目の機器が入力されていません。"&amp;CHAR(10)&amp;"詰めて入力してください。"</f>
        <v>2台目の機器が入力されていません。
詰めて入力してください。</v>
      </c>
      <c r="AF597" t="s">
        <v>451</v>
      </c>
      <c r="AH597">
        <f t="shared" si="162"/>
        <v>9999</v>
      </c>
      <c r="AI597">
        <f>SMALL($AH$514:$AH$663,84)</f>
        <v>9999</v>
      </c>
      <c r="AJ597" t="e">
        <f t="shared" si="163"/>
        <v>#N/A</v>
      </c>
      <c r="AK597" t="str">
        <f t="shared" si="164"/>
        <v>事業場99</v>
      </c>
    </row>
    <row r="598" spans="2:37" x14ac:dyDescent="0.15">
      <c r="B598" s="5">
        <v>29</v>
      </c>
      <c r="C598" s="5">
        <v>1</v>
      </c>
      <c r="D598" s="4">
        <v>2901</v>
      </c>
      <c r="E598" s="4">
        <f t="shared" si="165"/>
        <v>0</v>
      </c>
      <c r="F598" s="15">
        <f>'入力シート（2事業場以降）'!AQ499</f>
        <v>0</v>
      </c>
      <c r="G598" s="4" t="str">
        <f>IF(AND($E598=1,$F598=1),'入力シート（2事業場以降）'!F499,"")&amp;""</f>
        <v/>
      </c>
      <c r="H598" s="15" t="str">
        <f>IFERROR(VLOOKUP($G598,補助対象機器一覧20220831!$A$2:$K$200,3,FALSE),"")</f>
        <v/>
      </c>
      <c r="I598" s="15" t="str">
        <f>IFERROR(VLOOKUP($G598,補助対象機器一覧20220831!$A$2:$K$200,4,FALSE),"")</f>
        <v/>
      </c>
      <c r="J598" s="15" t="str">
        <f>IFERROR(VLOOKUP($G598,補助対象機器一覧20220831!$A$2:$K$200,5,FALSE),"")</f>
        <v/>
      </c>
      <c r="K598" s="15" t="str">
        <f>IFERROR(VLOOKUP($G598,補助対象機器一覧20220831!$A$2:$K$200,6,FALSE),"")</f>
        <v/>
      </c>
      <c r="L598" s="4" t="str">
        <f>IF(AND($E598=1,$F598=1),'入力シート（2事業場以降）'!J499,"")&amp;""</f>
        <v/>
      </c>
      <c r="M598" s="4" t="str">
        <f>IF(AND($E598=1,$F598=1),'入力シート（2事業場以降）'!N499,"")&amp;""</f>
        <v/>
      </c>
      <c r="N598" s="4" t="str">
        <f>IF(AND($E598=1,$F598=1),'入力シート（2事業場以降）'!R499,"")&amp;""</f>
        <v/>
      </c>
      <c r="O598" s="4" t="str">
        <f>IF(AND($E598=1,$F598=1),'入力シート（2事業場以降）'!V499,"")&amp;""</f>
        <v/>
      </c>
      <c r="P598" s="4" t="str">
        <f>IFERROR(VLOOKUP($G598,補助対象機器一覧20220831!$A$2:$K$200,10,FALSE),"")</f>
        <v/>
      </c>
      <c r="Q598" s="15" t="str">
        <f>IF(AND($E598=1,$F598=2),TRIM(CLEAN('入力シート（2事業場以降）'!J501)),"")&amp;""</f>
        <v/>
      </c>
      <c r="R598" s="15" t="str">
        <f>IF(AND($E598=1,$F598=2),TRIM(CLEAN('入力シート（2事業場以降）'!N501)),"")&amp;""</f>
        <v/>
      </c>
      <c r="S598" s="15" t="str">
        <f>IF(AND($E598=1,$F598=2),TRIM(CLEAN('入力シート（2事業場以降）'!R501)),"")&amp;""</f>
        <v/>
      </c>
      <c r="T598" s="15" t="str">
        <f>IF(AND($E598=1,$F598=2),TRIM(CLEAN('入力シート（2事業場以降）'!V501)),"")&amp;""</f>
        <v/>
      </c>
      <c r="V598">
        <v>9</v>
      </c>
      <c r="W598" s="117" t="str">
        <f t="shared" ca="1" si="157"/>
        <v>OK</v>
      </c>
      <c r="X598" t="str">
        <f t="shared" ca="1" si="159"/>
        <v>交付申請時のコード番号を選択してください。
申請するコード番号が選べなかった場合は、コード番号の有無で「なし」を選択してください。</v>
      </c>
      <c r="Y598">
        <f t="shared" si="160"/>
        <v>1</v>
      </c>
      <c r="Z598">
        <f t="shared" si="166"/>
        <v>0</v>
      </c>
      <c r="AA598"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598" t="str">
        <f t="shared" si="158"/>
        <v>コード番号を選択してください。</v>
      </c>
      <c r="AC598" t="s">
        <v>450</v>
      </c>
      <c r="AD598" s="36"/>
      <c r="AE598" s="36"/>
      <c r="AF598" t="s">
        <v>451</v>
      </c>
      <c r="AH598">
        <f t="shared" si="162"/>
        <v>9999</v>
      </c>
      <c r="AI598">
        <f>SMALL($AH$514:$AH$663,85)</f>
        <v>9999</v>
      </c>
      <c r="AJ598" t="e">
        <f t="shared" si="163"/>
        <v>#N/A</v>
      </c>
      <c r="AK598" t="str">
        <f t="shared" si="164"/>
        <v>事業場99</v>
      </c>
    </row>
    <row r="599" spans="2:37" x14ac:dyDescent="0.15">
      <c r="B599" s="5">
        <v>29</v>
      </c>
      <c r="C599" s="5">
        <v>2</v>
      </c>
      <c r="D599" s="4">
        <v>2902</v>
      </c>
      <c r="E599" s="4">
        <f t="shared" si="165"/>
        <v>0</v>
      </c>
      <c r="F599" s="15">
        <f>'入力シート（2事業場以降）'!AQ503</f>
        <v>0</v>
      </c>
      <c r="G599" s="4" t="str">
        <f>IF(AND($E599=1,$F599=1),'入力シート（2事業場以降）'!F503,"")&amp;""</f>
        <v/>
      </c>
      <c r="H599" s="15" t="str">
        <f>IFERROR(VLOOKUP($G599,補助対象機器一覧20220831!$A$2:$K$200,3,FALSE),"")</f>
        <v/>
      </c>
      <c r="I599" s="15" t="str">
        <f>IFERROR(VLOOKUP($G599,補助対象機器一覧20220831!$A$2:$K$200,4,FALSE),"")</f>
        <v/>
      </c>
      <c r="J599" s="15" t="str">
        <f>IFERROR(VLOOKUP($G599,補助対象機器一覧20220831!$A$2:$K$200,5,FALSE),"")</f>
        <v/>
      </c>
      <c r="K599" s="15" t="str">
        <f>IFERROR(VLOOKUP($G599,補助対象機器一覧20220831!$A$2:$K$200,6,FALSE),"")</f>
        <v/>
      </c>
      <c r="L599" s="4" t="str">
        <f>IF(AND($E599=1,$F599=1),'入力シート（2事業場以降）'!J503,"")&amp;""</f>
        <v/>
      </c>
      <c r="M599" s="4" t="str">
        <f>IF(AND($E599=1,$F599=1),'入力シート（2事業場以降）'!N503,"")&amp;""</f>
        <v/>
      </c>
      <c r="N599" s="4" t="str">
        <f>IF(AND($E599=1,$F599=1),'入力シート（2事業場以降）'!R503,"")&amp;""</f>
        <v/>
      </c>
      <c r="O599" s="4" t="str">
        <f>IF(AND($E599=1,$F599=1),'入力シート（2事業場以降）'!V503,"")&amp;""</f>
        <v/>
      </c>
      <c r="P599" s="4" t="str">
        <f>IFERROR(VLOOKUP($G599,補助対象機器一覧20220831!$A$2:$K$200,10,FALSE),"")</f>
        <v/>
      </c>
      <c r="Q599" s="15" t="str">
        <f>IF(AND($E599=1,$F599=2),TRIM(CLEAN('入力シート（2事業場以降）'!J505)),"")&amp;""</f>
        <v/>
      </c>
      <c r="R599" s="15" t="str">
        <f>IF(AND($E599=1,$F599=2),TRIM(CLEAN('入力シート（2事業場以降）'!N505)),"")&amp;""</f>
        <v/>
      </c>
      <c r="S599" s="15" t="str">
        <f>IF(AND($E599=1,$F599=2),TRIM(CLEAN('入力シート（2事業場以降）'!R505)),"")&amp;""</f>
        <v/>
      </c>
      <c r="T599" s="15" t="str">
        <f>IF(AND($E599=1,$F599=2),TRIM(CLEAN('入力シート（2事業場以降）'!V505)),"")&amp;""</f>
        <v/>
      </c>
      <c r="W599" s="117" t="str">
        <f t="shared" ca="1" si="157"/>
        <v>OK</v>
      </c>
      <c r="X599" t="str">
        <f t="shared" ca="1" si="159"/>
        <v/>
      </c>
      <c r="Y599">
        <f t="shared" si="160"/>
        <v>1</v>
      </c>
      <c r="Z599">
        <f t="shared" si="166"/>
        <v>2</v>
      </c>
      <c r="AA599" s="36"/>
      <c r="AB599" t="str">
        <f t="shared" si="158"/>
        <v>コード番号を選択してください。</v>
      </c>
      <c r="AC599" t="s">
        <v>450</v>
      </c>
      <c r="AD599" s="36"/>
      <c r="AE599" t="str">
        <f>C598&amp;"台目の機器が入力されていません。"&amp;CHAR(10)&amp;"詰めて入力してください。"</f>
        <v>1台目の機器が入力されていません。
詰めて入力してください。</v>
      </c>
      <c r="AF599" t="s">
        <v>451</v>
      </c>
      <c r="AH599">
        <f t="shared" si="162"/>
        <v>9999</v>
      </c>
      <c r="AI599">
        <f>SMALL($AH$514:$AH$663,86)</f>
        <v>9999</v>
      </c>
      <c r="AJ599" t="e">
        <f t="shared" si="163"/>
        <v>#N/A</v>
      </c>
      <c r="AK599" t="str">
        <f t="shared" si="164"/>
        <v>事業場99</v>
      </c>
    </row>
    <row r="600" spans="2:37" x14ac:dyDescent="0.15">
      <c r="B600" s="5">
        <v>29</v>
      </c>
      <c r="C600" s="5">
        <v>3</v>
      </c>
      <c r="D600" s="4">
        <v>2903</v>
      </c>
      <c r="E600" s="4">
        <f t="shared" si="165"/>
        <v>0</v>
      </c>
      <c r="F600" s="15">
        <f>'入力シート（2事業場以降）'!AQ507</f>
        <v>0</v>
      </c>
      <c r="G600" s="4" t="str">
        <f>IF(AND($E600=1,$F600=1),'入力シート（2事業場以降）'!F507,"")&amp;""</f>
        <v/>
      </c>
      <c r="H600" s="15" t="str">
        <f>IFERROR(VLOOKUP($G600,補助対象機器一覧20220831!$A$2:$K$200,3,FALSE),"")</f>
        <v/>
      </c>
      <c r="I600" s="15" t="str">
        <f>IFERROR(VLOOKUP($G600,補助対象機器一覧20220831!$A$2:$K$200,4,FALSE),"")</f>
        <v/>
      </c>
      <c r="J600" s="15" t="str">
        <f>IFERROR(VLOOKUP($G600,補助対象機器一覧20220831!$A$2:$K$200,5,FALSE),"")</f>
        <v/>
      </c>
      <c r="K600" s="15" t="str">
        <f>IFERROR(VLOOKUP($G600,補助対象機器一覧20220831!$A$2:$K$200,6,FALSE),"")</f>
        <v/>
      </c>
      <c r="L600" s="4" t="str">
        <f>IF(AND($E600=1,$F600=1),'入力シート（2事業場以降）'!J507,"")&amp;""</f>
        <v/>
      </c>
      <c r="M600" s="4" t="str">
        <f>IF(AND($E600=1,$F600=1),'入力シート（2事業場以降）'!N507,"")&amp;""</f>
        <v/>
      </c>
      <c r="N600" s="4" t="str">
        <f>IF(AND($E600=1,$F600=1),'入力シート（2事業場以降）'!R507,"")&amp;""</f>
        <v/>
      </c>
      <c r="O600" s="4" t="str">
        <f>IF(AND($E600=1,$F600=1),'入力シート（2事業場以降）'!V507,"")&amp;""</f>
        <v/>
      </c>
      <c r="P600" s="4" t="str">
        <f>IFERROR(VLOOKUP($G600,補助対象機器一覧20220831!$A$2:$K$200,10,FALSE),"")</f>
        <v/>
      </c>
      <c r="Q600" s="15" t="str">
        <f>IF(AND($E600=1,$F600=2),TRIM(CLEAN('入力シート（2事業場以降）'!J509)),"")&amp;""</f>
        <v/>
      </c>
      <c r="R600" s="15" t="str">
        <f>IF(AND($E600=1,$F600=2),TRIM(CLEAN('入力シート（2事業場以降）'!N509)),"")&amp;""</f>
        <v/>
      </c>
      <c r="S600" s="15" t="str">
        <f>IF(AND($E600=1,$F600=2),TRIM(CLEAN('入力シート（2事業場以降）'!R509)),"")&amp;""</f>
        <v/>
      </c>
      <c r="T600" s="15" t="str">
        <f>IF(AND($E600=1,$F600=2),TRIM(CLEAN('入力シート（2事業場以降）'!V509)),"")&amp;""</f>
        <v/>
      </c>
      <c r="W600" s="117" t="str">
        <f t="shared" ca="1" si="157"/>
        <v>OK</v>
      </c>
      <c r="X600" t="str">
        <f t="shared" ca="1" si="159"/>
        <v/>
      </c>
      <c r="Y600">
        <f t="shared" si="160"/>
        <v>1</v>
      </c>
      <c r="Z600">
        <f t="shared" si="166"/>
        <v>1</v>
      </c>
      <c r="AA600" s="36"/>
      <c r="AB600" t="str">
        <f t="shared" si="158"/>
        <v>コード番号を選択してください。</v>
      </c>
      <c r="AC600" t="s">
        <v>450</v>
      </c>
      <c r="AD600" t="str">
        <f t="shared" ref="AD600" si="173">AE599</f>
        <v>1台目の機器が入力されていません。
詰めて入力してください。</v>
      </c>
      <c r="AE600" t="str">
        <f>C599&amp;"台目の機器が入力されていません。"&amp;CHAR(10)&amp;"詰めて入力してください。"</f>
        <v>2台目の機器が入力されていません。
詰めて入力してください。</v>
      </c>
      <c r="AF600" t="s">
        <v>451</v>
      </c>
      <c r="AH600">
        <f t="shared" si="162"/>
        <v>9999</v>
      </c>
      <c r="AI600">
        <f>SMALL($AH$514:$AH$663,87)</f>
        <v>9999</v>
      </c>
      <c r="AJ600" t="e">
        <f t="shared" si="163"/>
        <v>#N/A</v>
      </c>
      <c r="AK600" t="str">
        <f t="shared" si="164"/>
        <v>事業場99</v>
      </c>
    </row>
    <row r="601" spans="2:37" x14ac:dyDescent="0.15">
      <c r="B601" s="5">
        <v>30</v>
      </c>
      <c r="C601" s="5">
        <v>1</v>
      </c>
      <c r="D601" s="4">
        <v>3001</v>
      </c>
      <c r="E601" s="4">
        <f t="shared" si="165"/>
        <v>0</v>
      </c>
      <c r="F601" s="15">
        <f>'入力シート（2事業場以降）'!AQ512</f>
        <v>0</v>
      </c>
      <c r="G601" s="4" t="str">
        <f>IF(AND($E601=1,$F601=1),'入力シート（2事業場以降）'!F512,"")&amp;""</f>
        <v/>
      </c>
      <c r="H601" s="15" t="str">
        <f>IFERROR(VLOOKUP($G601,補助対象機器一覧20220831!$A$2:$K$200,3,FALSE),"")</f>
        <v/>
      </c>
      <c r="I601" s="15" t="str">
        <f>IFERROR(VLOOKUP($G601,補助対象機器一覧20220831!$A$2:$K$200,4,FALSE),"")</f>
        <v/>
      </c>
      <c r="J601" s="15" t="str">
        <f>IFERROR(VLOOKUP($G601,補助対象機器一覧20220831!$A$2:$K$200,5,FALSE),"")</f>
        <v/>
      </c>
      <c r="K601" s="15" t="str">
        <f>IFERROR(VLOOKUP($G601,補助対象機器一覧20220831!$A$2:$K$200,6,FALSE),"")</f>
        <v/>
      </c>
      <c r="L601" s="4" t="str">
        <f>IF(AND($E601=1,$F601=1),'入力シート（2事業場以降）'!J512,"")&amp;""</f>
        <v/>
      </c>
      <c r="M601" s="4" t="str">
        <f>IF(AND($E601=1,$F601=1),'入力シート（2事業場以降）'!N512,"")&amp;""</f>
        <v/>
      </c>
      <c r="N601" s="4" t="str">
        <f>IF(AND($E601=1,$F601=1),'入力シート（2事業場以降）'!R512,"")&amp;""</f>
        <v/>
      </c>
      <c r="O601" s="4" t="str">
        <f>IF(AND($E601=1,$F601=1),'入力シート（2事業場以降）'!V512,"")&amp;""</f>
        <v/>
      </c>
      <c r="P601" s="4" t="str">
        <f>IFERROR(VLOOKUP($G601,補助対象機器一覧20220831!$A$2:$K$200,10,FALSE),"")</f>
        <v/>
      </c>
      <c r="Q601" s="15" t="str">
        <f>IF(AND($E601=1,$F601=2),TRIM(CLEAN('入力シート（2事業場以降）'!J514)),"")&amp;""</f>
        <v/>
      </c>
      <c r="R601" s="15" t="str">
        <f>IF(AND($E601=1,$F601=2),TRIM(CLEAN('入力シート（2事業場以降）'!N514)),"")&amp;""</f>
        <v/>
      </c>
      <c r="S601" s="15" t="str">
        <f>IF(AND($E601=1,$F601=2),TRIM(CLEAN('入力シート（2事業場以降）'!R514)),"")&amp;""</f>
        <v/>
      </c>
      <c r="T601" s="15" t="str">
        <f>IF(AND($E601=1,$F601=2),TRIM(CLEAN('入力シート（2事業場以降）'!V514)),"")&amp;""</f>
        <v/>
      </c>
      <c r="V601">
        <v>10</v>
      </c>
      <c r="W601" s="117" t="str">
        <f t="shared" ca="1" si="157"/>
        <v>OK</v>
      </c>
      <c r="X601" t="str">
        <f t="shared" ca="1" si="159"/>
        <v>交付申請時のコード番号を選択してください。
申請するコード番号が選べなかった場合は、コード番号の有無で「なし」を選択してください。</v>
      </c>
      <c r="Y601">
        <f t="shared" si="160"/>
        <v>1</v>
      </c>
      <c r="Z601">
        <f t="shared" si="166"/>
        <v>0</v>
      </c>
      <c r="AA601"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01" t="str">
        <f t="shared" si="158"/>
        <v>コード番号を選択してください。</v>
      </c>
      <c r="AC601" t="s">
        <v>450</v>
      </c>
      <c r="AD601" s="36"/>
      <c r="AE601" s="36"/>
      <c r="AF601" t="s">
        <v>451</v>
      </c>
      <c r="AH601">
        <f t="shared" si="162"/>
        <v>9999</v>
      </c>
      <c r="AI601">
        <f>SMALL($AH$514:$AH$663,88)</f>
        <v>9999</v>
      </c>
      <c r="AJ601" t="e">
        <f t="shared" si="163"/>
        <v>#N/A</v>
      </c>
      <c r="AK601" t="str">
        <f t="shared" si="164"/>
        <v>事業場99</v>
      </c>
    </row>
    <row r="602" spans="2:37" x14ac:dyDescent="0.15">
      <c r="B602" s="5">
        <v>30</v>
      </c>
      <c r="C602" s="5">
        <v>2</v>
      </c>
      <c r="D602" s="4">
        <v>3002</v>
      </c>
      <c r="E602" s="4">
        <f t="shared" si="165"/>
        <v>0</v>
      </c>
      <c r="F602" s="15">
        <f>'入力シート（2事業場以降）'!AQ516</f>
        <v>0</v>
      </c>
      <c r="G602" s="4" t="str">
        <f>IF(AND($E602=1,$F602=1),'入力シート（2事業場以降）'!F516,"")&amp;""</f>
        <v/>
      </c>
      <c r="H602" s="15" t="str">
        <f>IFERROR(VLOOKUP($G602,補助対象機器一覧20220831!$A$2:$K$200,3,FALSE),"")</f>
        <v/>
      </c>
      <c r="I602" s="15" t="str">
        <f>IFERROR(VLOOKUP($G602,補助対象機器一覧20220831!$A$2:$K$200,4,FALSE),"")</f>
        <v/>
      </c>
      <c r="J602" s="15" t="str">
        <f>IFERROR(VLOOKUP($G602,補助対象機器一覧20220831!$A$2:$K$200,5,FALSE),"")</f>
        <v/>
      </c>
      <c r="K602" s="15" t="str">
        <f>IFERROR(VLOOKUP($G602,補助対象機器一覧20220831!$A$2:$K$200,6,FALSE),"")</f>
        <v/>
      </c>
      <c r="L602" s="4" t="str">
        <f>IF(AND($E602=1,$F602=1),'入力シート（2事業場以降）'!J516,"")&amp;""</f>
        <v/>
      </c>
      <c r="M602" s="4" t="str">
        <f>IF(AND($E602=1,$F602=1),'入力シート（2事業場以降）'!N516,"")&amp;""</f>
        <v/>
      </c>
      <c r="N602" s="4" t="str">
        <f>IF(AND($E602=1,$F602=1),'入力シート（2事業場以降）'!R516,"")&amp;""</f>
        <v/>
      </c>
      <c r="O602" s="4" t="str">
        <f>IF(AND($E602=1,$F602=1),'入力シート（2事業場以降）'!V516,"")&amp;""</f>
        <v/>
      </c>
      <c r="P602" s="4" t="str">
        <f>IFERROR(VLOOKUP($G602,補助対象機器一覧20220831!$A$2:$K$200,10,FALSE),"")</f>
        <v/>
      </c>
      <c r="Q602" s="15" t="str">
        <f>IF(AND($E602=1,$F602=2),TRIM(CLEAN('入力シート（2事業場以降）'!J518)),"")&amp;""</f>
        <v/>
      </c>
      <c r="R602" s="15" t="str">
        <f>IF(AND($E602=1,$F602=2),TRIM(CLEAN('入力シート（2事業場以降）'!N518)),"")&amp;""</f>
        <v/>
      </c>
      <c r="S602" s="15" t="str">
        <f>IF(AND($E602=1,$F602=2),TRIM(CLEAN('入力シート（2事業場以降）'!R518)),"")&amp;""</f>
        <v/>
      </c>
      <c r="T602" s="15" t="str">
        <f>IF(AND($E602=1,$F602=2),TRIM(CLEAN('入力シート（2事業場以降）'!V518)),"")&amp;""</f>
        <v/>
      </c>
      <c r="W602" s="117" t="str">
        <f t="shared" ca="1" si="157"/>
        <v>OK</v>
      </c>
      <c r="X602" t="str">
        <f t="shared" ca="1" si="159"/>
        <v/>
      </c>
      <c r="Y602">
        <f t="shared" si="160"/>
        <v>1</v>
      </c>
      <c r="Z602">
        <f t="shared" si="166"/>
        <v>2</v>
      </c>
      <c r="AA602" s="36"/>
      <c r="AB602" t="str">
        <f t="shared" si="158"/>
        <v>コード番号を選択してください。</v>
      </c>
      <c r="AC602" t="s">
        <v>450</v>
      </c>
      <c r="AD602" s="36"/>
      <c r="AE602" t="str">
        <f>C601&amp;"台目の機器が入力されていません。"&amp;CHAR(10)&amp;"詰めて入力してください。"</f>
        <v>1台目の機器が入力されていません。
詰めて入力してください。</v>
      </c>
      <c r="AF602" t="s">
        <v>451</v>
      </c>
      <c r="AH602">
        <f t="shared" si="162"/>
        <v>9999</v>
      </c>
      <c r="AI602">
        <f>SMALL($AH$514:$AH$663,89)</f>
        <v>9999</v>
      </c>
      <c r="AJ602" t="e">
        <f t="shared" si="163"/>
        <v>#N/A</v>
      </c>
      <c r="AK602" t="str">
        <f t="shared" si="164"/>
        <v>事業場99</v>
      </c>
    </row>
    <row r="603" spans="2:37" x14ac:dyDescent="0.15">
      <c r="B603" s="5">
        <v>30</v>
      </c>
      <c r="C603" s="5">
        <v>3</v>
      </c>
      <c r="D603" s="4">
        <v>3003</v>
      </c>
      <c r="E603" s="4">
        <f t="shared" si="165"/>
        <v>0</v>
      </c>
      <c r="F603" s="15">
        <f>'入力シート（2事業場以降）'!AQ520</f>
        <v>0</v>
      </c>
      <c r="G603" s="4" t="str">
        <f>IF(AND($E603=1,$F603=1),'入力シート（2事業場以降）'!F520,"")&amp;""</f>
        <v/>
      </c>
      <c r="H603" s="15" t="str">
        <f>IFERROR(VLOOKUP($G603,補助対象機器一覧20220831!$A$2:$K$200,3,FALSE),"")</f>
        <v/>
      </c>
      <c r="I603" s="15" t="str">
        <f>IFERROR(VLOOKUP($G603,補助対象機器一覧20220831!$A$2:$K$200,4,FALSE),"")</f>
        <v/>
      </c>
      <c r="J603" s="15" t="str">
        <f>IFERROR(VLOOKUP($G603,補助対象機器一覧20220831!$A$2:$K$200,5,FALSE),"")</f>
        <v/>
      </c>
      <c r="K603" s="15" t="str">
        <f>IFERROR(VLOOKUP($G603,補助対象機器一覧20220831!$A$2:$K$200,6,FALSE),"")</f>
        <v/>
      </c>
      <c r="L603" s="4" t="str">
        <f>IF(AND($E603=1,$F603=1),'入力シート（2事業場以降）'!J520,"")&amp;""</f>
        <v/>
      </c>
      <c r="M603" s="4" t="str">
        <f>IF(AND($E603=1,$F603=1),'入力シート（2事業場以降）'!N520,"")&amp;""</f>
        <v/>
      </c>
      <c r="N603" s="4" t="str">
        <f>IF(AND($E603=1,$F603=1),'入力シート（2事業場以降）'!R520,"")&amp;""</f>
        <v/>
      </c>
      <c r="O603" s="4" t="str">
        <f>IF(AND($E603=1,$F603=1),'入力シート（2事業場以降）'!V520,"")&amp;""</f>
        <v/>
      </c>
      <c r="P603" s="4" t="str">
        <f>IFERROR(VLOOKUP($G603,補助対象機器一覧20220831!$A$2:$K$200,10,FALSE),"")</f>
        <v/>
      </c>
      <c r="Q603" s="15" t="str">
        <f>IF(AND($E603=1,$F603=2),TRIM(CLEAN('入力シート（2事業場以降）'!J522)),"")&amp;""</f>
        <v/>
      </c>
      <c r="R603" s="15" t="str">
        <f>IF(AND($E603=1,$F603=2),TRIM(CLEAN('入力シート（2事業場以降）'!N522)),"")&amp;""</f>
        <v/>
      </c>
      <c r="S603" s="15" t="str">
        <f>IF(AND($E603=1,$F603=2),TRIM(CLEAN('入力シート（2事業場以降）'!R522)),"")&amp;""</f>
        <v/>
      </c>
      <c r="T603" s="15" t="str">
        <f>IF(AND($E603=1,$F603=2),TRIM(CLEAN('入力シート（2事業場以降）'!V522)),"")&amp;""</f>
        <v/>
      </c>
      <c r="W603" s="117" t="str">
        <f t="shared" ca="1" si="157"/>
        <v>OK</v>
      </c>
      <c r="X603" t="str">
        <f t="shared" ca="1" si="159"/>
        <v/>
      </c>
      <c r="Y603">
        <f t="shared" si="160"/>
        <v>1</v>
      </c>
      <c r="Z603">
        <f t="shared" si="166"/>
        <v>1</v>
      </c>
      <c r="AA603" s="36"/>
      <c r="AB603" t="str">
        <f t="shared" si="158"/>
        <v>コード番号を選択してください。</v>
      </c>
      <c r="AC603" t="s">
        <v>450</v>
      </c>
      <c r="AD603" t="str">
        <f t="shared" ref="AD603" si="174">AE602</f>
        <v>1台目の機器が入力されていません。
詰めて入力してください。</v>
      </c>
      <c r="AE603" t="str">
        <f>C602&amp;"台目の機器が入力されていません。"&amp;CHAR(10)&amp;"詰めて入力してください。"</f>
        <v>2台目の機器が入力されていません。
詰めて入力してください。</v>
      </c>
      <c r="AF603" t="s">
        <v>451</v>
      </c>
      <c r="AH603">
        <f t="shared" si="162"/>
        <v>9999</v>
      </c>
      <c r="AI603">
        <f>SMALL($AH$514:$AH$663,90)</f>
        <v>9999</v>
      </c>
      <c r="AJ603" t="e">
        <f t="shared" si="163"/>
        <v>#N/A</v>
      </c>
      <c r="AK603" t="str">
        <f t="shared" si="164"/>
        <v>事業場99</v>
      </c>
    </row>
    <row r="604" spans="2:37" x14ac:dyDescent="0.15">
      <c r="B604" s="5">
        <v>31</v>
      </c>
      <c r="C604" s="5">
        <v>1</v>
      </c>
      <c r="D604" s="4">
        <v>3101</v>
      </c>
      <c r="E604" s="4">
        <f t="shared" si="165"/>
        <v>0</v>
      </c>
      <c r="F604" s="15">
        <f>'入力シート（2事業場以降）'!AQ525</f>
        <v>0</v>
      </c>
      <c r="G604" s="4" t="str">
        <f>IF(AND($E604=1,$F604=1),'入力シート（2事業場以降）'!F525,"")&amp;""</f>
        <v/>
      </c>
      <c r="H604" s="15" t="str">
        <f>IFERROR(VLOOKUP($G604,補助対象機器一覧20220831!$A$2:$K$200,3,FALSE),"")</f>
        <v/>
      </c>
      <c r="I604" s="15" t="str">
        <f>IFERROR(VLOOKUP($G604,補助対象機器一覧20220831!$A$2:$K$200,4,FALSE),"")</f>
        <v/>
      </c>
      <c r="J604" s="15" t="str">
        <f>IFERROR(VLOOKUP($G604,補助対象機器一覧20220831!$A$2:$K$200,5,FALSE),"")</f>
        <v/>
      </c>
      <c r="K604" s="15" t="str">
        <f>IFERROR(VLOOKUP($G604,補助対象機器一覧20220831!$A$2:$K$200,6,FALSE),"")</f>
        <v/>
      </c>
      <c r="L604" s="4" t="str">
        <f>IF(AND($E604=1,$F604=1),'入力シート（2事業場以降）'!J525,"")&amp;""</f>
        <v/>
      </c>
      <c r="M604" s="4" t="str">
        <f>IF(AND($E604=1,$F604=1),'入力シート（2事業場以降）'!N525,"")&amp;""</f>
        <v/>
      </c>
      <c r="N604" s="4" t="str">
        <f>IF(AND($E604=1,$F604=1),'入力シート（2事業場以降）'!R525,"")&amp;""</f>
        <v/>
      </c>
      <c r="O604" s="4" t="str">
        <f>IF(AND($E604=1,$F604=1),'入力シート（2事業場以降）'!V525,"")&amp;""</f>
        <v/>
      </c>
      <c r="P604" s="4" t="str">
        <f>IFERROR(VLOOKUP($G604,補助対象機器一覧20220831!$A$2:$K$200,10,FALSE),"")</f>
        <v/>
      </c>
      <c r="Q604" s="15" t="str">
        <f>IF(AND($E604=1,$F604=2),TRIM(CLEAN('入力シート（2事業場以降）'!J527)),"")&amp;""</f>
        <v/>
      </c>
      <c r="R604" s="15" t="str">
        <f>IF(AND($E604=1,$F604=2),TRIM(CLEAN('入力シート（2事業場以降）'!N527)),"")&amp;""</f>
        <v/>
      </c>
      <c r="S604" s="15" t="str">
        <f>IF(AND($E604=1,$F604=2),TRIM(CLEAN('入力シート（2事業場以降）'!R527)),"")&amp;""</f>
        <v/>
      </c>
      <c r="T604" s="15" t="str">
        <f>IF(AND($E604=1,$F604=2),TRIM(CLEAN('入力シート（2事業場以降）'!V527)),"")&amp;""</f>
        <v/>
      </c>
      <c r="V604">
        <v>1</v>
      </c>
      <c r="W604" s="117" t="str">
        <f t="shared" ca="1" si="157"/>
        <v>OK</v>
      </c>
      <c r="X604" t="str">
        <f t="shared" ca="1" si="159"/>
        <v>交付申請時のコード番号を選択してください。
申請するコード番号が選べなかった場合は、コード番号の有無で「なし」を選択してください。</v>
      </c>
      <c r="Y604">
        <f t="shared" si="160"/>
        <v>1</v>
      </c>
      <c r="Z604">
        <f t="shared" si="166"/>
        <v>0</v>
      </c>
      <c r="AA604"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04" t="str">
        <f t="shared" si="158"/>
        <v>コード番号を選択してください。</v>
      </c>
      <c r="AC604" t="s">
        <v>450</v>
      </c>
      <c r="AD604" s="36"/>
      <c r="AE604" s="36"/>
      <c r="AF604" t="s">
        <v>451</v>
      </c>
      <c r="AH604">
        <f t="shared" si="162"/>
        <v>9999</v>
      </c>
      <c r="AI604">
        <f>SMALL($AH$514:$AH$663,91)</f>
        <v>9999</v>
      </c>
      <c r="AJ604" t="e">
        <f t="shared" si="163"/>
        <v>#N/A</v>
      </c>
      <c r="AK604" t="str">
        <f t="shared" si="164"/>
        <v>事業場99</v>
      </c>
    </row>
    <row r="605" spans="2:37" x14ac:dyDescent="0.15">
      <c r="B605" s="5">
        <v>31</v>
      </c>
      <c r="C605" s="5">
        <v>2</v>
      </c>
      <c r="D605" s="4">
        <v>3102</v>
      </c>
      <c r="E605" s="4">
        <f t="shared" si="165"/>
        <v>0</v>
      </c>
      <c r="F605" s="15">
        <f>'入力シート（2事業場以降）'!AQ529</f>
        <v>0</v>
      </c>
      <c r="G605" s="4" t="str">
        <f>IF(AND($E605=1,$F605=1),'入力シート（2事業場以降）'!F529,"")&amp;""</f>
        <v/>
      </c>
      <c r="H605" s="15" t="str">
        <f>IFERROR(VLOOKUP($G605,補助対象機器一覧20220831!$A$2:$K$200,3,FALSE),"")</f>
        <v/>
      </c>
      <c r="I605" s="15" t="str">
        <f>IFERROR(VLOOKUP($G605,補助対象機器一覧20220831!$A$2:$K$200,4,FALSE),"")</f>
        <v/>
      </c>
      <c r="J605" s="15" t="str">
        <f>IFERROR(VLOOKUP($G605,補助対象機器一覧20220831!$A$2:$K$200,5,FALSE),"")</f>
        <v/>
      </c>
      <c r="K605" s="15" t="str">
        <f>IFERROR(VLOOKUP($G605,補助対象機器一覧20220831!$A$2:$K$200,6,FALSE),"")</f>
        <v/>
      </c>
      <c r="L605" s="4" t="str">
        <f>IF(AND($E605=1,$F605=1),'入力シート（2事業場以降）'!J529,"")&amp;""</f>
        <v/>
      </c>
      <c r="M605" s="4" t="str">
        <f>IF(AND($E605=1,$F605=1),'入力シート（2事業場以降）'!N529,"")&amp;""</f>
        <v/>
      </c>
      <c r="N605" s="4" t="str">
        <f>IF(AND($E605=1,$F605=1),'入力シート（2事業場以降）'!R529,"")&amp;""</f>
        <v/>
      </c>
      <c r="O605" s="4" t="str">
        <f>IF(AND($E605=1,$F605=1),'入力シート（2事業場以降）'!V529,"")&amp;""</f>
        <v/>
      </c>
      <c r="P605" s="4" t="str">
        <f>IFERROR(VLOOKUP($G605,補助対象機器一覧20220831!$A$2:$K$200,10,FALSE),"")</f>
        <v/>
      </c>
      <c r="Q605" s="15" t="str">
        <f>IF(AND($E605=1,$F605=2),TRIM(CLEAN('入力シート（2事業場以降）'!J531)),"")&amp;""</f>
        <v/>
      </c>
      <c r="R605" s="15" t="str">
        <f>IF(AND($E605=1,$F605=2),TRIM(CLEAN('入力シート（2事業場以降）'!N531)),"")&amp;""</f>
        <v/>
      </c>
      <c r="S605" s="15" t="str">
        <f>IF(AND($E605=1,$F605=2),TRIM(CLEAN('入力シート（2事業場以降）'!R531)),"")&amp;""</f>
        <v/>
      </c>
      <c r="T605" s="15" t="str">
        <f>IF(AND($E605=1,$F605=2),TRIM(CLEAN('入力シート（2事業場以降）'!V531)),"")&amp;""</f>
        <v/>
      </c>
      <c r="W605" s="117" t="str">
        <f t="shared" ca="1" si="157"/>
        <v>OK</v>
      </c>
      <c r="X605" t="str">
        <f t="shared" ca="1" si="159"/>
        <v/>
      </c>
      <c r="Y605">
        <f t="shared" si="160"/>
        <v>1</v>
      </c>
      <c r="Z605">
        <f t="shared" si="166"/>
        <v>2</v>
      </c>
      <c r="AA605" s="36"/>
      <c r="AB605" t="str">
        <f t="shared" si="158"/>
        <v>コード番号を選択してください。</v>
      </c>
      <c r="AC605" t="s">
        <v>450</v>
      </c>
      <c r="AD605" s="36"/>
      <c r="AE605" t="str">
        <f>C604&amp;"台目の機器が入力されていません。"&amp;CHAR(10)&amp;"詰めて入力してください。"</f>
        <v>1台目の機器が入力されていません。
詰めて入力してください。</v>
      </c>
      <c r="AF605" t="s">
        <v>451</v>
      </c>
      <c r="AH605">
        <f t="shared" si="162"/>
        <v>9999</v>
      </c>
      <c r="AI605">
        <f>SMALL($AH$514:$AH$663,92)</f>
        <v>9999</v>
      </c>
      <c r="AJ605" t="e">
        <f t="shared" si="163"/>
        <v>#N/A</v>
      </c>
      <c r="AK605" t="str">
        <f t="shared" si="164"/>
        <v>事業場99</v>
      </c>
    </row>
    <row r="606" spans="2:37" x14ac:dyDescent="0.15">
      <c r="B606" s="5">
        <v>31</v>
      </c>
      <c r="C606" s="5">
        <v>3</v>
      </c>
      <c r="D606" s="4">
        <v>3103</v>
      </c>
      <c r="E606" s="4">
        <f t="shared" si="165"/>
        <v>0</v>
      </c>
      <c r="F606" s="15">
        <f>'入力シート（2事業場以降）'!AQ533</f>
        <v>0</v>
      </c>
      <c r="G606" s="4" t="str">
        <f>IF(AND($E606=1,$F606=1),'入力シート（2事業場以降）'!F533,"")&amp;""</f>
        <v/>
      </c>
      <c r="H606" s="15" t="str">
        <f>IFERROR(VLOOKUP($G606,補助対象機器一覧20220831!$A$2:$K$200,3,FALSE),"")</f>
        <v/>
      </c>
      <c r="I606" s="15" t="str">
        <f>IFERROR(VLOOKUP($G606,補助対象機器一覧20220831!$A$2:$K$200,4,FALSE),"")</f>
        <v/>
      </c>
      <c r="J606" s="15" t="str">
        <f>IFERROR(VLOOKUP($G606,補助対象機器一覧20220831!$A$2:$K$200,5,FALSE),"")</f>
        <v/>
      </c>
      <c r="K606" s="15" t="str">
        <f>IFERROR(VLOOKUP($G606,補助対象機器一覧20220831!$A$2:$K$200,6,FALSE),"")</f>
        <v/>
      </c>
      <c r="L606" s="4" t="str">
        <f>IF(AND($E606=1,$F606=1),'入力シート（2事業場以降）'!J533,"")&amp;""</f>
        <v/>
      </c>
      <c r="M606" s="4" t="str">
        <f>IF(AND($E606=1,$F606=1),'入力シート（2事業場以降）'!N533,"")&amp;""</f>
        <v/>
      </c>
      <c r="N606" s="4" t="str">
        <f>IF(AND($E606=1,$F606=1),'入力シート（2事業場以降）'!R533,"")&amp;""</f>
        <v/>
      </c>
      <c r="O606" s="4" t="str">
        <f>IF(AND($E606=1,$F606=1),'入力シート（2事業場以降）'!V533,"")&amp;""</f>
        <v/>
      </c>
      <c r="P606" s="4" t="str">
        <f>IFERROR(VLOOKUP($G606,補助対象機器一覧20220831!$A$2:$K$200,10,FALSE),"")</f>
        <v/>
      </c>
      <c r="Q606" s="15" t="str">
        <f>IF(AND($E606=1,$F606=2),TRIM(CLEAN('入力シート（2事業場以降）'!J535)),"")&amp;""</f>
        <v/>
      </c>
      <c r="R606" s="15" t="str">
        <f>IF(AND($E606=1,$F606=2),TRIM(CLEAN('入力シート（2事業場以降）'!N535)),"")&amp;""</f>
        <v/>
      </c>
      <c r="S606" s="15" t="str">
        <f>IF(AND($E606=1,$F606=2),TRIM(CLEAN('入力シート（2事業場以降）'!R535)),"")&amp;""</f>
        <v/>
      </c>
      <c r="T606" s="15" t="str">
        <f>IF(AND($E606=1,$F606=2),TRIM(CLEAN('入力シート（2事業場以降）'!V535)),"")&amp;""</f>
        <v/>
      </c>
      <c r="W606" s="117" t="str">
        <f t="shared" ca="1" si="157"/>
        <v>OK</v>
      </c>
      <c r="X606" t="str">
        <f t="shared" ca="1" si="159"/>
        <v/>
      </c>
      <c r="Y606">
        <f t="shared" si="160"/>
        <v>1</v>
      </c>
      <c r="Z606">
        <f t="shared" si="166"/>
        <v>1</v>
      </c>
      <c r="AA606" s="36"/>
      <c r="AB606" t="str">
        <f t="shared" si="158"/>
        <v>コード番号を選択してください。</v>
      </c>
      <c r="AC606" t="s">
        <v>450</v>
      </c>
      <c r="AD606" t="str">
        <f t="shared" ref="AD606" si="175">AE605</f>
        <v>1台目の機器が入力されていません。
詰めて入力してください。</v>
      </c>
      <c r="AE606" t="str">
        <f>C605&amp;"台目の機器が入力されていません。"&amp;CHAR(10)&amp;"詰めて入力してください。"</f>
        <v>2台目の機器が入力されていません。
詰めて入力してください。</v>
      </c>
      <c r="AF606" t="s">
        <v>451</v>
      </c>
      <c r="AH606">
        <f t="shared" si="162"/>
        <v>9999</v>
      </c>
      <c r="AI606">
        <f>SMALL($AH$514:$AH$663,93)</f>
        <v>9999</v>
      </c>
      <c r="AJ606" t="e">
        <f t="shared" si="163"/>
        <v>#N/A</v>
      </c>
      <c r="AK606" t="str">
        <f t="shared" si="164"/>
        <v>事業場99</v>
      </c>
    </row>
    <row r="607" spans="2:37" x14ac:dyDescent="0.15">
      <c r="B607" s="5">
        <v>32</v>
      </c>
      <c r="C607" s="5">
        <v>1</v>
      </c>
      <c r="D607" s="4">
        <v>3201</v>
      </c>
      <c r="E607" s="4">
        <f t="shared" si="165"/>
        <v>0</v>
      </c>
      <c r="F607" s="15">
        <f>'入力シート（2事業場以降）'!AQ538</f>
        <v>0</v>
      </c>
      <c r="G607" s="4" t="str">
        <f>IF(AND($E607=1,$F607=1),'入力シート（2事業場以降）'!F538,"")&amp;""</f>
        <v/>
      </c>
      <c r="H607" s="15" t="str">
        <f>IFERROR(VLOOKUP($G607,補助対象機器一覧20220831!$A$2:$K$200,3,FALSE),"")</f>
        <v/>
      </c>
      <c r="I607" s="15" t="str">
        <f>IFERROR(VLOOKUP($G607,補助対象機器一覧20220831!$A$2:$K$200,4,FALSE),"")</f>
        <v/>
      </c>
      <c r="J607" s="15" t="str">
        <f>IFERROR(VLOOKUP($G607,補助対象機器一覧20220831!$A$2:$K$200,5,FALSE),"")</f>
        <v/>
      </c>
      <c r="K607" s="15" t="str">
        <f>IFERROR(VLOOKUP($G607,補助対象機器一覧20220831!$A$2:$K$200,6,FALSE),"")</f>
        <v/>
      </c>
      <c r="L607" s="4" t="str">
        <f>IF(AND($E607=1,$F607=1),'入力シート（2事業場以降）'!J538,"")&amp;""</f>
        <v/>
      </c>
      <c r="M607" s="4" t="str">
        <f>IF(AND($E607=1,$F607=1),'入力シート（2事業場以降）'!N538,"")&amp;""</f>
        <v/>
      </c>
      <c r="N607" s="4" t="str">
        <f>IF(AND($E607=1,$F607=1),'入力シート（2事業場以降）'!R538,"")&amp;""</f>
        <v/>
      </c>
      <c r="O607" s="4" t="str">
        <f>IF(AND($E607=1,$F607=1),'入力シート（2事業場以降）'!V538,"")&amp;""</f>
        <v/>
      </c>
      <c r="P607" s="4" t="str">
        <f>IFERROR(VLOOKUP($G607,補助対象機器一覧20220831!$A$2:$K$200,10,FALSE),"")</f>
        <v/>
      </c>
      <c r="Q607" s="15" t="str">
        <f>IF(AND($E607=1,$F607=2),TRIM(CLEAN('入力シート（2事業場以降）'!J540)),"")&amp;""</f>
        <v/>
      </c>
      <c r="R607" s="15" t="str">
        <f>IF(AND($E607=1,$F607=2),TRIM(CLEAN('入力シート（2事業場以降）'!N540)),"")&amp;""</f>
        <v/>
      </c>
      <c r="S607" s="15" t="str">
        <f>IF(AND($E607=1,$F607=2),TRIM(CLEAN('入力シート（2事業場以降）'!R540)),"")&amp;""</f>
        <v/>
      </c>
      <c r="T607" s="15" t="str">
        <f>IF(AND($E607=1,$F607=2),TRIM(CLEAN('入力シート（2事業場以降）'!V540)),"")&amp;""</f>
        <v/>
      </c>
      <c r="V607">
        <v>2</v>
      </c>
      <c r="W607" s="117" t="str">
        <f t="shared" ca="1" si="157"/>
        <v>OK</v>
      </c>
      <c r="X607" t="str">
        <f t="shared" ca="1" si="159"/>
        <v>交付申請時のコード番号を選択してください。
申請するコード番号が選べなかった場合は、コード番号の有無で「なし」を選択してください。</v>
      </c>
      <c r="Y607">
        <f t="shared" si="160"/>
        <v>1</v>
      </c>
      <c r="Z607">
        <f t="shared" si="166"/>
        <v>0</v>
      </c>
      <c r="AA607"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07" t="str">
        <f t="shared" si="158"/>
        <v>コード番号を選択してください。</v>
      </c>
      <c r="AC607" t="s">
        <v>450</v>
      </c>
      <c r="AD607" s="36"/>
      <c r="AE607" s="36"/>
      <c r="AF607" t="s">
        <v>451</v>
      </c>
      <c r="AH607">
        <f t="shared" si="162"/>
        <v>9999</v>
      </c>
      <c r="AI607">
        <f>SMALL($AH$514:$AH$663,94)</f>
        <v>9999</v>
      </c>
      <c r="AJ607" t="e">
        <f t="shared" si="163"/>
        <v>#N/A</v>
      </c>
      <c r="AK607" t="str">
        <f t="shared" si="164"/>
        <v>事業場99</v>
      </c>
    </row>
    <row r="608" spans="2:37" x14ac:dyDescent="0.15">
      <c r="B608" s="5">
        <v>32</v>
      </c>
      <c r="C608" s="5">
        <v>2</v>
      </c>
      <c r="D608" s="4">
        <v>3202</v>
      </c>
      <c r="E608" s="4">
        <f t="shared" si="165"/>
        <v>0</v>
      </c>
      <c r="F608" s="15">
        <f>'入力シート（2事業場以降）'!AQ542</f>
        <v>0</v>
      </c>
      <c r="G608" s="4" t="str">
        <f>IF(AND($E608=1,$F608=1),'入力シート（2事業場以降）'!F542,"")&amp;""</f>
        <v/>
      </c>
      <c r="H608" s="15" t="str">
        <f>IFERROR(VLOOKUP($G608,補助対象機器一覧20220831!$A$2:$K$200,3,FALSE),"")</f>
        <v/>
      </c>
      <c r="I608" s="15" t="str">
        <f>IFERROR(VLOOKUP($G608,補助対象機器一覧20220831!$A$2:$K$200,4,FALSE),"")</f>
        <v/>
      </c>
      <c r="J608" s="15" t="str">
        <f>IFERROR(VLOOKUP($G608,補助対象機器一覧20220831!$A$2:$K$200,5,FALSE),"")</f>
        <v/>
      </c>
      <c r="K608" s="15" t="str">
        <f>IFERROR(VLOOKUP($G608,補助対象機器一覧20220831!$A$2:$K$200,6,FALSE),"")</f>
        <v/>
      </c>
      <c r="L608" s="4" t="str">
        <f>IF(AND($E608=1,$F608=1),'入力シート（2事業場以降）'!J542,"")&amp;""</f>
        <v/>
      </c>
      <c r="M608" s="4" t="str">
        <f>IF(AND($E608=1,$F608=1),'入力シート（2事業場以降）'!N542,"")&amp;""</f>
        <v/>
      </c>
      <c r="N608" s="4" t="str">
        <f>IF(AND($E608=1,$F608=1),'入力シート（2事業場以降）'!R542,"")&amp;""</f>
        <v/>
      </c>
      <c r="O608" s="4" t="str">
        <f>IF(AND($E608=1,$F608=1),'入力シート（2事業場以降）'!V542,"")&amp;""</f>
        <v/>
      </c>
      <c r="P608" s="4" t="str">
        <f>IFERROR(VLOOKUP($G608,補助対象機器一覧20220831!$A$2:$K$200,10,FALSE),"")</f>
        <v/>
      </c>
      <c r="Q608" s="15" t="str">
        <f>IF(AND($E608=1,$F608=2),TRIM(CLEAN('入力シート（2事業場以降）'!J544)),"")&amp;""</f>
        <v/>
      </c>
      <c r="R608" s="15" t="str">
        <f>IF(AND($E608=1,$F608=2),TRIM(CLEAN('入力シート（2事業場以降）'!N544)),"")&amp;""</f>
        <v/>
      </c>
      <c r="S608" s="15" t="str">
        <f>IF(AND($E608=1,$F608=2),TRIM(CLEAN('入力シート（2事業場以降）'!R544)),"")&amp;""</f>
        <v/>
      </c>
      <c r="T608" s="15" t="str">
        <f>IF(AND($E608=1,$F608=2),TRIM(CLEAN('入力シート（2事業場以降）'!V544)),"")&amp;""</f>
        <v/>
      </c>
      <c r="W608" s="117" t="str">
        <f t="shared" ca="1" si="157"/>
        <v>OK</v>
      </c>
      <c r="X608" t="str">
        <f t="shared" ca="1" si="159"/>
        <v/>
      </c>
      <c r="Y608">
        <f t="shared" si="160"/>
        <v>1</v>
      </c>
      <c r="Z608">
        <f t="shared" si="166"/>
        <v>2</v>
      </c>
      <c r="AA608" s="36"/>
      <c r="AB608" t="str">
        <f t="shared" si="158"/>
        <v>コード番号を選択してください。</v>
      </c>
      <c r="AC608" t="s">
        <v>450</v>
      </c>
      <c r="AD608" s="36"/>
      <c r="AE608" t="str">
        <f>C607&amp;"台目の機器が入力されていません。"&amp;CHAR(10)&amp;"詰めて入力してください。"</f>
        <v>1台目の機器が入力されていません。
詰めて入力してください。</v>
      </c>
      <c r="AF608" t="s">
        <v>451</v>
      </c>
      <c r="AH608">
        <f t="shared" si="162"/>
        <v>9999</v>
      </c>
      <c r="AI608">
        <f>SMALL($AH$514:$AH$663,95)</f>
        <v>9999</v>
      </c>
      <c r="AJ608" t="e">
        <f t="shared" si="163"/>
        <v>#N/A</v>
      </c>
      <c r="AK608" t="str">
        <f t="shared" si="164"/>
        <v>事業場99</v>
      </c>
    </row>
    <row r="609" spans="2:37" x14ac:dyDescent="0.15">
      <c r="B609" s="5">
        <v>32</v>
      </c>
      <c r="C609" s="5">
        <v>3</v>
      </c>
      <c r="D609" s="4">
        <v>3203</v>
      </c>
      <c r="E609" s="4">
        <f t="shared" si="165"/>
        <v>0</v>
      </c>
      <c r="F609" s="15">
        <f>'入力シート（2事業場以降）'!AQ546</f>
        <v>0</v>
      </c>
      <c r="G609" s="4" t="str">
        <f>IF(AND($E609=1,$F609=1),'入力シート（2事業場以降）'!F546,"")&amp;""</f>
        <v/>
      </c>
      <c r="H609" s="15" t="str">
        <f>IFERROR(VLOOKUP($G609,補助対象機器一覧20220831!$A$2:$K$200,3,FALSE),"")</f>
        <v/>
      </c>
      <c r="I609" s="15" t="str">
        <f>IFERROR(VLOOKUP($G609,補助対象機器一覧20220831!$A$2:$K$200,4,FALSE),"")</f>
        <v/>
      </c>
      <c r="J609" s="15" t="str">
        <f>IFERROR(VLOOKUP($G609,補助対象機器一覧20220831!$A$2:$K$200,5,FALSE),"")</f>
        <v/>
      </c>
      <c r="K609" s="15" t="str">
        <f>IFERROR(VLOOKUP($G609,補助対象機器一覧20220831!$A$2:$K$200,6,FALSE),"")</f>
        <v/>
      </c>
      <c r="L609" s="4" t="str">
        <f>IF(AND($E609=1,$F609=1),'入力シート（2事業場以降）'!J546,"")&amp;""</f>
        <v/>
      </c>
      <c r="M609" s="4" t="str">
        <f>IF(AND($E609=1,$F609=1),'入力シート（2事業場以降）'!N546,"")&amp;""</f>
        <v/>
      </c>
      <c r="N609" s="4" t="str">
        <f>IF(AND($E609=1,$F609=1),'入力シート（2事業場以降）'!R546,"")&amp;""</f>
        <v/>
      </c>
      <c r="O609" s="4" t="str">
        <f>IF(AND($E609=1,$F609=1),'入力シート（2事業場以降）'!V546,"")&amp;""</f>
        <v/>
      </c>
      <c r="P609" s="4" t="str">
        <f>IFERROR(VLOOKUP($G609,補助対象機器一覧20220831!$A$2:$K$200,10,FALSE),"")</f>
        <v/>
      </c>
      <c r="Q609" s="15" t="str">
        <f>IF(AND($E609=1,$F609=2),TRIM(CLEAN('入力シート（2事業場以降）'!J548)),"")&amp;""</f>
        <v/>
      </c>
      <c r="R609" s="15" t="str">
        <f>IF(AND($E609=1,$F609=2),TRIM(CLEAN('入力シート（2事業場以降）'!N548)),"")&amp;""</f>
        <v/>
      </c>
      <c r="S609" s="15" t="str">
        <f>IF(AND($E609=1,$F609=2),TRIM(CLEAN('入力シート（2事業場以降）'!R548)),"")&amp;""</f>
        <v/>
      </c>
      <c r="T609" s="15" t="str">
        <f>IF(AND($E609=1,$F609=2),TRIM(CLEAN('入力シート（2事業場以降）'!V548)),"")&amp;""</f>
        <v/>
      </c>
      <c r="W609" s="117" t="str">
        <f t="shared" ca="1" si="157"/>
        <v>OK</v>
      </c>
      <c r="X609" t="str">
        <f t="shared" ca="1" si="159"/>
        <v/>
      </c>
      <c r="Y609">
        <f t="shared" si="160"/>
        <v>1</v>
      </c>
      <c r="Z609">
        <f t="shared" si="166"/>
        <v>1</v>
      </c>
      <c r="AA609" s="36"/>
      <c r="AB609" t="str">
        <f t="shared" si="158"/>
        <v>コード番号を選択してください。</v>
      </c>
      <c r="AC609" t="s">
        <v>450</v>
      </c>
      <c r="AD609" t="str">
        <f t="shared" ref="AD609" si="176">AE608</f>
        <v>1台目の機器が入力されていません。
詰めて入力してください。</v>
      </c>
      <c r="AE609" t="str">
        <f>C608&amp;"台目の機器が入力されていません。"&amp;CHAR(10)&amp;"詰めて入力してください。"</f>
        <v>2台目の機器が入力されていません。
詰めて入力してください。</v>
      </c>
      <c r="AF609" t="s">
        <v>451</v>
      </c>
      <c r="AH609">
        <f t="shared" si="162"/>
        <v>9999</v>
      </c>
      <c r="AI609">
        <f>SMALL($AH$514:$AH$663,96)</f>
        <v>9999</v>
      </c>
      <c r="AJ609" t="e">
        <f t="shared" si="163"/>
        <v>#N/A</v>
      </c>
      <c r="AK609" t="str">
        <f t="shared" si="164"/>
        <v>事業場99</v>
      </c>
    </row>
    <row r="610" spans="2:37" x14ac:dyDescent="0.15">
      <c r="B610" s="5">
        <v>33</v>
      </c>
      <c r="C610" s="5">
        <v>1</v>
      </c>
      <c r="D610" s="4">
        <v>3301</v>
      </c>
      <c r="E610" s="4">
        <f t="shared" si="165"/>
        <v>0</v>
      </c>
      <c r="F610" s="15">
        <f>'入力シート（2事業場以降）'!AQ551</f>
        <v>0</v>
      </c>
      <c r="G610" s="4" t="str">
        <f>IF(AND($E610=1,$F610=1),'入力シート（2事業場以降）'!F551,"")&amp;""</f>
        <v/>
      </c>
      <c r="H610" s="15" t="str">
        <f>IFERROR(VLOOKUP($G610,補助対象機器一覧20220831!$A$2:$K$200,3,FALSE),"")</f>
        <v/>
      </c>
      <c r="I610" s="15" t="str">
        <f>IFERROR(VLOOKUP($G610,補助対象機器一覧20220831!$A$2:$K$200,4,FALSE),"")</f>
        <v/>
      </c>
      <c r="J610" s="15" t="str">
        <f>IFERROR(VLOOKUP($G610,補助対象機器一覧20220831!$A$2:$K$200,5,FALSE),"")</f>
        <v/>
      </c>
      <c r="K610" s="15" t="str">
        <f>IFERROR(VLOOKUP($G610,補助対象機器一覧20220831!$A$2:$K$200,6,FALSE),"")</f>
        <v/>
      </c>
      <c r="L610" s="4" t="str">
        <f>IF(AND($E610=1,$F610=1),'入力シート（2事業場以降）'!J551,"")&amp;""</f>
        <v/>
      </c>
      <c r="M610" s="4" t="str">
        <f>IF(AND($E610=1,$F610=1),'入力シート（2事業場以降）'!N551,"")&amp;""</f>
        <v/>
      </c>
      <c r="N610" s="4" t="str">
        <f>IF(AND($E610=1,$F610=1),'入力シート（2事業場以降）'!R551,"")&amp;""</f>
        <v/>
      </c>
      <c r="O610" s="4" t="str">
        <f>IF(AND($E610=1,$F610=1),'入力シート（2事業場以降）'!V551,"")&amp;""</f>
        <v/>
      </c>
      <c r="P610" s="4" t="str">
        <f>IFERROR(VLOOKUP($G610,補助対象機器一覧20220831!$A$2:$K$200,10,FALSE),"")</f>
        <v/>
      </c>
      <c r="Q610" s="15" t="str">
        <f>IF(AND($E610=1,$F610=2),TRIM(CLEAN('入力シート（2事業場以降）'!J553)),"")&amp;""</f>
        <v/>
      </c>
      <c r="R610" s="15" t="str">
        <f>IF(AND($E610=1,$F610=2),TRIM(CLEAN('入力シート（2事業場以降）'!N553)),"")&amp;""</f>
        <v/>
      </c>
      <c r="S610" s="15" t="str">
        <f>IF(AND($E610=1,$F610=2),TRIM(CLEAN('入力シート（2事業場以降）'!R553)),"")&amp;""</f>
        <v/>
      </c>
      <c r="T610" s="15" t="str">
        <f>IF(AND($E610=1,$F610=2),TRIM(CLEAN('入力シート（2事業場以降）'!V553)),"")&amp;""</f>
        <v/>
      </c>
      <c r="V610">
        <v>3</v>
      </c>
      <c r="W610" s="117" t="str">
        <f t="shared" ref="W610:W641" ca="1" si="177">IF(AND(B610&lt;=$G$60,X610&lt;&gt;""),IF(X610="OK",X610,"NG"),"OK")</f>
        <v>OK</v>
      </c>
      <c r="X610" t="str">
        <f t="shared" ca="1" si="159"/>
        <v>交付申請時のコード番号を選択してください。
申請するコード番号が選べなかった場合は、コード番号の有無で「なし」を選択してください。</v>
      </c>
      <c r="Y610">
        <f t="shared" si="160"/>
        <v>1</v>
      </c>
      <c r="Z610">
        <f t="shared" si="166"/>
        <v>0</v>
      </c>
      <c r="AA610"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10" t="str">
        <f t="shared" ref="AB610:AB641" si="178">$G$513&amp;"を選択してください。"</f>
        <v>コード番号を選択してください。</v>
      </c>
      <c r="AC610" t="s">
        <v>450</v>
      </c>
      <c r="AD610" s="36"/>
      <c r="AE610" s="36"/>
      <c r="AF610" t="s">
        <v>451</v>
      </c>
      <c r="AH610">
        <f t="shared" si="162"/>
        <v>9999</v>
      </c>
      <c r="AI610">
        <f>SMALL($AH$514:$AH$663,97)</f>
        <v>9999</v>
      </c>
      <c r="AJ610" t="e">
        <f t="shared" si="163"/>
        <v>#N/A</v>
      </c>
      <c r="AK610" t="str">
        <f t="shared" si="164"/>
        <v>事業場99</v>
      </c>
    </row>
    <row r="611" spans="2:37" x14ac:dyDescent="0.15">
      <c r="B611" s="5">
        <v>33</v>
      </c>
      <c r="C611" s="5">
        <v>2</v>
      </c>
      <c r="D611" s="4">
        <v>3302</v>
      </c>
      <c r="E611" s="4">
        <f t="shared" si="165"/>
        <v>0</v>
      </c>
      <c r="F611" s="15">
        <f>'入力シート（2事業場以降）'!AQ555</f>
        <v>0</v>
      </c>
      <c r="G611" s="4" t="str">
        <f>IF(AND($E611=1,$F611=1),'入力シート（2事業場以降）'!F555,"")&amp;""</f>
        <v/>
      </c>
      <c r="H611" s="15" t="str">
        <f>IFERROR(VLOOKUP($G611,補助対象機器一覧20220831!$A$2:$K$200,3,FALSE),"")</f>
        <v/>
      </c>
      <c r="I611" s="15" t="str">
        <f>IFERROR(VLOOKUP($G611,補助対象機器一覧20220831!$A$2:$K$200,4,FALSE),"")</f>
        <v/>
      </c>
      <c r="J611" s="15" t="str">
        <f>IFERROR(VLOOKUP($G611,補助対象機器一覧20220831!$A$2:$K$200,5,FALSE),"")</f>
        <v/>
      </c>
      <c r="K611" s="15" t="str">
        <f>IFERROR(VLOOKUP($G611,補助対象機器一覧20220831!$A$2:$K$200,6,FALSE),"")</f>
        <v/>
      </c>
      <c r="L611" s="4" t="str">
        <f>IF(AND($E611=1,$F611=1),'入力シート（2事業場以降）'!J555,"")&amp;""</f>
        <v/>
      </c>
      <c r="M611" s="4" t="str">
        <f>IF(AND($E611=1,$F611=1),'入力シート（2事業場以降）'!N555,"")&amp;""</f>
        <v/>
      </c>
      <c r="N611" s="4" t="str">
        <f>IF(AND($E611=1,$F611=1),'入力シート（2事業場以降）'!R555,"")&amp;""</f>
        <v/>
      </c>
      <c r="O611" s="4" t="str">
        <f>IF(AND($E611=1,$F611=1),'入力シート（2事業場以降）'!V555,"")&amp;""</f>
        <v/>
      </c>
      <c r="P611" s="4" t="str">
        <f>IFERROR(VLOOKUP($G611,補助対象機器一覧20220831!$A$2:$K$200,10,FALSE),"")</f>
        <v/>
      </c>
      <c r="Q611" s="15" t="str">
        <f>IF(AND($E611=1,$F611=2),TRIM(CLEAN('入力シート（2事業場以降）'!J557)),"")&amp;""</f>
        <v/>
      </c>
      <c r="R611" s="15" t="str">
        <f>IF(AND($E611=1,$F611=2),TRIM(CLEAN('入力シート（2事業場以降）'!N557)),"")&amp;""</f>
        <v/>
      </c>
      <c r="S611" s="15" t="str">
        <f>IF(AND($E611=1,$F611=2),TRIM(CLEAN('入力シート（2事業場以降）'!R557)),"")&amp;""</f>
        <v/>
      </c>
      <c r="T611" s="15" t="str">
        <f>IF(AND($E611=1,$F611=2),TRIM(CLEAN('入力シート（2事業場以降）'!V557)),"")&amp;""</f>
        <v/>
      </c>
      <c r="W611" s="117" t="str">
        <f t="shared" ca="1" si="177"/>
        <v>OK</v>
      </c>
      <c r="X611" t="str">
        <f t="shared" ca="1" si="159"/>
        <v/>
      </c>
      <c r="Y611">
        <f t="shared" si="160"/>
        <v>1</v>
      </c>
      <c r="Z611">
        <f t="shared" si="166"/>
        <v>2</v>
      </c>
      <c r="AA611" s="36"/>
      <c r="AB611" t="str">
        <f t="shared" si="178"/>
        <v>コード番号を選択してください。</v>
      </c>
      <c r="AC611" t="s">
        <v>450</v>
      </c>
      <c r="AD611" s="36"/>
      <c r="AE611" t="str">
        <f>C610&amp;"台目の機器が入力されていません。"&amp;CHAR(10)&amp;"詰めて入力してください。"</f>
        <v>1台目の機器が入力されていません。
詰めて入力してください。</v>
      </c>
      <c r="AF611" t="s">
        <v>451</v>
      </c>
      <c r="AH611">
        <f t="shared" si="162"/>
        <v>9999</v>
      </c>
      <c r="AI611">
        <f>SMALL($AH$514:$AH$663,98)</f>
        <v>9999</v>
      </c>
      <c r="AJ611" t="e">
        <f t="shared" si="163"/>
        <v>#N/A</v>
      </c>
      <c r="AK611" t="str">
        <f t="shared" si="164"/>
        <v>事業場99</v>
      </c>
    </row>
    <row r="612" spans="2:37" x14ac:dyDescent="0.15">
      <c r="B612" s="5">
        <v>33</v>
      </c>
      <c r="C612" s="5">
        <v>3</v>
      </c>
      <c r="D612" s="4">
        <v>3303</v>
      </c>
      <c r="E612" s="4">
        <f t="shared" si="165"/>
        <v>0</v>
      </c>
      <c r="F612" s="15">
        <f>'入力シート（2事業場以降）'!AQ559</f>
        <v>0</v>
      </c>
      <c r="G612" s="4" t="str">
        <f>IF(AND($E612=1,$F612=1),'入力シート（2事業場以降）'!F559,"")&amp;""</f>
        <v/>
      </c>
      <c r="H612" s="15" t="str">
        <f>IFERROR(VLOOKUP($G612,補助対象機器一覧20220831!$A$2:$K$200,3,FALSE),"")</f>
        <v/>
      </c>
      <c r="I612" s="15" t="str">
        <f>IFERROR(VLOOKUP($G612,補助対象機器一覧20220831!$A$2:$K$200,4,FALSE),"")</f>
        <v/>
      </c>
      <c r="J612" s="15" t="str">
        <f>IFERROR(VLOOKUP($G612,補助対象機器一覧20220831!$A$2:$K$200,5,FALSE),"")</f>
        <v/>
      </c>
      <c r="K612" s="15" t="str">
        <f>IFERROR(VLOOKUP($G612,補助対象機器一覧20220831!$A$2:$K$200,6,FALSE),"")</f>
        <v/>
      </c>
      <c r="L612" s="4" t="str">
        <f>IF(AND($E612=1,$F612=1),'入力シート（2事業場以降）'!J559,"")&amp;""</f>
        <v/>
      </c>
      <c r="M612" s="4" t="str">
        <f>IF(AND($E612=1,$F612=1),'入力シート（2事業場以降）'!N559,"")&amp;""</f>
        <v/>
      </c>
      <c r="N612" s="4" t="str">
        <f>IF(AND($E612=1,$F612=1),'入力シート（2事業場以降）'!R559,"")&amp;""</f>
        <v/>
      </c>
      <c r="O612" s="4" t="str">
        <f>IF(AND($E612=1,$F612=1),'入力シート（2事業場以降）'!V559,"")&amp;""</f>
        <v/>
      </c>
      <c r="P612" s="4" t="str">
        <f>IFERROR(VLOOKUP($G612,補助対象機器一覧20220831!$A$2:$K$200,10,FALSE),"")</f>
        <v/>
      </c>
      <c r="Q612" s="15" t="str">
        <f>IF(AND($E612=1,$F612=2),TRIM(CLEAN('入力シート（2事業場以降）'!J561)),"")&amp;""</f>
        <v/>
      </c>
      <c r="R612" s="15" t="str">
        <f>IF(AND($E612=1,$F612=2),TRIM(CLEAN('入力シート（2事業場以降）'!N561)),"")&amp;""</f>
        <v/>
      </c>
      <c r="S612" s="15" t="str">
        <f>IF(AND($E612=1,$F612=2),TRIM(CLEAN('入力シート（2事業場以降）'!R561)),"")&amp;""</f>
        <v/>
      </c>
      <c r="T612" s="15" t="str">
        <f>IF(AND($E612=1,$F612=2),TRIM(CLEAN('入力シート（2事業場以降）'!V561)),"")&amp;""</f>
        <v/>
      </c>
      <c r="W612" s="117" t="str">
        <f t="shared" ca="1" si="177"/>
        <v>OK</v>
      </c>
      <c r="X612" t="str">
        <f t="shared" ca="1" si="159"/>
        <v/>
      </c>
      <c r="Y612">
        <f t="shared" si="160"/>
        <v>1</v>
      </c>
      <c r="Z612">
        <f t="shared" si="166"/>
        <v>1</v>
      </c>
      <c r="AA612" s="36"/>
      <c r="AB612" t="str">
        <f t="shared" si="178"/>
        <v>コード番号を選択してください。</v>
      </c>
      <c r="AC612" t="s">
        <v>450</v>
      </c>
      <c r="AD612" t="str">
        <f t="shared" ref="AD612" si="179">AE611</f>
        <v>1台目の機器が入力されていません。
詰めて入力してください。</v>
      </c>
      <c r="AE612" t="str">
        <f>C611&amp;"台目の機器が入力されていません。"&amp;CHAR(10)&amp;"詰めて入力してください。"</f>
        <v>2台目の機器が入力されていません。
詰めて入力してください。</v>
      </c>
      <c r="AF612" t="s">
        <v>451</v>
      </c>
      <c r="AH612">
        <f t="shared" si="162"/>
        <v>9999</v>
      </c>
      <c r="AI612">
        <f>SMALL($AH$514:$AH$663,99)</f>
        <v>9999</v>
      </c>
      <c r="AJ612" t="e">
        <f t="shared" si="163"/>
        <v>#N/A</v>
      </c>
      <c r="AK612" t="str">
        <f t="shared" si="164"/>
        <v>事業場99</v>
      </c>
    </row>
    <row r="613" spans="2:37" x14ac:dyDescent="0.15">
      <c r="B613" s="5">
        <v>34</v>
      </c>
      <c r="C613" s="5">
        <v>1</v>
      </c>
      <c r="D613" s="4">
        <v>3401</v>
      </c>
      <c r="E613" s="4">
        <f t="shared" ref="E613:E644" si="180">IF(AND(B767&lt;=$G$60),1,0)</f>
        <v>0</v>
      </c>
      <c r="F613" s="15">
        <f>'入力シート（2事業場以降）'!AQ564</f>
        <v>0</v>
      </c>
      <c r="G613" s="4" t="str">
        <f>IF(AND($E613=1,$F613=1),'入力シート（2事業場以降）'!F564,"")&amp;""</f>
        <v/>
      </c>
      <c r="H613" s="15" t="str">
        <f>IFERROR(VLOOKUP($G613,補助対象機器一覧20220831!$A$2:$K$200,3,FALSE),"")</f>
        <v/>
      </c>
      <c r="I613" s="15" t="str">
        <f>IFERROR(VLOOKUP($G613,補助対象機器一覧20220831!$A$2:$K$200,4,FALSE),"")</f>
        <v/>
      </c>
      <c r="J613" s="15" t="str">
        <f>IFERROR(VLOOKUP($G613,補助対象機器一覧20220831!$A$2:$K$200,5,FALSE),"")</f>
        <v/>
      </c>
      <c r="K613" s="15" t="str">
        <f>IFERROR(VLOOKUP($G613,補助対象機器一覧20220831!$A$2:$K$200,6,FALSE),"")</f>
        <v/>
      </c>
      <c r="L613" s="4" t="str">
        <f>IF(AND($E613=1,$F613=1),'入力シート（2事業場以降）'!J564,"")&amp;""</f>
        <v/>
      </c>
      <c r="M613" s="4" t="str">
        <f>IF(AND($E613=1,$F613=1),'入力シート（2事業場以降）'!N564,"")&amp;""</f>
        <v/>
      </c>
      <c r="N613" s="4" t="str">
        <f>IF(AND($E613=1,$F613=1),'入力シート（2事業場以降）'!R564,"")&amp;""</f>
        <v/>
      </c>
      <c r="O613" s="4" t="str">
        <f>IF(AND($E613=1,$F613=1),'入力シート（2事業場以降）'!V564,"")&amp;""</f>
        <v/>
      </c>
      <c r="P613" s="4" t="str">
        <f>IFERROR(VLOOKUP($G613,補助対象機器一覧20220831!$A$2:$K$200,10,FALSE),"")</f>
        <v/>
      </c>
      <c r="Q613" s="15" t="str">
        <f>IF(AND($E613=1,$F613=2),TRIM(CLEAN('入力シート（2事業場以降）'!J566)),"")&amp;""</f>
        <v/>
      </c>
      <c r="R613" s="15" t="str">
        <f>IF(AND($E613=1,$F613=2),TRIM(CLEAN('入力シート（2事業場以降）'!N566)),"")&amp;""</f>
        <v/>
      </c>
      <c r="S613" s="15" t="str">
        <f>IF(AND($E613=1,$F613=2),TRIM(CLEAN('入力シート（2事業場以降）'!R566)),"")&amp;""</f>
        <v/>
      </c>
      <c r="T613" s="15" t="str">
        <f>IF(AND($E613=1,$F613=2),TRIM(CLEAN('入力シート（2事業場以降）'!V566)),"")&amp;""</f>
        <v/>
      </c>
      <c r="V613">
        <v>4</v>
      </c>
      <c r="W613" s="117" t="str">
        <f t="shared" ca="1" si="177"/>
        <v>OK</v>
      </c>
      <c r="X613" t="str">
        <f t="shared" ca="1" si="159"/>
        <v>交付申請時のコード番号を選択してください。
申請するコード番号が選べなかった場合は、コード番号の有無で「なし」を選択してください。</v>
      </c>
      <c r="Y613">
        <f t="shared" si="160"/>
        <v>1</v>
      </c>
      <c r="Z613">
        <f t="shared" si="166"/>
        <v>0</v>
      </c>
      <c r="AA613"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13" t="str">
        <f t="shared" si="178"/>
        <v>コード番号を選択してください。</v>
      </c>
      <c r="AC613" t="s">
        <v>450</v>
      </c>
      <c r="AD613" s="36"/>
      <c r="AE613" s="36"/>
      <c r="AF613" t="s">
        <v>451</v>
      </c>
      <c r="AH613">
        <f t="shared" si="162"/>
        <v>9999</v>
      </c>
      <c r="AI613">
        <f>SMALL($AH$514:$AH$663,100)</f>
        <v>9999</v>
      </c>
      <c r="AJ613" t="e">
        <f t="shared" si="163"/>
        <v>#N/A</v>
      </c>
      <c r="AK613" t="str">
        <f t="shared" si="164"/>
        <v>事業場99</v>
      </c>
    </row>
    <row r="614" spans="2:37" x14ac:dyDescent="0.15">
      <c r="B614" s="5">
        <v>34</v>
      </c>
      <c r="C614" s="5">
        <v>2</v>
      </c>
      <c r="D614" s="4">
        <v>3402</v>
      </c>
      <c r="E614" s="4">
        <f t="shared" si="180"/>
        <v>0</v>
      </c>
      <c r="F614" s="15">
        <f>'入力シート（2事業場以降）'!AQ568</f>
        <v>0</v>
      </c>
      <c r="G614" s="4" t="str">
        <f>IF(AND($E614=1,$F614=1),'入力シート（2事業場以降）'!F568,"")&amp;""</f>
        <v/>
      </c>
      <c r="H614" s="15" t="str">
        <f>IFERROR(VLOOKUP($G614,補助対象機器一覧20220831!$A$2:$K$200,3,FALSE),"")</f>
        <v/>
      </c>
      <c r="I614" s="15" t="str">
        <f>IFERROR(VLOOKUP($G614,補助対象機器一覧20220831!$A$2:$K$200,4,FALSE),"")</f>
        <v/>
      </c>
      <c r="J614" s="15" t="str">
        <f>IFERROR(VLOOKUP($G614,補助対象機器一覧20220831!$A$2:$K$200,5,FALSE),"")</f>
        <v/>
      </c>
      <c r="K614" s="15" t="str">
        <f>IFERROR(VLOOKUP($G614,補助対象機器一覧20220831!$A$2:$K$200,6,FALSE),"")</f>
        <v/>
      </c>
      <c r="L614" s="4" t="str">
        <f>IF(AND($E614=1,$F614=1),'入力シート（2事業場以降）'!J568,"")&amp;""</f>
        <v/>
      </c>
      <c r="M614" s="4" t="str">
        <f>IF(AND($E614=1,$F614=1),'入力シート（2事業場以降）'!N568,"")&amp;""</f>
        <v/>
      </c>
      <c r="N614" s="4" t="str">
        <f>IF(AND($E614=1,$F614=1),'入力シート（2事業場以降）'!R568,"")&amp;""</f>
        <v/>
      </c>
      <c r="O614" s="4" t="str">
        <f>IF(AND($E614=1,$F614=1),'入力シート（2事業場以降）'!V568,"")&amp;""</f>
        <v/>
      </c>
      <c r="P614" s="4" t="str">
        <f>IFERROR(VLOOKUP($G614,補助対象機器一覧20220831!$A$2:$K$200,10,FALSE),"")</f>
        <v/>
      </c>
      <c r="Q614" s="15" t="str">
        <f>IF(AND($E614=1,$F614=2),TRIM(CLEAN('入力シート（2事業場以降）'!J570)),"")&amp;""</f>
        <v/>
      </c>
      <c r="R614" s="15" t="str">
        <f>IF(AND($E614=1,$F614=2),TRIM(CLEAN('入力シート（2事業場以降）'!N570)),"")&amp;""</f>
        <v/>
      </c>
      <c r="S614" s="15" t="str">
        <f>IF(AND($E614=1,$F614=2),TRIM(CLEAN('入力シート（2事業場以降）'!R570)),"")&amp;""</f>
        <v/>
      </c>
      <c r="T614" s="15" t="str">
        <f>IF(AND($E614=1,$F614=2),TRIM(CLEAN('入力シート（2事業場以降）'!V570)),"")&amp;""</f>
        <v/>
      </c>
      <c r="W614" s="117" t="str">
        <f t="shared" ca="1" si="177"/>
        <v>OK</v>
      </c>
      <c r="X614" t="str">
        <f t="shared" ca="1" si="159"/>
        <v/>
      </c>
      <c r="Y614">
        <f t="shared" si="160"/>
        <v>1</v>
      </c>
      <c r="Z614">
        <f t="shared" si="166"/>
        <v>2</v>
      </c>
      <c r="AA614" s="36"/>
      <c r="AB614" t="str">
        <f t="shared" si="178"/>
        <v>コード番号を選択してください。</v>
      </c>
      <c r="AC614" t="s">
        <v>450</v>
      </c>
      <c r="AD614" s="36"/>
      <c r="AE614" t="str">
        <f>C613&amp;"台目の機器が入力されていません。"&amp;CHAR(10)&amp;"詰めて入力してください。"</f>
        <v>1台目の機器が入力されていません。
詰めて入力してください。</v>
      </c>
      <c r="AF614" t="s">
        <v>451</v>
      </c>
      <c r="AH614">
        <f t="shared" si="162"/>
        <v>9999</v>
      </c>
      <c r="AI614">
        <f>SMALL($AH$514:$AH$663,101)</f>
        <v>9999</v>
      </c>
      <c r="AJ614" t="e">
        <f t="shared" si="163"/>
        <v>#N/A</v>
      </c>
      <c r="AK614" t="str">
        <f t="shared" si="164"/>
        <v>事業場99</v>
      </c>
    </row>
    <row r="615" spans="2:37" x14ac:dyDescent="0.15">
      <c r="B615" s="5">
        <v>34</v>
      </c>
      <c r="C615" s="5">
        <v>3</v>
      </c>
      <c r="D615" s="4">
        <v>3403</v>
      </c>
      <c r="E615" s="4">
        <f t="shared" si="180"/>
        <v>0</v>
      </c>
      <c r="F615" s="15">
        <f>'入力シート（2事業場以降）'!AQ572</f>
        <v>0</v>
      </c>
      <c r="G615" s="4" t="str">
        <f>IF(AND($E615=1,$F615=1),'入力シート（2事業場以降）'!F572,"")&amp;""</f>
        <v/>
      </c>
      <c r="H615" s="15" t="str">
        <f>IFERROR(VLOOKUP($G615,補助対象機器一覧20220831!$A$2:$K$200,3,FALSE),"")</f>
        <v/>
      </c>
      <c r="I615" s="15" t="str">
        <f>IFERROR(VLOOKUP($G615,補助対象機器一覧20220831!$A$2:$K$200,4,FALSE),"")</f>
        <v/>
      </c>
      <c r="J615" s="15" t="str">
        <f>IFERROR(VLOOKUP($G615,補助対象機器一覧20220831!$A$2:$K$200,5,FALSE),"")</f>
        <v/>
      </c>
      <c r="K615" s="15" t="str">
        <f>IFERROR(VLOOKUP($G615,補助対象機器一覧20220831!$A$2:$K$200,6,FALSE),"")</f>
        <v/>
      </c>
      <c r="L615" s="4" t="str">
        <f>IF(AND($E615=1,$F615=1),'入力シート（2事業場以降）'!J572,"")&amp;""</f>
        <v/>
      </c>
      <c r="M615" s="4" t="str">
        <f>IF(AND($E615=1,$F615=1),'入力シート（2事業場以降）'!N572,"")&amp;""</f>
        <v/>
      </c>
      <c r="N615" s="4" t="str">
        <f>IF(AND($E615=1,$F615=1),'入力シート（2事業場以降）'!R572,"")&amp;""</f>
        <v/>
      </c>
      <c r="O615" s="4" t="str">
        <f>IF(AND($E615=1,$F615=1),'入力シート（2事業場以降）'!V572,"")&amp;""</f>
        <v/>
      </c>
      <c r="P615" s="4" t="str">
        <f>IFERROR(VLOOKUP($G615,補助対象機器一覧20220831!$A$2:$K$200,10,FALSE),"")</f>
        <v/>
      </c>
      <c r="Q615" s="15" t="str">
        <f>IF(AND($E615=1,$F615=2),TRIM(CLEAN('入力シート（2事業場以降）'!J574)),"")&amp;""</f>
        <v/>
      </c>
      <c r="R615" s="15" t="str">
        <f>IF(AND($E615=1,$F615=2),TRIM(CLEAN('入力シート（2事業場以降）'!N574)),"")&amp;""</f>
        <v/>
      </c>
      <c r="S615" s="15" t="str">
        <f>IF(AND($E615=1,$F615=2),TRIM(CLEAN('入力シート（2事業場以降）'!R574)),"")&amp;""</f>
        <v/>
      </c>
      <c r="T615" s="15" t="str">
        <f>IF(AND($E615=1,$F615=2),TRIM(CLEAN('入力シート（2事業場以降）'!V574)),"")&amp;""</f>
        <v/>
      </c>
      <c r="W615" s="117" t="str">
        <f t="shared" ca="1" si="177"/>
        <v>OK</v>
      </c>
      <c r="X615" t="str">
        <f t="shared" ca="1" si="159"/>
        <v/>
      </c>
      <c r="Y615">
        <f t="shared" si="160"/>
        <v>1</v>
      </c>
      <c r="Z615">
        <f t="shared" si="166"/>
        <v>1</v>
      </c>
      <c r="AA615" s="36"/>
      <c r="AB615" t="str">
        <f t="shared" si="178"/>
        <v>コード番号を選択してください。</v>
      </c>
      <c r="AC615" t="s">
        <v>450</v>
      </c>
      <c r="AD615" t="str">
        <f t="shared" ref="AD615" si="181">AE614</f>
        <v>1台目の機器が入力されていません。
詰めて入力してください。</v>
      </c>
      <c r="AE615" t="str">
        <f>C614&amp;"台目の機器が入力されていません。"&amp;CHAR(10)&amp;"詰めて入力してください。"</f>
        <v>2台目の機器が入力されていません。
詰めて入力してください。</v>
      </c>
      <c r="AF615" t="s">
        <v>451</v>
      </c>
      <c r="AH615">
        <f t="shared" si="162"/>
        <v>9999</v>
      </c>
      <c r="AI615">
        <f>SMALL($AH$514:$AH$663,102)</f>
        <v>9999</v>
      </c>
      <c r="AJ615" t="e">
        <f t="shared" si="163"/>
        <v>#N/A</v>
      </c>
      <c r="AK615" t="str">
        <f t="shared" si="164"/>
        <v>事業場99</v>
      </c>
    </row>
    <row r="616" spans="2:37" x14ac:dyDescent="0.15">
      <c r="B616" s="5">
        <v>35</v>
      </c>
      <c r="C616" s="5">
        <v>1</v>
      </c>
      <c r="D616" s="4">
        <v>3501</v>
      </c>
      <c r="E616" s="4">
        <f t="shared" si="180"/>
        <v>0</v>
      </c>
      <c r="F616" s="15">
        <f>'入力シート（2事業場以降）'!AQ577</f>
        <v>0</v>
      </c>
      <c r="G616" s="4" t="str">
        <f>IF(AND($E616=1,$F616=1),'入力シート（2事業場以降）'!F577,"")&amp;""</f>
        <v/>
      </c>
      <c r="H616" s="15" t="str">
        <f>IFERROR(VLOOKUP($G616,補助対象機器一覧20220831!$A$2:$K$200,3,FALSE),"")</f>
        <v/>
      </c>
      <c r="I616" s="15" t="str">
        <f>IFERROR(VLOOKUP($G616,補助対象機器一覧20220831!$A$2:$K$200,4,FALSE),"")</f>
        <v/>
      </c>
      <c r="J616" s="15" t="str">
        <f>IFERROR(VLOOKUP($G616,補助対象機器一覧20220831!$A$2:$K$200,5,FALSE),"")</f>
        <v/>
      </c>
      <c r="K616" s="15" t="str">
        <f>IFERROR(VLOOKUP($G616,補助対象機器一覧20220831!$A$2:$K$200,6,FALSE),"")</f>
        <v/>
      </c>
      <c r="L616" s="4" t="str">
        <f>IF(AND($E616=1,$F616=1),'入力シート（2事業場以降）'!J577,"")&amp;""</f>
        <v/>
      </c>
      <c r="M616" s="4" t="str">
        <f>IF(AND($E616=1,$F616=1),'入力シート（2事業場以降）'!N577,"")&amp;""</f>
        <v/>
      </c>
      <c r="N616" s="4" t="str">
        <f>IF(AND($E616=1,$F616=1),'入力シート（2事業場以降）'!R577,"")&amp;""</f>
        <v/>
      </c>
      <c r="O616" s="4" t="str">
        <f>IF(AND($E616=1,$F616=1),'入力シート（2事業場以降）'!V577,"")&amp;""</f>
        <v/>
      </c>
      <c r="P616" s="4" t="str">
        <f>IFERROR(VLOOKUP($G616,補助対象機器一覧20220831!$A$2:$K$200,10,FALSE),"")</f>
        <v/>
      </c>
      <c r="Q616" s="15" t="str">
        <f>IF(AND($E616=1,$F616=2),TRIM(CLEAN('入力シート（2事業場以降）'!J579)),"")&amp;""</f>
        <v/>
      </c>
      <c r="R616" s="15" t="str">
        <f>IF(AND($E616=1,$F616=2),TRIM(CLEAN('入力シート（2事業場以降）'!N579)),"")&amp;""</f>
        <v/>
      </c>
      <c r="S616" s="15" t="str">
        <f>IF(AND($E616=1,$F616=2),TRIM(CLEAN('入力シート（2事業場以降）'!R579)),"")&amp;""</f>
        <v/>
      </c>
      <c r="T616" s="15" t="str">
        <f>IF(AND($E616=1,$F616=2),TRIM(CLEAN('入力シート（2事業場以降）'!V579)),"")&amp;""</f>
        <v/>
      </c>
      <c r="V616">
        <v>5</v>
      </c>
      <c r="W616" s="117" t="str">
        <f t="shared" ca="1" si="177"/>
        <v>OK</v>
      </c>
      <c r="X616" t="str">
        <f t="shared" ca="1" si="159"/>
        <v>交付申請時のコード番号を選択してください。
申請するコード番号が選べなかった場合は、コード番号の有無で「なし」を選択してください。</v>
      </c>
      <c r="Y616">
        <f t="shared" si="160"/>
        <v>1</v>
      </c>
      <c r="Z616">
        <f t="shared" si="166"/>
        <v>0</v>
      </c>
      <c r="AA616"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16" t="str">
        <f t="shared" si="178"/>
        <v>コード番号を選択してください。</v>
      </c>
      <c r="AC616" t="s">
        <v>450</v>
      </c>
      <c r="AD616" s="36"/>
      <c r="AE616" s="36"/>
      <c r="AF616" t="s">
        <v>451</v>
      </c>
      <c r="AH616">
        <f t="shared" si="162"/>
        <v>9999</v>
      </c>
      <c r="AI616">
        <f>SMALL($AH$514:$AH$663,103)</f>
        <v>9999</v>
      </c>
      <c r="AJ616" t="e">
        <f t="shared" si="163"/>
        <v>#N/A</v>
      </c>
      <c r="AK616" t="str">
        <f t="shared" si="164"/>
        <v>事業場99</v>
      </c>
    </row>
    <row r="617" spans="2:37" x14ac:dyDescent="0.15">
      <c r="B617" s="5">
        <v>35</v>
      </c>
      <c r="C617" s="5">
        <v>2</v>
      </c>
      <c r="D617" s="4">
        <v>3502</v>
      </c>
      <c r="E617" s="4">
        <f t="shared" si="180"/>
        <v>0</v>
      </c>
      <c r="F617" s="15">
        <f>'入力シート（2事業場以降）'!AQ581</f>
        <v>0</v>
      </c>
      <c r="G617" s="4" t="str">
        <f>IF(AND($E617=1,$F617=1),'入力シート（2事業場以降）'!F581,"")&amp;""</f>
        <v/>
      </c>
      <c r="H617" s="15" t="str">
        <f>IFERROR(VLOOKUP($G617,補助対象機器一覧20220831!$A$2:$K$200,3,FALSE),"")</f>
        <v/>
      </c>
      <c r="I617" s="15" t="str">
        <f>IFERROR(VLOOKUP($G617,補助対象機器一覧20220831!$A$2:$K$200,4,FALSE),"")</f>
        <v/>
      </c>
      <c r="J617" s="15" t="str">
        <f>IFERROR(VLOOKUP($G617,補助対象機器一覧20220831!$A$2:$K$200,5,FALSE),"")</f>
        <v/>
      </c>
      <c r="K617" s="15" t="str">
        <f>IFERROR(VLOOKUP($G617,補助対象機器一覧20220831!$A$2:$K$200,6,FALSE),"")</f>
        <v/>
      </c>
      <c r="L617" s="4" t="str">
        <f>IF(AND($E617=1,$F617=1),'入力シート（2事業場以降）'!J581,"")&amp;""</f>
        <v/>
      </c>
      <c r="M617" s="4" t="str">
        <f>IF(AND($E617=1,$F617=1),'入力シート（2事業場以降）'!N581,"")&amp;""</f>
        <v/>
      </c>
      <c r="N617" s="4" t="str">
        <f>IF(AND($E617=1,$F617=1),'入力シート（2事業場以降）'!R581,"")&amp;""</f>
        <v/>
      </c>
      <c r="O617" s="4" t="str">
        <f>IF(AND($E617=1,$F617=1),'入力シート（2事業場以降）'!V581,"")&amp;""</f>
        <v/>
      </c>
      <c r="P617" s="4" t="str">
        <f>IFERROR(VLOOKUP($G617,補助対象機器一覧20220831!$A$2:$K$200,10,FALSE),"")</f>
        <v/>
      </c>
      <c r="Q617" s="15" t="str">
        <f>IF(AND($E617=1,$F617=2),TRIM(CLEAN('入力シート（2事業場以降）'!J583)),"")&amp;""</f>
        <v/>
      </c>
      <c r="R617" s="15" t="str">
        <f>IF(AND($E617=1,$F617=2),TRIM(CLEAN('入力シート（2事業場以降）'!N583)),"")&amp;""</f>
        <v/>
      </c>
      <c r="S617" s="15" t="str">
        <f>IF(AND($E617=1,$F617=2),TRIM(CLEAN('入力シート（2事業場以降）'!R583)),"")&amp;""</f>
        <v/>
      </c>
      <c r="T617" s="15" t="str">
        <f>IF(AND($E617=1,$F617=2),TRIM(CLEAN('入力シート（2事業場以降）'!V583)),"")&amp;""</f>
        <v/>
      </c>
      <c r="W617" s="117" t="str">
        <f t="shared" ca="1" si="177"/>
        <v>OK</v>
      </c>
      <c r="X617" t="str">
        <f t="shared" ca="1" si="159"/>
        <v/>
      </c>
      <c r="Y617">
        <f t="shared" si="160"/>
        <v>1</v>
      </c>
      <c r="Z617">
        <f t="shared" si="166"/>
        <v>2</v>
      </c>
      <c r="AA617" s="36"/>
      <c r="AB617" t="str">
        <f t="shared" si="178"/>
        <v>コード番号を選択してください。</v>
      </c>
      <c r="AC617" t="s">
        <v>450</v>
      </c>
      <c r="AD617" s="36"/>
      <c r="AE617" t="str">
        <f>C616&amp;"台目の機器が入力されていません。"&amp;CHAR(10)&amp;"詰めて入力してください。"</f>
        <v>1台目の機器が入力されていません。
詰めて入力してください。</v>
      </c>
      <c r="AF617" t="s">
        <v>451</v>
      </c>
      <c r="AH617">
        <f t="shared" si="162"/>
        <v>9999</v>
      </c>
      <c r="AI617">
        <f>SMALL($AH$514:$AH$663,104)</f>
        <v>9999</v>
      </c>
      <c r="AJ617" t="e">
        <f t="shared" si="163"/>
        <v>#N/A</v>
      </c>
      <c r="AK617" t="str">
        <f t="shared" si="164"/>
        <v>事業場99</v>
      </c>
    </row>
    <row r="618" spans="2:37" x14ac:dyDescent="0.15">
      <c r="B618" s="5">
        <v>35</v>
      </c>
      <c r="C618" s="5">
        <v>3</v>
      </c>
      <c r="D618" s="4">
        <v>3503</v>
      </c>
      <c r="E618" s="4">
        <f t="shared" si="180"/>
        <v>0</v>
      </c>
      <c r="F618" s="15">
        <f>'入力シート（2事業場以降）'!AQ585</f>
        <v>0</v>
      </c>
      <c r="G618" s="4" t="str">
        <f>IF(AND($E618=1,$F618=1),'入力シート（2事業場以降）'!F585,"")&amp;""</f>
        <v/>
      </c>
      <c r="H618" s="15" t="str">
        <f>IFERROR(VLOOKUP($G618,補助対象機器一覧20220831!$A$2:$K$200,3,FALSE),"")</f>
        <v/>
      </c>
      <c r="I618" s="15" t="str">
        <f>IFERROR(VLOOKUP($G618,補助対象機器一覧20220831!$A$2:$K$200,4,FALSE),"")</f>
        <v/>
      </c>
      <c r="J618" s="15" t="str">
        <f>IFERROR(VLOOKUP($G618,補助対象機器一覧20220831!$A$2:$K$200,5,FALSE),"")</f>
        <v/>
      </c>
      <c r="K618" s="15" t="str">
        <f>IFERROR(VLOOKUP($G618,補助対象機器一覧20220831!$A$2:$K$200,6,FALSE),"")</f>
        <v/>
      </c>
      <c r="L618" s="4" t="str">
        <f>IF(AND($E618=1,$F618=1),'入力シート（2事業場以降）'!J585,"")&amp;""</f>
        <v/>
      </c>
      <c r="M618" s="4" t="str">
        <f>IF(AND($E618=1,$F618=1),'入力シート（2事業場以降）'!N585,"")&amp;""</f>
        <v/>
      </c>
      <c r="N618" s="4" t="str">
        <f>IF(AND($E618=1,$F618=1),'入力シート（2事業場以降）'!R585,"")&amp;""</f>
        <v/>
      </c>
      <c r="O618" s="4" t="str">
        <f>IF(AND($E618=1,$F618=1),'入力シート（2事業場以降）'!V585,"")&amp;""</f>
        <v/>
      </c>
      <c r="P618" s="4" t="str">
        <f>IFERROR(VLOOKUP($G618,補助対象機器一覧20220831!$A$2:$K$200,10,FALSE),"")</f>
        <v/>
      </c>
      <c r="Q618" s="15" t="str">
        <f>IF(AND($E618=1,$F618=2),TRIM(CLEAN('入力シート（2事業場以降）'!J587)),"")&amp;""</f>
        <v/>
      </c>
      <c r="R618" s="15" t="str">
        <f>IF(AND($E618=1,$F618=2),TRIM(CLEAN('入力シート（2事業場以降）'!N587)),"")&amp;""</f>
        <v/>
      </c>
      <c r="S618" s="15" t="str">
        <f>IF(AND($E618=1,$F618=2),TRIM(CLEAN('入力シート（2事業場以降）'!R587)),"")&amp;""</f>
        <v/>
      </c>
      <c r="T618" s="15" t="str">
        <f>IF(AND($E618=1,$F618=2),TRIM(CLEAN('入力シート（2事業場以降）'!V587)),"")&amp;""</f>
        <v/>
      </c>
      <c r="W618" s="117" t="str">
        <f t="shared" ca="1" si="177"/>
        <v>OK</v>
      </c>
      <c r="X618" t="str">
        <f t="shared" ca="1" si="159"/>
        <v/>
      </c>
      <c r="Y618">
        <f t="shared" si="160"/>
        <v>1</v>
      </c>
      <c r="Z618">
        <f t="shared" si="166"/>
        <v>1</v>
      </c>
      <c r="AA618" s="36"/>
      <c r="AB618" t="str">
        <f t="shared" si="178"/>
        <v>コード番号を選択してください。</v>
      </c>
      <c r="AC618" t="s">
        <v>450</v>
      </c>
      <c r="AD618" t="str">
        <f t="shared" ref="AD618" si="182">AE617</f>
        <v>1台目の機器が入力されていません。
詰めて入力してください。</v>
      </c>
      <c r="AE618" t="str">
        <f>C617&amp;"台目の機器が入力されていません。"&amp;CHAR(10)&amp;"詰めて入力してください。"</f>
        <v>2台目の機器が入力されていません。
詰めて入力してください。</v>
      </c>
      <c r="AF618" t="s">
        <v>451</v>
      </c>
      <c r="AH618">
        <f t="shared" si="162"/>
        <v>9999</v>
      </c>
      <c r="AI618">
        <f>SMALL($AH$514:$AH$663,105)</f>
        <v>9999</v>
      </c>
      <c r="AJ618" t="e">
        <f t="shared" si="163"/>
        <v>#N/A</v>
      </c>
      <c r="AK618" t="str">
        <f t="shared" si="164"/>
        <v>事業場99</v>
      </c>
    </row>
    <row r="619" spans="2:37" x14ac:dyDescent="0.15">
      <c r="B619" s="5">
        <v>36</v>
      </c>
      <c r="C619" s="5">
        <v>1</v>
      </c>
      <c r="D619" s="4">
        <v>3601</v>
      </c>
      <c r="E619" s="4">
        <f t="shared" si="180"/>
        <v>0</v>
      </c>
      <c r="F619" s="15">
        <f>'入力シート（2事業場以降）'!AQ590</f>
        <v>0</v>
      </c>
      <c r="G619" s="4" t="str">
        <f>IF(AND($E619=1,$F619=1),'入力シート（2事業場以降）'!F590,"")&amp;""</f>
        <v/>
      </c>
      <c r="H619" s="15" t="str">
        <f>IFERROR(VLOOKUP($G619,補助対象機器一覧20220831!$A$2:$K$200,3,FALSE),"")</f>
        <v/>
      </c>
      <c r="I619" s="15" t="str">
        <f>IFERROR(VLOOKUP($G619,補助対象機器一覧20220831!$A$2:$K$200,4,FALSE),"")</f>
        <v/>
      </c>
      <c r="J619" s="15" t="str">
        <f>IFERROR(VLOOKUP($G619,補助対象機器一覧20220831!$A$2:$K$200,5,FALSE),"")</f>
        <v/>
      </c>
      <c r="K619" s="15" t="str">
        <f>IFERROR(VLOOKUP($G619,補助対象機器一覧20220831!$A$2:$K$200,6,FALSE),"")</f>
        <v/>
      </c>
      <c r="L619" s="4" t="str">
        <f>IF(AND($E619=1,$F619=1),'入力シート（2事業場以降）'!J590,"")&amp;""</f>
        <v/>
      </c>
      <c r="M619" s="4" t="str">
        <f>IF(AND($E619=1,$F619=1),'入力シート（2事業場以降）'!N590,"")&amp;""</f>
        <v/>
      </c>
      <c r="N619" s="4" t="str">
        <f>IF(AND($E619=1,$F619=1),'入力シート（2事業場以降）'!R590,"")&amp;""</f>
        <v/>
      </c>
      <c r="O619" s="4" t="str">
        <f>IF(AND($E619=1,$F619=1),'入力シート（2事業場以降）'!V590,"")&amp;""</f>
        <v/>
      </c>
      <c r="P619" s="4" t="str">
        <f>IFERROR(VLOOKUP($G619,補助対象機器一覧20220831!$A$2:$K$200,10,FALSE),"")</f>
        <v/>
      </c>
      <c r="Q619" s="15" t="str">
        <f>IF(AND($E619=1,$F619=2),TRIM(CLEAN('入力シート（2事業場以降）'!J592)),"")&amp;""</f>
        <v/>
      </c>
      <c r="R619" s="15" t="str">
        <f>IF(AND($E619=1,$F619=2),TRIM(CLEAN('入力シート（2事業場以降）'!N592)),"")&amp;""</f>
        <v/>
      </c>
      <c r="S619" s="15" t="str">
        <f>IF(AND($E619=1,$F619=2),TRIM(CLEAN('入力シート（2事業場以降）'!R592)),"")&amp;""</f>
        <v/>
      </c>
      <c r="T619" s="15" t="str">
        <f>IF(AND($E619=1,$F619=2),TRIM(CLEAN('入力シート（2事業場以降）'!V592)),"")&amp;""</f>
        <v/>
      </c>
      <c r="V619">
        <v>6</v>
      </c>
      <c r="W619" s="117" t="str">
        <f t="shared" ca="1" si="177"/>
        <v>OK</v>
      </c>
      <c r="X619" t="str">
        <f t="shared" ca="1" si="159"/>
        <v>交付申請時のコード番号を選択してください。
申請するコード番号が選べなかった場合は、コード番号の有無で「なし」を選択してください。</v>
      </c>
      <c r="Y619">
        <f t="shared" si="160"/>
        <v>1</v>
      </c>
      <c r="Z619">
        <f t="shared" si="166"/>
        <v>0</v>
      </c>
      <c r="AA619"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19" t="str">
        <f t="shared" si="178"/>
        <v>コード番号を選択してください。</v>
      </c>
      <c r="AC619" t="s">
        <v>450</v>
      </c>
      <c r="AD619" s="36"/>
      <c r="AE619" s="36"/>
      <c r="AF619" t="s">
        <v>451</v>
      </c>
      <c r="AH619">
        <f t="shared" si="162"/>
        <v>9999</v>
      </c>
      <c r="AI619">
        <f>SMALL($AH$514:$AH$663,106)</f>
        <v>9999</v>
      </c>
      <c r="AJ619" t="e">
        <f t="shared" si="163"/>
        <v>#N/A</v>
      </c>
      <c r="AK619" t="str">
        <f t="shared" si="164"/>
        <v>事業場99</v>
      </c>
    </row>
    <row r="620" spans="2:37" x14ac:dyDescent="0.15">
      <c r="B620" s="5">
        <v>36</v>
      </c>
      <c r="C620" s="5">
        <v>2</v>
      </c>
      <c r="D620" s="4">
        <v>3602</v>
      </c>
      <c r="E620" s="4">
        <f t="shared" si="180"/>
        <v>0</v>
      </c>
      <c r="F620" s="15">
        <f>'入力シート（2事業場以降）'!AQ594</f>
        <v>0</v>
      </c>
      <c r="G620" s="4" t="str">
        <f>IF(AND($E620=1,$F620=1),'入力シート（2事業場以降）'!F594,"")&amp;""</f>
        <v/>
      </c>
      <c r="H620" s="15" t="str">
        <f>IFERROR(VLOOKUP($G620,補助対象機器一覧20220831!$A$2:$K$200,3,FALSE),"")</f>
        <v/>
      </c>
      <c r="I620" s="15" t="str">
        <f>IFERROR(VLOOKUP($G620,補助対象機器一覧20220831!$A$2:$K$200,4,FALSE),"")</f>
        <v/>
      </c>
      <c r="J620" s="15" t="str">
        <f>IFERROR(VLOOKUP($G620,補助対象機器一覧20220831!$A$2:$K$200,5,FALSE),"")</f>
        <v/>
      </c>
      <c r="K620" s="15" t="str">
        <f>IFERROR(VLOOKUP($G620,補助対象機器一覧20220831!$A$2:$K$200,6,FALSE),"")</f>
        <v/>
      </c>
      <c r="L620" s="4" t="str">
        <f>IF(AND($E620=1,$F620=1),'入力シート（2事業場以降）'!J594,"")&amp;""</f>
        <v/>
      </c>
      <c r="M620" s="4" t="str">
        <f>IF(AND($E620=1,$F620=1),'入力シート（2事業場以降）'!N594,"")&amp;""</f>
        <v/>
      </c>
      <c r="N620" s="4" t="str">
        <f>IF(AND($E620=1,$F620=1),'入力シート（2事業場以降）'!R594,"")&amp;""</f>
        <v/>
      </c>
      <c r="O620" s="4" t="str">
        <f>IF(AND($E620=1,$F620=1),'入力シート（2事業場以降）'!V594,"")&amp;""</f>
        <v/>
      </c>
      <c r="P620" s="4" t="str">
        <f>IFERROR(VLOOKUP($G620,補助対象機器一覧20220831!$A$2:$K$200,10,FALSE),"")</f>
        <v/>
      </c>
      <c r="Q620" s="15" t="str">
        <f>IF(AND($E620=1,$F620=2),TRIM(CLEAN('入力シート（2事業場以降）'!J596)),"")&amp;""</f>
        <v/>
      </c>
      <c r="R620" s="15" t="str">
        <f>IF(AND($E620=1,$F620=2),TRIM(CLEAN('入力シート（2事業場以降）'!N596)),"")&amp;""</f>
        <v/>
      </c>
      <c r="S620" s="15" t="str">
        <f>IF(AND($E620=1,$F620=2),TRIM(CLEAN('入力シート（2事業場以降）'!R596)),"")&amp;""</f>
        <v/>
      </c>
      <c r="T620" s="15" t="str">
        <f>IF(AND($E620=1,$F620=2),TRIM(CLEAN('入力シート（2事業場以降）'!V596)),"")&amp;""</f>
        <v/>
      </c>
      <c r="W620" s="117" t="str">
        <f t="shared" ca="1" si="177"/>
        <v>OK</v>
      </c>
      <c r="X620" t="str">
        <f t="shared" ca="1" si="159"/>
        <v/>
      </c>
      <c r="Y620">
        <f t="shared" si="160"/>
        <v>1</v>
      </c>
      <c r="Z620">
        <f t="shared" si="166"/>
        <v>2</v>
      </c>
      <c r="AA620" s="36"/>
      <c r="AB620" t="str">
        <f t="shared" si="178"/>
        <v>コード番号を選択してください。</v>
      </c>
      <c r="AC620" t="s">
        <v>450</v>
      </c>
      <c r="AD620" s="36"/>
      <c r="AE620" t="str">
        <f>C619&amp;"台目の機器が入力されていません。"&amp;CHAR(10)&amp;"詰めて入力してください。"</f>
        <v>1台目の機器が入力されていません。
詰めて入力してください。</v>
      </c>
      <c r="AF620" t="s">
        <v>451</v>
      </c>
      <c r="AH620">
        <f t="shared" si="162"/>
        <v>9999</v>
      </c>
      <c r="AI620">
        <f>SMALL($AH$514:$AH$663,107)</f>
        <v>9999</v>
      </c>
      <c r="AJ620" t="e">
        <f t="shared" si="163"/>
        <v>#N/A</v>
      </c>
      <c r="AK620" t="str">
        <f t="shared" si="164"/>
        <v>事業場99</v>
      </c>
    </row>
    <row r="621" spans="2:37" x14ac:dyDescent="0.15">
      <c r="B621" s="5">
        <v>36</v>
      </c>
      <c r="C621" s="5">
        <v>3</v>
      </c>
      <c r="D621" s="4">
        <v>3603</v>
      </c>
      <c r="E621" s="4">
        <f t="shared" si="180"/>
        <v>0</v>
      </c>
      <c r="F621" s="15">
        <f>'入力シート（2事業場以降）'!AQ598</f>
        <v>0</v>
      </c>
      <c r="G621" s="4" t="str">
        <f>IF(AND($E621=1,$F621=1),'入力シート（2事業場以降）'!F598,"")&amp;""</f>
        <v/>
      </c>
      <c r="H621" s="15" t="str">
        <f>IFERROR(VLOOKUP($G621,補助対象機器一覧20220831!$A$2:$K$200,3,FALSE),"")</f>
        <v/>
      </c>
      <c r="I621" s="15" t="str">
        <f>IFERROR(VLOOKUP($G621,補助対象機器一覧20220831!$A$2:$K$200,4,FALSE),"")</f>
        <v/>
      </c>
      <c r="J621" s="15" t="str">
        <f>IFERROR(VLOOKUP($G621,補助対象機器一覧20220831!$A$2:$K$200,5,FALSE),"")</f>
        <v/>
      </c>
      <c r="K621" s="15" t="str">
        <f>IFERROR(VLOOKUP($G621,補助対象機器一覧20220831!$A$2:$K$200,6,FALSE),"")</f>
        <v/>
      </c>
      <c r="L621" s="4" t="str">
        <f>IF(AND($E621=1,$F621=1),'入力シート（2事業場以降）'!J598,"")&amp;""</f>
        <v/>
      </c>
      <c r="M621" s="4" t="str">
        <f>IF(AND($E621=1,$F621=1),'入力シート（2事業場以降）'!N598,"")&amp;""</f>
        <v/>
      </c>
      <c r="N621" s="4" t="str">
        <f>IF(AND($E621=1,$F621=1),'入力シート（2事業場以降）'!R598,"")&amp;""</f>
        <v/>
      </c>
      <c r="O621" s="4" t="str">
        <f>IF(AND($E621=1,$F621=1),'入力シート（2事業場以降）'!V598,"")&amp;""</f>
        <v/>
      </c>
      <c r="P621" s="4" t="str">
        <f>IFERROR(VLOOKUP($G621,補助対象機器一覧20220831!$A$2:$K$200,10,FALSE),"")</f>
        <v/>
      </c>
      <c r="Q621" s="15" t="str">
        <f>IF(AND($E621=1,$F621=2),TRIM(CLEAN('入力シート（2事業場以降）'!J600)),"")&amp;""</f>
        <v/>
      </c>
      <c r="R621" s="15" t="str">
        <f>IF(AND($E621=1,$F621=2),TRIM(CLEAN('入力シート（2事業場以降）'!N600)),"")&amp;""</f>
        <v/>
      </c>
      <c r="S621" s="15" t="str">
        <f>IF(AND($E621=1,$F621=2),TRIM(CLEAN('入力シート（2事業場以降）'!R600)),"")&amp;""</f>
        <v/>
      </c>
      <c r="T621" s="15" t="str">
        <f>IF(AND($E621=1,$F621=2),TRIM(CLEAN('入力シート（2事業場以降）'!V600)),"")&amp;""</f>
        <v/>
      </c>
      <c r="W621" s="117" t="str">
        <f t="shared" ca="1" si="177"/>
        <v>OK</v>
      </c>
      <c r="X621" t="str">
        <f t="shared" ca="1" si="159"/>
        <v/>
      </c>
      <c r="Y621">
        <f t="shared" si="160"/>
        <v>1</v>
      </c>
      <c r="Z621">
        <f t="shared" si="166"/>
        <v>1</v>
      </c>
      <c r="AA621" s="36"/>
      <c r="AB621" t="str">
        <f t="shared" si="178"/>
        <v>コード番号を選択してください。</v>
      </c>
      <c r="AC621" t="s">
        <v>450</v>
      </c>
      <c r="AD621" t="str">
        <f t="shared" ref="AD621" si="183">AE620</f>
        <v>1台目の機器が入力されていません。
詰めて入力してください。</v>
      </c>
      <c r="AE621" t="str">
        <f>C620&amp;"台目の機器が入力されていません。"&amp;CHAR(10)&amp;"詰めて入力してください。"</f>
        <v>2台目の機器が入力されていません。
詰めて入力してください。</v>
      </c>
      <c r="AF621" t="s">
        <v>451</v>
      </c>
      <c r="AH621">
        <f t="shared" si="162"/>
        <v>9999</v>
      </c>
      <c r="AI621">
        <f>SMALL($AH$514:$AH$663,108)</f>
        <v>9999</v>
      </c>
      <c r="AJ621" t="e">
        <f t="shared" si="163"/>
        <v>#N/A</v>
      </c>
      <c r="AK621" t="str">
        <f t="shared" si="164"/>
        <v>事業場99</v>
      </c>
    </row>
    <row r="622" spans="2:37" x14ac:dyDescent="0.15">
      <c r="B622" s="5">
        <v>37</v>
      </c>
      <c r="C622" s="5">
        <v>1</v>
      </c>
      <c r="D622" s="4">
        <v>3701</v>
      </c>
      <c r="E622" s="4">
        <f t="shared" si="180"/>
        <v>0</v>
      </c>
      <c r="F622" s="15">
        <f>'入力シート（2事業場以降）'!AQ603</f>
        <v>0</v>
      </c>
      <c r="G622" s="4" t="str">
        <f>IF(AND($E622=1,$F622=1),'入力シート（2事業場以降）'!F603,"")&amp;""</f>
        <v/>
      </c>
      <c r="H622" s="15" t="str">
        <f>IFERROR(VLOOKUP($G622,補助対象機器一覧20220831!$A$2:$K$200,3,FALSE),"")</f>
        <v/>
      </c>
      <c r="I622" s="15" t="str">
        <f>IFERROR(VLOOKUP($G622,補助対象機器一覧20220831!$A$2:$K$200,4,FALSE),"")</f>
        <v/>
      </c>
      <c r="J622" s="15" t="str">
        <f>IFERROR(VLOOKUP($G622,補助対象機器一覧20220831!$A$2:$K$200,5,FALSE),"")</f>
        <v/>
      </c>
      <c r="K622" s="15" t="str">
        <f>IFERROR(VLOOKUP($G622,補助対象機器一覧20220831!$A$2:$K$200,6,FALSE),"")</f>
        <v/>
      </c>
      <c r="L622" s="4" t="str">
        <f>IF(AND($E622=1,$F622=1),'入力シート（2事業場以降）'!J603,"")&amp;""</f>
        <v/>
      </c>
      <c r="M622" s="4" t="str">
        <f>IF(AND($E622=1,$F622=1),'入力シート（2事業場以降）'!N603,"")&amp;""</f>
        <v/>
      </c>
      <c r="N622" s="4" t="str">
        <f>IF(AND($E622=1,$F622=1),'入力シート（2事業場以降）'!R603,"")&amp;""</f>
        <v/>
      </c>
      <c r="O622" s="4" t="str">
        <f>IF(AND($E622=1,$F622=1),'入力シート（2事業場以降）'!V603,"")&amp;""</f>
        <v/>
      </c>
      <c r="P622" s="4" t="str">
        <f>IFERROR(VLOOKUP($G622,補助対象機器一覧20220831!$A$2:$K$200,10,FALSE),"")</f>
        <v/>
      </c>
      <c r="Q622" s="15" t="str">
        <f>IF(AND($E622=1,$F622=2),TRIM(CLEAN('入力シート（2事業場以降）'!J605)),"")&amp;""</f>
        <v/>
      </c>
      <c r="R622" s="15" t="str">
        <f>IF(AND($E622=1,$F622=2),TRIM(CLEAN('入力シート（2事業場以降）'!N605)),"")&amp;""</f>
        <v/>
      </c>
      <c r="S622" s="15" t="str">
        <f>IF(AND($E622=1,$F622=2),TRIM(CLEAN('入力シート（2事業場以降）'!R605)),"")&amp;""</f>
        <v/>
      </c>
      <c r="T622" s="15" t="str">
        <f>IF(AND($E622=1,$F622=2),TRIM(CLEAN('入力シート（2事業場以降）'!V605)),"")&amp;""</f>
        <v/>
      </c>
      <c r="V622">
        <v>7</v>
      </c>
      <c r="W622" s="117" t="str">
        <f t="shared" ca="1" si="177"/>
        <v>OK</v>
      </c>
      <c r="X622" t="str">
        <f t="shared" ca="1" si="159"/>
        <v>交付申請時のコード番号を選択してください。
申請するコード番号が選べなかった場合は、コード番号の有無で「なし」を選択してください。</v>
      </c>
      <c r="Y622">
        <f t="shared" si="160"/>
        <v>1</v>
      </c>
      <c r="Z622">
        <f t="shared" si="166"/>
        <v>0</v>
      </c>
      <c r="AA622"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22" t="str">
        <f t="shared" si="178"/>
        <v>コード番号を選択してください。</v>
      </c>
      <c r="AC622" t="s">
        <v>450</v>
      </c>
      <c r="AD622" s="36"/>
      <c r="AE622" s="36"/>
      <c r="AF622" t="s">
        <v>451</v>
      </c>
      <c r="AH622">
        <f t="shared" si="162"/>
        <v>9999</v>
      </c>
      <c r="AI622">
        <f>SMALL($AH$514:$AH$663,109)</f>
        <v>9999</v>
      </c>
      <c r="AJ622" t="e">
        <f t="shared" si="163"/>
        <v>#N/A</v>
      </c>
      <c r="AK622" t="str">
        <f t="shared" si="164"/>
        <v>事業場99</v>
      </c>
    </row>
    <row r="623" spans="2:37" x14ac:dyDescent="0.15">
      <c r="B623" s="5">
        <v>37</v>
      </c>
      <c r="C623" s="5">
        <v>2</v>
      </c>
      <c r="D623" s="4">
        <v>3702</v>
      </c>
      <c r="E623" s="4">
        <f t="shared" si="180"/>
        <v>0</v>
      </c>
      <c r="F623" s="15">
        <f>'入力シート（2事業場以降）'!AQ607</f>
        <v>0</v>
      </c>
      <c r="G623" s="4" t="str">
        <f>IF(AND($E623=1,$F623=1),'入力シート（2事業場以降）'!F607,"")&amp;""</f>
        <v/>
      </c>
      <c r="H623" s="15" t="str">
        <f>IFERROR(VLOOKUP($G623,補助対象機器一覧20220831!$A$2:$K$200,3,FALSE),"")</f>
        <v/>
      </c>
      <c r="I623" s="15" t="str">
        <f>IFERROR(VLOOKUP($G623,補助対象機器一覧20220831!$A$2:$K$200,4,FALSE),"")</f>
        <v/>
      </c>
      <c r="J623" s="15" t="str">
        <f>IFERROR(VLOOKUP($G623,補助対象機器一覧20220831!$A$2:$K$200,5,FALSE),"")</f>
        <v/>
      </c>
      <c r="K623" s="15" t="str">
        <f>IFERROR(VLOOKUP($G623,補助対象機器一覧20220831!$A$2:$K$200,6,FALSE),"")</f>
        <v/>
      </c>
      <c r="L623" s="4" t="str">
        <f>IF(AND($E623=1,$F623=1),'入力シート（2事業場以降）'!J607,"")&amp;""</f>
        <v/>
      </c>
      <c r="M623" s="4" t="str">
        <f>IF(AND($E623=1,$F623=1),'入力シート（2事業場以降）'!N607,"")&amp;""</f>
        <v/>
      </c>
      <c r="N623" s="4" t="str">
        <f>IF(AND($E623=1,$F623=1),'入力シート（2事業場以降）'!R607,"")&amp;""</f>
        <v/>
      </c>
      <c r="O623" s="4" t="str">
        <f>IF(AND($E623=1,$F623=1),'入力シート（2事業場以降）'!V607,"")&amp;""</f>
        <v/>
      </c>
      <c r="P623" s="4" t="str">
        <f>IFERROR(VLOOKUP($G623,補助対象機器一覧20220831!$A$2:$K$200,10,FALSE),"")</f>
        <v/>
      </c>
      <c r="Q623" s="15" t="str">
        <f>IF(AND($E623=1,$F623=2),TRIM(CLEAN('入力シート（2事業場以降）'!J609)),"")&amp;""</f>
        <v/>
      </c>
      <c r="R623" s="15" t="str">
        <f>IF(AND($E623=1,$F623=2),TRIM(CLEAN('入力シート（2事業場以降）'!N609)),"")&amp;""</f>
        <v/>
      </c>
      <c r="S623" s="15" t="str">
        <f>IF(AND($E623=1,$F623=2),TRIM(CLEAN('入力シート（2事業場以降）'!R609)),"")&amp;""</f>
        <v/>
      </c>
      <c r="T623" s="15" t="str">
        <f>IF(AND($E623=1,$F623=2),TRIM(CLEAN('入力シート（2事業場以降）'!V609)),"")&amp;""</f>
        <v/>
      </c>
      <c r="W623" s="117" t="str">
        <f t="shared" ca="1" si="177"/>
        <v>OK</v>
      </c>
      <c r="X623" t="str">
        <f t="shared" ca="1" si="159"/>
        <v/>
      </c>
      <c r="Y623">
        <f t="shared" si="160"/>
        <v>1</v>
      </c>
      <c r="Z623">
        <f t="shared" si="166"/>
        <v>2</v>
      </c>
      <c r="AA623" s="36"/>
      <c r="AB623" t="str">
        <f t="shared" si="178"/>
        <v>コード番号を選択してください。</v>
      </c>
      <c r="AC623" t="s">
        <v>450</v>
      </c>
      <c r="AD623" s="36"/>
      <c r="AE623" t="str">
        <f>C622&amp;"台目の機器が入力されていません。"&amp;CHAR(10)&amp;"詰めて入力してください。"</f>
        <v>1台目の機器が入力されていません。
詰めて入力してください。</v>
      </c>
      <c r="AF623" t="s">
        <v>451</v>
      </c>
      <c r="AH623">
        <f t="shared" si="162"/>
        <v>9999</v>
      </c>
      <c r="AI623">
        <f>SMALL($AH$514:$AH$663,110)</f>
        <v>9999</v>
      </c>
      <c r="AJ623" t="e">
        <f t="shared" si="163"/>
        <v>#N/A</v>
      </c>
      <c r="AK623" t="str">
        <f t="shared" si="164"/>
        <v>事業場99</v>
      </c>
    </row>
    <row r="624" spans="2:37" x14ac:dyDescent="0.15">
      <c r="B624" s="5">
        <v>37</v>
      </c>
      <c r="C624" s="5">
        <v>3</v>
      </c>
      <c r="D624" s="4">
        <v>3703</v>
      </c>
      <c r="E624" s="4">
        <f t="shared" si="180"/>
        <v>0</v>
      </c>
      <c r="F624" s="15">
        <f>'入力シート（2事業場以降）'!AQ611</f>
        <v>0</v>
      </c>
      <c r="G624" s="4" t="str">
        <f>IF(AND($E624=1,$F624=1),'入力シート（2事業場以降）'!F611,"")&amp;""</f>
        <v/>
      </c>
      <c r="H624" s="15" t="str">
        <f>IFERROR(VLOOKUP($G624,補助対象機器一覧20220831!$A$2:$K$200,3,FALSE),"")</f>
        <v/>
      </c>
      <c r="I624" s="15" t="str">
        <f>IFERROR(VLOOKUP($G624,補助対象機器一覧20220831!$A$2:$K$200,4,FALSE),"")</f>
        <v/>
      </c>
      <c r="J624" s="15" t="str">
        <f>IFERROR(VLOOKUP($G624,補助対象機器一覧20220831!$A$2:$K$200,5,FALSE),"")</f>
        <v/>
      </c>
      <c r="K624" s="15" t="str">
        <f>IFERROR(VLOOKUP($G624,補助対象機器一覧20220831!$A$2:$K$200,6,FALSE),"")</f>
        <v/>
      </c>
      <c r="L624" s="4" t="str">
        <f>IF(AND($E624=1,$F624=1),'入力シート（2事業場以降）'!J611,"")&amp;""</f>
        <v/>
      </c>
      <c r="M624" s="4" t="str">
        <f>IF(AND($E624=1,$F624=1),'入力シート（2事業場以降）'!N611,"")&amp;""</f>
        <v/>
      </c>
      <c r="N624" s="4" t="str">
        <f>IF(AND($E624=1,$F624=1),'入力シート（2事業場以降）'!R611,"")&amp;""</f>
        <v/>
      </c>
      <c r="O624" s="4" t="str">
        <f>IF(AND($E624=1,$F624=1),'入力シート（2事業場以降）'!V611,"")&amp;""</f>
        <v/>
      </c>
      <c r="P624" s="4" t="str">
        <f>IFERROR(VLOOKUP($G624,補助対象機器一覧20220831!$A$2:$K$200,10,FALSE),"")</f>
        <v/>
      </c>
      <c r="Q624" s="15" t="str">
        <f>IF(AND($E624=1,$F624=2),TRIM(CLEAN('入力シート（2事業場以降）'!J613)),"")&amp;""</f>
        <v/>
      </c>
      <c r="R624" s="15" t="str">
        <f>IF(AND($E624=1,$F624=2),TRIM(CLEAN('入力シート（2事業場以降）'!N613)),"")&amp;""</f>
        <v/>
      </c>
      <c r="S624" s="15" t="str">
        <f>IF(AND($E624=1,$F624=2),TRIM(CLEAN('入力シート（2事業場以降）'!R613)),"")&amp;""</f>
        <v/>
      </c>
      <c r="T624" s="15" t="str">
        <f>IF(AND($E624=1,$F624=2),TRIM(CLEAN('入力シート（2事業場以降）'!V613)),"")&amp;""</f>
        <v/>
      </c>
      <c r="W624" s="117" t="str">
        <f t="shared" ca="1" si="177"/>
        <v>OK</v>
      </c>
      <c r="X624" t="str">
        <f t="shared" ca="1" si="159"/>
        <v/>
      </c>
      <c r="Y624">
        <f t="shared" si="160"/>
        <v>1</v>
      </c>
      <c r="Z624">
        <f t="shared" si="166"/>
        <v>1</v>
      </c>
      <c r="AA624" s="36"/>
      <c r="AB624" t="str">
        <f t="shared" si="178"/>
        <v>コード番号を選択してください。</v>
      </c>
      <c r="AC624" t="s">
        <v>450</v>
      </c>
      <c r="AD624" t="str">
        <f t="shared" ref="AD624" si="184">AE623</f>
        <v>1台目の機器が入力されていません。
詰めて入力してください。</v>
      </c>
      <c r="AE624" t="str">
        <f>C623&amp;"台目の機器が入力されていません。"&amp;CHAR(10)&amp;"詰めて入力してください。"</f>
        <v>2台目の機器が入力されていません。
詰めて入力してください。</v>
      </c>
      <c r="AF624" t="s">
        <v>451</v>
      </c>
      <c r="AH624">
        <f t="shared" si="162"/>
        <v>9999</v>
      </c>
      <c r="AI624">
        <f>SMALL($AH$514:$AH$663,111)</f>
        <v>9999</v>
      </c>
      <c r="AJ624" t="e">
        <f t="shared" si="163"/>
        <v>#N/A</v>
      </c>
      <c r="AK624" t="str">
        <f t="shared" si="164"/>
        <v>事業場99</v>
      </c>
    </row>
    <row r="625" spans="2:37" x14ac:dyDescent="0.15">
      <c r="B625" s="5">
        <v>38</v>
      </c>
      <c r="C625" s="5">
        <v>1</v>
      </c>
      <c r="D625" s="4">
        <v>3801</v>
      </c>
      <c r="E625" s="4">
        <f t="shared" si="180"/>
        <v>0</v>
      </c>
      <c r="F625" s="15">
        <f>'入力シート（2事業場以降）'!AQ616</f>
        <v>0</v>
      </c>
      <c r="G625" s="4" t="str">
        <f>IF(AND($E625=1,$F625=1),'入力シート（2事業場以降）'!F616,"")&amp;""</f>
        <v/>
      </c>
      <c r="H625" s="15" t="str">
        <f>IFERROR(VLOOKUP($G625,補助対象機器一覧20220831!$A$2:$K$200,3,FALSE),"")</f>
        <v/>
      </c>
      <c r="I625" s="15" t="str">
        <f>IFERROR(VLOOKUP($G625,補助対象機器一覧20220831!$A$2:$K$200,4,FALSE),"")</f>
        <v/>
      </c>
      <c r="J625" s="15" t="str">
        <f>IFERROR(VLOOKUP($G625,補助対象機器一覧20220831!$A$2:$K$200,5,FALSE),"")</f>
        <v/>
      </c>
      <c r="K625" s="15" t="str">
        <f>IFERROR(VLOOKUP($G625,補助対象機器一覧20220831!$A$2:$K$200,6,FALSE),"")</f>
        <v/>
      </c>
      <c r="L625" s="4" t="str">
        <f>IF(AND($E625=1,$F625=1),'入力シート（2事業場以降）'!J616,"")&amp;""</f>
        <v/>
      </c>
      <c r="M625" s="4" t="str">
        <f>IF(AND($E625=1,$F625=1),'入力シート（2事業場以降）'!N616,"")&amp;""</f>
        <v/>
      </c>
      <c r="N625" s="4" t="str">
        <f>IF(AND($E625=1,$F625=1),'入力シート（2事業場以降）'!R616,"")&amp;""</f>
        <v/>
      </c>
      <c r="O625" s="4" t="str">
        <f>IF(AND($E625=1,$F625=1),'入力シート（2事業場以降）'!V616,"")&amp;""</f>
        <v/>
      </c>
      <c r="P625" s="4" t="str">
        <f>IFERROR(VLOOKUP($G625,補助対象機器一覧20220831!$A$2:$K$200,10,FALSE),"")</f>
        <v/>
      </c>
      <c r="Q625" s="15" t="str">
        <f>IF(AND($E625=1,$F625=2),TRIM(CLEAN('入力シート（2事業場以降）'!J618)),"")&amp;""</f>
        <v/>
      </c>
      <c r="R625" s="15" t="str">
        <f>IF(AND($E625=1,$F625=2),TRIM(CLEAN('入力シート（2事業場以降）'!N618)),"")&amp;""</f>
        <v/>
      </c>
      <c r="S625" s="15" t="str">
        <f>IF(AND($E625=1,$F625=2),TRIM(CLEAN('入力シート（2事業場以降）'!R618)),"")&amp;""</f>
        <v/>
      </c>
      <c r="T625" s="15" t="str">
        <f>IF(AND($E625=1,$F625=2),TRIM(CLEAN('入力シート（2事業場以降）'!V618)),"")&amp;""</f>
        <v/>
      </c>
      <c r="V625">
        <v>8</v>
      </c>
      <c r="W625" s="117" t="str">
        <f t="shared" ca="1" si="177"/>
        <v>OK</v>
      </c>
      <c r="X625" t="str">
        <f t="shared" ca="1" si="159"/>
        <v>交付申請時のコード番号を選択してください。
申請するコード番号が選べなかった場合は、コード番号の有無で「なし」を選択してください。</v>
      </c>
      <c r="Y625">
        <f t="shared" si="160"/>
        <v>1</v>
      </c>
      <c r="Z625">
        <f t="shared" si="166"/>
        <v>0</v>
      </c>
      <c r="AA625"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25" t="str">
        <f t="shared" si="178"/>
        <v>コード番号を選択してください。</v>
      </c>
      <c r="AC625" t="s">
        <v>450</v>
      </c>
      <c r="AD625" s="36"/>
      <c r="AE625" s="36"/>
      <c r="AF625" t="s">
        <v>451</v>
      </c>
      <c r="AH625">
        <f t="shared" si="162"/>
        <v>9999</v>
      </c>
      <c r="AI625">
        <f>SMALL($AH$514:$AH$663,112)</f>
        <v>9999</v>
      </c>
      <c r="AJ625" t="e">
        <f t="shared" si="163"/>
        <v>#N/A</v>
      </c>
      <c r="AK625" t="str">
        <f t="shared" si="164"/>
        <v>事業場99</v>
      </c>
    </row>
    <row r="626" spans="2:37" x14ac:dyDescent="0.15">
      <c r="B626" s="5">
        <v>38</v>
      </c>
      <c r="C626" s="5">
        <v>2</v>
      </c>
      <c r="D626" s="4">
        <v>3802</v>
      </c>
      <c r="E626" s="4">
        <f t="shared" si="180"/>
        <v>0</v>
      </c>
      <c r="F626" s="15">
        <f>'入力シート（2事業場以降）'!AQ620</f>
        <v>0</v>
      </c>
      <c r="G626" s="4" t="str">
        <f>IF(AND($E626=1,$F626=1),'入力シート（2事業場以降）'!F620,"")&amp;""</f>
        <v/>
      </c>
      <c r="H626" s="15" t="str">
        <f>IFERROR(VLOOKUP($G626,補助対象機器一覧20220831!$A$2:$K$200,3,FALSE),"")</f>
        <v/>
      </c>
      <c r="I626" s="15" t="str">
        <f>IFERROR(VLOOKUP($G626,補助対象機器一覧20220831!$A$2:$K$200,4,FALSE),"")</f>
        <v/>
      </c>
      <c r="J626" s="15" t="str">
        <f>IFERROR(VLOOKUP($G626,補助対象機器一覧20220831!$A$2:$K$200,5,FALSE),"")</f>
        <v/>
      </c>
      <c r="K626" s="15" t="str">
        <f>IFERROR(VLOOKUP($G626,補助対象機器一覧20220831!$A$2:$K$200,6,FALSE),"")</f>
        <v/>
      </c>
      <c r="L626" s="4" t="str">
        <f>IF(AND($E626=1,$F626=1),'入力シート（2事業場以降）'!J620,"")&amp;""</f>
        <v/>
      </c>
      <c r="M626" s="4" t="str">
        <f>IF(AND($E626=1,$F626=1),'入力シート（2事業場以降）'!N620,"")&amp;""</f>
        <v/>
      </c>
      <c r="N626" s="4" t="str">
        <f>IF(AND($E626=1,$F626=1),'入力シート（2事業場以降）'!R620,"")&amp;""</f>
        <v/>
      </c>
      <c r="O626" s="4" t="str">
        <f>IF(AND($E626=1,$F626=1),'入力シート（2事業場以降）'!V620,"")&amp;""</f>
        <v/>
      </c>
      <c r="P626" s="4" t="str">
        <f>IFERROR(VLOOKUP($G626,補助対象機器一覧20220831!$A$2:$K$200,10,FALSE),"")</f>
        <v/>
      </c>
      <c r="Q626" s="15" t="str">
        <f>IF(AND($E626=1,$F626=2),TRIM(CLEAN('入力シート（2事業場以降）'!J622)),"")&amp;""</f>
        <v/>
      </c>
      <c r="R626" s="15" t="str">
        <f>IF(AND($E626=1,$F626=2),TRIM(CLEAN('入力シート（2事業場以降）'!N622)),"")&amp;""</f>
        <v/>
      </c>
      <c r="S626" s="15" t="str">
        <f>IF(AND($E626=1,$F626=2),TRIM(CLEAN('入力シート（2事業場以降）'!R622)),"")&amp;""</f>
        <v/>
      </c>
      <c r="T626" s="15" t="str">
        <f>IF(AND($E626=1,$F626=2),TRIM(CLEAN('入力シート（2事業場以降）'!V622)),"")&amp;""</f>
        <v/>
      </c>
      <c r="W626" s="117" t="str">
        <f t="shared" ca="1" si="177"/>
        <v>OK</v>
      </c>
      <c r="X626" t="str">
        <f t="shared" ca="1" si="159"/>
        <v/>
      </c>
      <c r="Y626">
        <f t="shared" si="160"/>
        <v>1</v>
      </c>
      <c r="Z626">
        <f t="shared" si="166"/>
        <v>2</v>
      </c>
      <c r="AA626" s="36"/>
      <c r="AB626" t="str">
        <f t="shared" si="178"/>
        <v>コード番号を選択してください。</v>
      </c>
      <c r="AC626" t="s">
        <v>450</v>
      </c>
      <c r="AD626" s="36"/>
      <c r="AE626" t="str">
        <f>C625&amp;"台目の機器が入力されていません。"&amp;CHAR(10)&amp;"詰めて入力してください。"</f>
        <v>1台目の機器が入力されていません。
詰めて入力してください。</v>
      </c>
      <c r="AF626" t="s">
        <v>451</v>
      </c>
      <c r="AH626">
        <f t="shared" si="162"/>
        <v>9999</v>
      </c>
      <c r="AI626">
        <f>SMALL($AH$514:$AH$663,113)</f>
        <v>9999</v>
      </c>
      <c r="AJ626" t="e">
        <f t="shared" si="163"/>
        <v>#N/A</v>
      </c>
      <c r="AK626" t="str">
        <f t="shared" si="164"/>
        <v>事業場99</v>
      </c>
    </row>
    <row r="627" spans="2:37" x14ac:dyDescent="0.15">
      <c r="B627" s="5">
        <v>38</v>
      </c>
      <c r="C627" s="5">
        <v>3</v>
      </c>
      <c r="D627" s="4">
        <v>3803</v>
      </c>
      <c r="E627" s="4">
        <f t="shared" si="180"/>
        <v>0</v>
      </c>
      <c r="F627" s="15">
        <f>'入力シート（2事業場以降）'!AQ624</f>
        <v>0</v>
      </c>
      <c r="G627" s="4" t="str">
        <f>IF(AND($E627=1,$F627=1),'入力シート（2事業場以降）'!F624,"")&amp;""</f>
        <v/>
      </c>
      <c r="H627" s="15" t="str">
        <f>IFERROR(VLOOKUP($G627,補助対象機器一覧20220831!$A$2:$K$200,3,FALSE),"")</f>
        <v/>
      </c>
      <c r="I627" s="15" t="str">
        <f>IFERROR(VLOOKUP($G627,補助対象機器一覧20220831!$A$2:$K$200,4,FALSE),"")</f>
        <v/>
      </c>
      <c r="J627" s="15" t="str">
        <f>IFERROR(VLOOKUP($G627,補助対象機器一覧20220831!$A$2:$K$200,5,FALSE),"")</f>
        <v/>
      </c>
      <c r="K627" s="15" t="str">
        <f>IFERROR(VLOOKUP($G627,補助対象機器一覧20220831!$A$2:$K$200,6,FALSE),"")</f>
        <v/>
      </c>
      <c r="L627" s="4" t="str">
        <f>IF(AND($E627=1,$F627=1),'入力シート（2事業場以降）'!J624,"")&amp;""</f>
        <v/>
      </c>
      <c r="M627" s="4" t="str">
        <f>IF(AND($E627=1,$F627=1),'入力シート（2事業場以降）'!N624,"")&amp;""</f>
        <v/>
      </c>
      <c r="N627" s="4" t="str">
        <f>IF(AND($E627=1,$F627=1),'入力シート（2事業場以降）'!R624,"")&amp;""</f>
        <v/>
      </c>
      <c r="O627" s="4" t="str">
        <f>IF(AND($E627=1,$F627=1),'入力シート（2事業場以降）'!V624,"")&amp;""</f>
        <v/>
      </c>
      <c r="P627" s="4" t="str">
        <f>IFERROR(VLOOKUP($G627,補助対象機器一覧20220831!$A$2:$K$200,10,FALSE),"")</f>
        <v/>
      </c>
      <c r="Q627" s="15" t="str">
        <f>IF(AND($E627=1,$F627=2),TRIM(CLEAN('入力シート（2事業場以降）'!J626)),"")&amp;""</f>
        <v/>
      </c>
      <c r="R627" s="15" t="str">
        <f>IF(AND($E627=1,$F627=2),TRIM(CLEAN('入力シート（2事業場以降）'!N626)),"")&amp;""</f>
        <v/>
      </c>
      <c r="S627" s="15" t="str">
        <f>IF(AND($E627=1,$F627=2),TRIM(CLEAN('入力シート（2事業場以降）'!R626)),"")&amp;""</f>
        <v/>
      </c>
      <c r="T627" s="15" t="str">
        <f>IF(AND($E627=1,$F627=2),TRIM(CLEAN('入力シート（2事業場以降）'!V626)),"")&amp;""</f>
        <v/>
      </c>
      <c r="W627" s="117" t="str">
        <f t="shared" ca="1" si="177"/>
        <v>OK</v>
      </c>
      <c r="X627" t="str">
        <f t="shared" ca="1" si="159"/>
        <v/>
      </c>
      <c r="Y627">
        <f t="shared" si="160"/>
        <v>1</v>
      </c>
      <c r="Z627">
        <f t="shared" si="166"/>
        <v>1</v>
      </c>
      <c r="AA627" s="36"/>
      <c r="AB627" t="str">
        <f t="shared" si="178"/>
        <v>コード番号を選択してください。</v>
      </c>
      <c r="AC627" t="s">
        <v>450</v>
      </c>
      <c r="AD627" t="str">
        <f t="shared" ref="AD627" si="185">AE626</f>
        <v>1台目の機器が入力されていません。
詰めて入力してください。</v>
      </c>
      <c r="AE627" t="str">
        <f>C626&amp;"台目の機器が入力されていません。"&amp;CHAR(10)&amp;"詰めて入力してください。"</f>
        <v>2台目の機器が入力されていません。
詰めて入力してください。</v>
      </c>
      <c r="AF627" t="s">
        <v>451</v>
      </c>
      <c r="AH627">
        <f t="shared" si="162"/>
        <v>9999</v>
      </c>
      <c r="AI627">
        <f>SMALL($AH$514:$AH$663,114)</f>
        <v>9999</v>
      </c>
      <c r="AJ627" t="e">
        <f t="shared" si="163"/>
        <v>#N/A</v>
      </c>
      <c r="AK627" t="str">
        <f t="shared" si="164"/>
        <v>事業場99</v>
      </c>
    </row>
    <row r="628" spans="2:37" x14ac:dyDescent="0.15">
      <c r="B628" s="5">
        <v>39</v>
      </c>
      <c r="C628" s="5">
        <v>1</v>
      </c>
      <c r="D628" s="4">
        <v>3901</v>
      </c>
      <c r="E628" s="4">
        <f t="shared" si="180"/>
        <v>0</v>
      </c>
      <c r="F628" s="15">
        <f>'入力シート（2事業場以降）'!AQ629</f>
        <v>0</v>
      </c>
      <c r="G628" s="4" t="str">
        <f>IF(AND($E628=1,$F628=1),'入力シート（2事業場以降）'!F629,"")&amp;""</f>
        <v/>
      </c>
      <c r="H628" s="15" t="str">
        <f>IFERROR(VLOOKUP($G628,補助対象機器一覧20220831!$A$2:$K$200,3,FALSE),"")</f>
        <v/>
      </c>
      <c r="I628" s="15" t="str">
        <f>IFERROR(VLOOKUP($G628,補助対象機器一覧20220831!$A$2:$K$200,4,FALSE),"")</f>
        <v/>
      </c>
      <c r="J628" s="15" t="str">
        <f>IFERROR(VLOOKUP($G628,補助対象機器一覧20220831!$A$2:$K$200,5,FALSE),"")</f>
        <v/>
      </c>
      <c r="K628" s="15" t="str">
        <f>IFERROR(VLOOKUP($G628,補助対象機器一覧20220831!$A$2:$K$200,6,FALSE),"")</f>
        <v/>
      </c>
      <c r="L628" s="4" t="str">
        <f>IF(AND($E628=1,$F628=1),'入力シート（2事業場以降）'!J629,"")&amp;""</f>
        <v/>
      </c>
      <c r="M628" s="4" t="str">
        <f>IF(AND($E628=1,$F628=1),'入力シート（2事業場以降）'!N629,"")&amp;""</f>
        <v/>
      </c>
      <c r="N628" s="4" t="str">
        <f>IF(AND($E628=1,$F628=1),'入力シート（2事業場以降）'!R629,"")&amp;""</f>
        <v/>
      </c>
      <c r="O628" s="4" t="str">
        <f>IF(AND($E628=1,$F628=1),'入力シート（2事業場以降）'!V629,"")&amp;""</f>
        <v/>
      </c>
      <c r="P628" s="4" t="str">
        <f>IFERROR(VLOOKUP($G628,補助対象機器一覧20220831!$A$2:$K$200,10,FALSE),"")</f>
        <v/>
      </c>
      <c r="Q628" s="15" t="str">
        <f>IF(AND($E628=1,$F628=2),TRIM(CLEAN('入力シート（2事業場以降）'!J631)),"")&amp;""</f>
        <v/>
      </c>
      <c r="R628" s="15" t="str">
        <f>IF(AND($E628=1,$F628=2),TRIM(CLEAN('入力シート（2事業場以降）'!N631)),"")&amp;""</f>
        <v/>
      </c>
      <c r="S628" s="15" t="str">
        <f>IF(AND($E628=1,$F628=2),TRIM(CLEAN('入力シート（2事業場以降）'!R631)),"")&amp;""</f>
        <v/>
      </c>
      <c r="T628" s="15" t="str">
        <f>IF(AND($E628=1,$F628=2),TRIM(CLEAN('入力シート（2事業場以降）'!V631)),"")&amp;""</f>
        <v/>
      </c>
      <c r="V628">
        <v>9</v>
      </c>
      <c r="W628" s="117" t="str">
        <f t="shared" ca="1" si="177"/>
        <v>OK</v>
      </c>
      <c r="X628" t="str">
        <f t="shared" ca="1" si="159"/>
        <v>交付申請時のコード番号を選択してください。
申請するコード番号が選べなかった場合は、コード番号の有無で「なし」を選択してください。</v>
      </c>
      <c r="Y628">
        <f t="shared" si="160"/>
        <v>1</v>
      </c>
      <c r="Z628">
        <f t="shared" si="166"/>
        <v>0</v>
      </c>
      <c r="AA628"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28" t="str">
        <f t="shared" si="178"/>
        <v>コード番号を選択してください。</v>
      </c>
      <c r="AC628" t="s">
        <v>450</v>
      </c>
      <c r="AD628" s="36"/>
      <c r="AE628" s="36"/>
      <c r="AF628" t="s">
        <v>451</v>
      </c>
      <c r="AH628">
        <f t="shared" si="162"/>
        <v>9999</v>
      </c>
      <c r="AI628">
        <f>SMALL($AH$514:$AH$663,115)</f>
        <v>9999</v>
      </c>
      <c r="AJ628" t="e">
        <f t="shared" si="163"/>
        <v>#N/A</v>
      </c>
      <c r="AK628" t="str">
        <f t="shared" si="164"/>
        <v>事業場99</v>
      </c>
    </row>
    <row r="629" spans="2:37" x14ac:dyDescent="0.15">
      <c r="B629" s="5">
        <v>39</v>
      </c>
      <c r="C629" s="5">
        <v>2</v>
      </c>
      <c r="D629" s="4">
        <v>3902</v>
      </c>
      <c r="E629" s="4">
        <f t="shared" si="180"/>
        <v>0</v>
      </c>
      <c r="F629" s="15">
        <f>'入力シート（2事業場以降）'!AQ633</f>
        <v>0</v>
      </c>
      <c r="G629" s="4" t="str">
        <f>IF(AND($E629=1,$F629=1),'入力シート（2事業場以降）'!F633,"")&amp;""</f>
        <v/>
      </c>
      <c r="H629" s="15" t="str">
        <f>IFERROR(VLOOKUP($G629,補助対象機器一覧20220831!$A$2:$K$200,3,FALSE),"")</f>
        <v/>
      </c>
      <c r="I629" s="15" t="str">
        <f>IFERROR(VLOOKUP($G629,補助対象機器一覧20220831!$A$2:$K$200,4,FALSE),"")</f>
        <v/>
      </c>
      <c r="J629" s="15" t="str">
        <f>IFERROR(VLOOKUP($G629,補助対象機器一覧20220831!$A$2:$K$200,5,FALSE),"")</f>
        <v/>
      </c>
      <c r="K629" s="15" t="str">
        <f>IFERROR(VLOOKUP($G629,補助対象機器一覧20220831!$A$2:$K$200,6,FALSE),"")</f>
        <v/>
      </c>
      <c r="L629" s="4" t="str">
        <f>IF(AND($E629=1,$F629=1),'入力シート（2事業場以降）'!J633,"")&amp;""</f>
        <v/>
      </c>
      <c r="M629" s="4" t="str">
        <f>IF(AND($E629=1,$F629=1),'入力シート（2事業場以降）'!N633,"")&amp;""</f>
        <v/>
      </c>
      <c r="N629" s="4" t="str">
        <f>IF(AND($E629=1,$F629=1),'入力シート（2事業場以降）'!R633,"")&amp;""</f>
        <v/>
      </c>
      <c r="O629" s="4" t="str">
        <f>IF(AND($E629=1,$F629=1),'入力シート（2事業場以降）'!V633,"")&amp;""</f>
        <v/>
      </c>
      <c r="P629" s="4" t="str">
        <f>IFERROR(VLOOKUP($G629,補助対象機器一覧20220831!$A$2:$K$200,10,FALSE),"")</f>
        <v/>
      </c>
      <c r="Q629" s="15" t="str">
        <f>IF(AND($E629=1,$F629=2),TRIM(CLEAN('入力シート（2事業場以降）'!J635)),"")&amp;""</f>
        <v/>
      </c>
      <c r="R629" s="15" t="str">
        <f>IF(AND($E629=1,$F629=2),TRIM(CLEAN('入力シート（2事業場以降）'!N635)),"")&amp;""</f>
        <v/>
      </c>
      <c r="S629" s="15" t="str">
        <f>IF(AND($E629=1,$F629=2),TRIM(CLEAN('入力シート（2事業場以降）'!R635)),"")&amp;""</f>
        <v/>
      </c>
      <c r="T629" s="15" t="str">
        <f>IF(AND($E629=1,$F629=2),TRIM(CLEAN('入力シート（2事業場以降）'!V635)),"")&amp;""</f>
        <v/>
      </c>
      <c r="W629" s="117" t="str">
        <f t="shared" ca="1" si="177"/>
        <v>OK</v>
      </c>
      <c r="X629" t="str">
        <f t="shared" ca="1" si="159"/>
        <v/>
      </c>
      <c r="Y629">
        <f t="shared" si="160"/>
        <v>1</v>
      </c>
      <c r="Z629">
        <f t="shared" si="166"/>
        <v>2</v>
      </c>
      <c r="AA629" s="36"/>
      <c r="AB629" t="str">
        <f t="shared" si="178"/>
        <v>コード番号を選択してください。</v>
      </c>
      <c r="AC629" t="s">
        <v>450</v>
      </c>
      <c r="AD629" s="36"/>
      <c r="AE629" t="str">
        <f>C628&amp;"台目の機器が入力されていません。"&amp;CHAR(10)&amp;"詰めて入力してください。"</f>
        <v>1台目の機器が入力されていません。
詰めて入力してください。</v>
      </c>
      <c r="AF629" t="s">
        <v>451</v>
      </c>
      <c r="AH629">
        <f t="shared" si="162"/>
        <v>9999</v>
      </c>
      <c r="AI629">
        <f>SMALL($AH$514:$AH$663,116)</f>
        <v>9999</v>
      </c>
      <c r="AJ629" t="e">
        <f t="shared" si="163"/>
        <v>#N/A</v>
      </c>
      <c r="AK629" t="str">
        <f t="shared" si="164"/>
        <v>事業場99</v>
      </c>
    </row>
    <row r="630" spans="2:37" x14ac:dyDescent="0.15">
      <c r="B630" s="5">
        <v>39</v>
      </c>
      <c r="C630" s="5">
        <v>3</v>
      </c>
      <c r="D630" s="4">
        <v>3903</v>
      </c>
      <c r="E630" s="4">
        <f t="shared" si="180"/>
        <v>0</v>
      </c>
      <c r="F630" s="15">
        <f>'入力シート（2事業場以降）'!AQ637</f>
        <v>0</v>
      </c>
      <c r="G630" s="4" t="str">
        <f>IF(AND($E630=1,$F630=1),'入力シート（2事業場以降）'!F637,"")&amp;""</f>
        <v/>
      </c>
      <c r="H630" s="15" t="str">
        <f>IFERROR(VLOOKUP($G630,補助対象機器一覧20220831!$A$2:$K$200,3,FALSE),"")</f>
        <v/>
      </c>
      <c r="I630" s="15" t="str">
        <f>IFERROR(VLOOKUP($G630,補助対象機器一覧20220831!$A$2:$K$200,4,FALSE),"")</f>
        <v/>
      </c>
      <c r="J630" s="15" t="str">
        <f>IFERROR(VLOOKUP($G630,補助対象機器一覧20220831!$A$2:$K$200,5,FALSE),"")</f>
        <v/>
      </c>
      <c r="K630" s="15" t="str">
        <f>IFERROR(VLOOKUP($G630,補助対象機器一覧20220831!$A$2:$K$200,6,FALSE),"")</f>
        <v/>
      </c>
      <c r="L630" s="4" t="str">
        <f>IF(AND($E630=1,$F630=1),'入力シート（2事業場以降）'!J637,"")&amp;""</f>
        <v/>
      </c>
      <c r="M630" s="4" t="str">
        <f>IF(AND($E630=1,$F630=1),'入力シート（2事業場以降）'!N637,"")&amp;""</f>
        <v/>
      </c>
      <c r="N630" s="4" t="str">
        <f>IF(AND($E630=1,$F630=1),'入力シート（2事業場以降）'!R637,"")&amp;""</f>
        <v/>
      </c>
      <c r="O630" s="4" t="str">
        <f>IF(AND($E630=1,$F630=1),'入力シート（2事業場以降）'!V637,"")&amp;""</f>
        <v/>
      </c>
      <c r="P630" s="4" t="str">
        <f>IFERROR(VLOOKUP($G630,補助対象機器一覧20220831!$A$2:$K$200,10,FALSE),"")</f>
        <v/>
      </c>
      <c r="Q630" s="15" t="str">
        <f>IF(AND($E630=1,$F630=2),TRIM(CLEAN('入力シート（2事業場以降）'!J639)),"")&amp;""</f>
        <v/>
      </c>
      <c r="R630" s="15" t="str">
        <f>IF(AND($E630=1,$F630=2),TRIM(CLEAN('入力シート（2事業場以降）'!N639)),"")&amp;""</f>
        <v/>
      </c>
      <c r="S630" s="15" t="str">
        <f>IF(AND($E630=1,$F630=2),TRIM(CLEAN('入力シート（2事業場以降）'!R639)),"")&amp;""</f>
        <v/>
      </c>
      <c r="T630" s="15" t="str">
        <f>IF(AND($E630=1,$F630=2),TRIM(CLEAN('入力シート（2事業場以降）'!V639)),"")&amp;""</f>
        <v/>
      </c>
      <c r="W630" s="117" t="str">
        <f t="shared" ca="1" si="177"/>
        <v>OK</v>
      </c>
      <c r="X630" t="str">
        <f t="shared" ca="1" si="159"/>
        <v/>
      </c>
      <c r="Y630">
        <f t="shared" si="160"/>
        <v>1</v>
      </c>
      <c r="Z630">
        <f t="shared" si="166"/>
        <v>1</v>
      </c>
      <c r="AA630" s="36"/>
      <c r="AB630" t="str">
        <f t="shared" si="178"/>
        <v>コード番号を選択してください。</v>
      </c>
      <c r="AC630" t="s">
        <v>450</v>
      </c>
      <c r="AD630" t="str">
        <f t="shared" ref="AD630" si="186">AE629</f>
        <v>1台目の機器が入力されていません。
詰めて入力してください。</v>
      </c>
      <c r="AE630" t="str">
        <f>C629&amp;"台目の機器が入力されていません。"&amp;CHAR(10)&amp;"詰めて入力してください。"</f>
        <v>2台目の機器が入力されていません。
詰めて入力してください。</v>
      </c>
      <c r="AF630" t="s">
        <v>451</v>
      </c>
      <c r="AH630">
        <f t="shared" si="162"/>
        <v>9999</v>
      </c>
      <c r="AI630">
        <f>SMALL($AH$514:$AH$663,117)</f>
        <v>9999</v>
      </c>
      <c r="AJ630" t="e">
        <f t="shared" si="163"/>
        <v>#N/A</v>
      </c>
      <c r="AK630" t="str">
        <f t="shared" si="164"/>
        <v>事業場99</v>
      </c>
    </row>
    <row r="631" spans="2:37" x14ac:dyDescent="0.15">
      <c r="B631" s="5">
        <v>40</v>
      </c>
      <c r="C631" s="5">
        <v>1</v>
      </c>
      <c r="D631" s="4">
        <v>4001</v>
      </c>
      <c r="E631" s="4">
        <f t="shared" si="180"/>
        <v>0</v>
      </c>
      <c r="F631" s="15">
        <f>'入力シート（2事業場以降）'!AQ642</f>
        <v>0</v>
      </c>
      <c r="G631" s="4" t="str">
        <f>IF(AND($E631=1,$F631=1),'入力シート（2事業場以降）'!F642,"")&amp;""</f>
        <v/>
      </c>
      <c r="H631" s="15" t="str">
        <f>IFERROR(VLOOKUP($G631,補助対象機器一覧20220831!$A$2:$K$200,3,FALSE),"")</f>
        <v/>
      </c>
      <c r="I631" s="15" t="str">
        <f>IFERROR(VLOOKUP($G631,補助対象機器一覧20220831!$A$2:$K$200,4,FALSE),"")</f>
        <v/>
      </c>
      <c r="J631" s="15" t="str">
        <f>IFERROR(VLOOKUP($G631,補助対象機器一覧20220831!$A$2:$K$200,5,FALSE),"")</f>
        <v/>
      </c>
      <c r="K631" s="15" t="str">
        <f>IFERROR(VLOOKUP($G631,補助対象機器一覧20220831!$A$2:$K$200,6,FALSE),"")</f>
        <v/>
      </c>
      <c r="L631" s="4" t="str">
        <f>IF(AND($E631=1,$F631=1),'入力シート（2事業場以降）'!J642,"")&amp;""</f>
        <v/>
      </c>
      <c r="M631" s="4" t="str">
        <f>IF(AND($E631=1,$F631=1),'入力シート（2事業場以降）'!N642,"")&amp;""</f>
        <v/>
      </c>
      <c r="N631" s="4" t="str">
        <f>IF(AND($E631=1,$F631=1),'入力シート（2事業場以降）'!R642,"")&amp;""</f>
        <v/>
      </c>
      <c r="O631" s="4" t="str">
        <f>IF(AND($E631=1,$F631=1),'入力シート（2事業場以降）'!V642,"")&amp;""</f>
        <v/>
      </c>
      <c r="P631" s="4" t="str">
        <f>IFERROR(VLOOKUP($G631,補助対象機器一覧20220831!$A$2:$K$200,10,FALSE),"")</f>
        <v/>
      </c>
      <c r="Q631" s="15" t="str">
        <f>IF(AND($E631=1,$F631=2),TRIM(CLEAN('入力シート（2事業場以降）'!J644)),"")&amp;""</f>
        <v/>
      </c>
      <c r="R631" s="15" t="str">
        <f>IF(AND($E631=1,$F631=2),TRIM(CLEAN('入力シート（2事業場以降）'!N644)),"")&amp;""</f>
        <v/>
      </c>
      <c r="S631" s="15" t="str">
        <f>IF(AND($E631=1,$F631=2),TRIM(CLEAN('入力シート（2事業場以降）'!R644)),"")&amp;""</f>
        <v/>
      </c>
      <c r="T631" s="15" t="str">
        <f>IF(AND($E631=1,$F631=2),TRIM(CLEAN('入力シート（2事業場以降）'!V644)),"")&amp;""</f>
        <v/>
      </c>
      <c r="V631">
        <v>10</v>
      </c>
      <c r="W631" s="117" t="str">
        <f t="shared" ca="1" si="177"/>
        <v>OK</v>
      </c>
      <c r="X631" t="str">
        <f t="shared" ca="1" si="159"/>
        <v>交付申請時のコード番号を選択してください。
申請するコード番号が選べなかった場合は、コード番号の有無で「なし」を選択してください。</v>
      </c>
      <c r="Y631">
        <f t="shared" si="160"/>
        <v>1</v>
      </c>
      <c r="Z631">
        <f t="shared" si="166"/>
        <v>0</v>
      </c>
      <c r="AA631"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31" t="str">
        <f t="shared" si="178"/>
        <v>コード番号を選択してください。</v>
      </c>
      <c r="AC631" t="s">
        <v>450</v>
      </c>
      <c r="AD631" s="36"/>
      <c r="AE631" s="36"/>
      <c r="AF631" t="s">
        <v>451</v>
      </c>
      <c r="AH631">
        <f t="shared" si="162"/>
        <v>9999</v>
      </c>
      <c r="AI631">
        <f>SMALL($AH$514:$AH$663,118)</f>
        <v>9999</v>
      </c>
      <c r="AJ631" t="e">
        <f t="shared" si="163"/>
        <v>#N/A</v>
      </c>
      <c r="AK631" t="str">
        <f t="shared" si="164"/>
        <v>事業場99</v>
      </c>
    </row>
    <row r="632" spans="2:37" x14ac:dyDescent="0.15">
      <c r="B632" s="5">
        <v>40</v>
      </c>
      <c r="C632" s="5">
        <v>2</v>
      </c>
      <c r="D632" s="4">
        <v>4002</v>
      </c>
      <c r="E632" s="4">
        <f t="shared" si="180"/>
        <v>0</v>
      </c>
      <c r="F632" s="15">
        <f>'入力シート（2事業場以降）'!AQ646</f>
        <v>0</v>
      </c>
      <c r="G632" s="4" t="str">
        <f>IF(AND($E632=1,$F632=1),'入力シート（2事業場以降）'!F646,"")&amp;""</f>
        <v/>
      </c>
      <c r="H632" s="15" t="str">
        <f>IFERROR(VLOOKUP($G632,補助対象機器一覧20220831!$A$2:$K$200,3,FALSE),"")</f>
        <v/>
      </c>
      <c r="I632" s="15" t="str">
        <f>IFERROR(VLOOKUP($G632,補助対象機器一覧20220831!$A$2:$K$200,4,FALSE),"")</f>
        <v/>
      </c>
      <c r="J632" s="15" t="str">
        <f>IFERROR(VLOOKUP($G632,補助対象機器一覧20220831!$A$2:$K$200,5,FALSE),"")</f>
        <v/>
      </c>
      <c r="K632" s="15" t="str">
        <f>IFERROR(VLOOKUP($G632,補助対象機器一覧20220831!$A$2:$K$200,6,FALSE),"")</f>
        <v/>
      </c>
      <c r="L632" s="4" t="str">
        <f>IF(AND($E632=1,$F632=1),'入力シート（2事業場以降）'!J646,"")&amp;""</f>
        <v/>
      </c>
      <c r="M632" s="4" t="str">
        <f>IF(AND($E632=1,$F632=1),'入力シート（2事業場以降）'!N646,"")&amp;""</f>
        <v/>
      </c>
      <c r="N632" s="4" t="str">
        <f>IF(AND($E632=1,$F632=1),'入力シート（2事業場以降）'!R646,"")&amp;""</f>
        <v/>
      </c>
      <c r="O632" s="4" t="str">
        <f>IF(AND($E632=1,$F632=1),'入力シート（2事業場以降）'!V646,"")&amp;""</f>
        <v/>
      </c>
      <c r="P632" s="4" t="str">
        <f>IFERROR(VLOOKUP($G632,補助対象機器一覧20220831!$A$2:$K$200,10,FALSE),"")</f>
        <v/>
      </c>
      <c r="Q632" s="15" t="str">
        <f>IF(AND($E632=1,$F632=2),TRIM(CLEAN('入力シート（2事業場以降）'!J648)),"")&amp;""</f>
        <v/>
      </c>
      <c r="R632" s="15" t="str">
        <f>IF(AND($E632=1,$F632=2),TRIM(CLEAN('入力シート（2事業場以降）'!N648)),"")&amp;""</f>
        <v/>
      </c>
      <c r="S632" s="15" t="str">
        <f>IF(AND($E632=1,$F632=2),TRIM(CLEAN('入力シート（2事業場以降）'!R648)),"")&amp;""</f>
        <v/>
      </c>
      <c r="T632" s="15" t="str">
        <f>IF(AND($E632=1,$F632=2),TRIM(CLEAN('入力シート（2事業場以降）'!V648)),"")&amp;""</f>
        <v/>
      </c>
      <c r="W632" s="117" t="str">
        <f t="shared" ca="1" si="177"/>
        <v>OK</v>
      </c>
      <c r="X632" t="str">
        <f t="shared" ca="1" si="159"/>
        <v/>
      </c>
      <c r="Y632">
        <f t="shared" si="160"/>
        <v>1</v>
      </c>
      <c r="Z632">
        <f t="shared" si="166"/>
        <v>2</v>
      </c>
      <c r="AA632" s="36"/>
      <c r="AB632" t="str">
        <f t="shared" si="178"/>
        <v>コード番号を選択してください。</v>
      </c>
      <c r="AC632" t="s">
        <v>450</v>
      </c>
      <c r="AD632" s="36"/>
      <c r="AE632" t="str">
        <f>C631&amp;"台目の機器が入力されていません。"&amp;CHAR(10)&amp;"詰めて入力してください。"</f>
        <v>1台目の機器が入力されていません。
詰めて入力してください。</v>
      </c>
      <c r="AF632" t="s">
        <v>451</v>
      </c>
      <c r="AH632">
        <f t="shared" si="162"/>
        <v>9999</v>
      </c>
      <c r="AI632">
        <f>SMALL($AH$514:$AH$663,119)</f>
        <v>9999</v>
      </c>
      <c r="AJ632" t="e">
        <f t="shared" si="163"/>
        <v>#N/A</v>
      </c>
      <c r="AK632" t="str">
        <f t="shared" si="164"/>
        <v>事業場99</v>
      </c>
    </row>
    <row r="633" spans="2:37" x14ac:dyDescent="0.15">
      <c r="B633" s="5">
        <v>40</v>
      </c>
      <c r="C633" s="5">
        <v>3</v>
      </c>
      <c r="D633" s="4">
        <v>4003</v>
      </c>
      <c r="E633" s="4">
        <f t="shared" si="180"/>
        <v>0</v>
      </c>
      <c r="F633" s="15">
        <f>'入力シート（2事業場以降）'!AQ650</f>
        <v>0</v>
      </c>
      <c r="G633" s="4" t="str">
        <f>IF(AND($E633=1,$F633=1),'入力シート（2事業場以降）'!F650,"")&amp;""</f>
        <v/>
      </c>
      <c r="H633" s="15" t="str">
        <f>IFERROR(VLOOKUP($G633,補助対象機器一覧20220831!$A$2:$K$200,3,FALSE),"")</f>
        <v/>
      </c>
      <c r="I633" s="15" t="str">
        <f>IFERROR(VLOOKUP($G633,補助対象機器一覧20220831!$A$2:$K$200,4,FALSE),"")</f>
        <v/>
      </c>
      <c r="J633" s="15" t="str">
        <f>IFERROR(VLOOKUP($G633,補助対象機器一覧20220831!$A$2:$K$200,5,FALSE),"")</f>
        <v/>
      </c>
      <c r="K633" s="15" t="str">
        <f>IFERROR(VLOOKUP($G633,補助対象機器一覧20220831!$A$2:$K$200,6,FALSE),"")</f>
        <v/>
      </c>
      <c r="L633" s="4" t="str">
        <f>IF(AND($E633=1,$F633=1),'入力シート（2事業場以降）'!J650,"")&amp;""</f>
        <v/>
      </c>
      <c r="M633" s="4" t="str">
        <f>IF(AND($E633=1,$F633=1),'入力シート（2事業場以降）'!N650,"")&amp;""</f>
        <v/>
      </c>
      <c r="N633" s="4" t="str">
        <f>IF(AND($E633=1,$F633=1),'入力シート（2事業場以降）'!R650,"")&amp;""</f>
        <v/>
      </c>
      <c r="O633" s="4" t="str">
        <f>IF(AND($E633=1,$F633=1),'入力シート（2事業場以降）'!V650,"")&amp;""</f>
        <v/>
      </c>
      <c r="P633" s="4" t="str">
        <f>IFERROR(VLOOKUP($G633,補助対象機器一覧20220831!$A$2:$K$200,10,FALSE),"")</f>
        <v/>
      </c>
      <c r="Q633" s="15" t="str">
        <f>IF(AND($E633=1,$F633=2),TRIM(CLEAN('入力シート（2事業場以降）'!J652)),"")&amp;""</f>
        <v/>
      </c>
      <c r="R633" s="15" t="str">
        <f>IF(AND($E633=1,$F633=2),TRIM(CLEAN('入力シート（2事業場以降）'!N652)),"")&amp;""</f>
        <v/>
      </c>
      <c r="S633" s="15" t="str">
        <f>IF(AND($E633=1,$F633=2),TRIM(CLEAN('入力シート（2事業場以降）'!R652)),"")&amp;""</f>
        <v/>
      </c>
      <c r="T633" s="15" t="str">
        <f>IF(AND($E633=1,$F633=2),TRIM(CLEAN('入力シート（2事業場以降）'!V652)),"")&amp;""</f>
        <v/>
      </c>
      <c r="W633" s="117" t="str">
        <f t="shared" ca="1" si="177"/>
        <v>OK</v>
      </c>
      <c r="X633" t="str">
        <f t="shared" ca="1" si="159"/>
        <v/>
      </c>
      <c r="Y633">
        <f t="shared" si="160"/>
        <v>1</v>
      </c>
      <c r="Z633">
        <f t="shared" si="166"/>
        <v>1</v>
      </c>
      <c r="AA633" s="36"/>
      <c r="AB633" t="str">
        <f t="shared" si="178"/>
        <v>コード番号を選択してください。</v>
      </c>
      <c r="AC633" t="s">
        <v>450</v>
      </c>
      <c r="AD633" t="str">
        <f t="shared" ref="AD633" si="187">AE632</f>
        <v>1台目の機器が入力されていません。
詰めて入力してください。</v>
      </c>
      <c r="AE633" t="str">
        <f>C632&amp;"台目の機器が入力されていません。"&amp;CHAR(10)&amp;"詰めて入力してください。"</f>
        <v>2台目の機器が入力されていません。
詰めて入力してください。</v>
      </c>
      <c r="AF633" t="s">
        <v>451</v>
      </c>
      <c r="AH633">
        <f t="shared" si="162"/>
        <v>9999</v>
      </c>
      <c r="AI633">
        <f>SMALL($AH$514:$AH$663,120)</f>
        <v>9999</v>
      </c>
      <c r="AJ633" t="e">
        <f t="shared" si="163"/>
        <v>#N/A</v>
      </c>
      <c r="AK633" t="str">
        <f t="shared" si="164"/>
        <v>事業場99</v>
      </c>
    </row>
    <row r="634" spans="2:37" x14ac:dyDescent="0.15">
      <c r="B634" s="5">
        <v>41</v>
      </c>
      <c r="C634" s="5">
        <v>1</v>
      </c>
      <c r="D634" s="4">
        <v>4101</v>
      </c>
      <c r="E634" s="4">
        <f t="shared" si="180"/>
        <v>0</v>
      </c>
      <c r="F634" s="15">
        <f>'入力シート（2事業場以降）'!AQ655</f>
        <v>0</v>
      </c>
      <c r="G634" s="4" t="str">
        <f>IF(AND($E634=1,$F634=1),'入力シート（2事業場以降）'!F655,"")&amp;""</f>
        <v/>
      </c>
      <c r="H634" s="15" t="str">
        <f>IFERROR(VLOOKUP($G634,補助対象機器一覧20220831!$A$2:$K$200,3,FALSE),"")</f>
        <v/>
      </c>
      <c r="I634" s="15" t="str">
        <f>IFERROR(VLOOKUP($G634,補助対象機器一覧20220831!$A$2:$K$200,4,FALSE),"")</f>
        <v/>
      </c>
      <c r="J634" s="15" t="str">
        <f>IFERROR(VLOOKUP($G634,補助対象機器一覧20220831!$A$2:$K$200,5,FALSE),"")</f>
        <v/>
      </c>
      <c r="K634" s="15" t="str">
        <f>IFERROR(VLOOKUP($G634,補助対象機器一覧20220831!$A$2:$K$200,6,FALSE),"")</f>
        <v/>
      </c>
      <c r="L634" s="4" t="str">
        <f>IF(AND($E634=1,$F634=1),'入力シート（2事業場以降）'!J655,"")&amp;""</f>
        <v/>
      </c>
      <c r="M634" s="4" t="str">
        <f>IF(AND($E634=1,$F634=1),'入力シート（2事業場以降）'!N655,"")&amp;""</f>
        <v/>
      </c>
      <c r="N634" s="4" t="str">
        <f>IF(AND($E634=1,$F634=1),'入力シート（2事業場以降）'!R655,"")&amp;""</f>
        <v/>
      </c>
      <c r="O634" s="4" t="str">
        <f>IF(AND($E634=1,$F634=1),'入力シート（2事業場以降）'!V655,"")&amp;""</f>
        <v/>
      </c>
      <c r="P634" s="4" t="str">
        <f>IFERROR(VLOOKUP($G634,補助対象機器一覧20220831!$A$2:$K$200,10,FALSE),"")</f>
        <v/>
      </c>
      <c r="Q634" s="15" t="str">
        <f>IF(AND($E634=1,$F634=2),TRIM(CLEAN('入力シート（2事業場以降）'!J657)),"")&amp;""</f>
        <v/>
      </c>
      <c r="R634" s="15" t="str">
        <f>IF(AND($E634=1,$F634=2),TRIM(CLEAN('入力シート（2事業場以降）'!N657)),"")&amp;""</f>
        <v/>
      </c>
      <c r="S634" s="15" t="str">
        <f>IF(AND($E634=1,$F634=2),TRIM(CLEAN('入力シート（2事業場以降）'!R657)),"")&amp;""</f>
        <v/>
      </c>
      <c r="T634" s="15" t="str">
        <f>IF(AND($E634=1,$F634=2),TRIM(CLEAN('入力シート（2事業場以降）'!V657)),"")&amp;""</f>
        <v/>
      </c>
      <c r="V634">
        <v>1</v>
      </c>
      <c r="W634" s="117" t="str">
        <f t="shared" ca="1" si="177"/>
        <v>OK</v>
      </c>
      <c r="X634" t="str">
        <f t="shared" ca="1" si="159"/>
        <v>交付申請時のコード番号を選択してください。
申請するコード番号が選べなかった場合は、コード番号の有無で「なし」を選択してください。</v>
      </c>
      <c r="Y634">
        <f t="shared" si="160"/>
        <v>1</v>
      </c>
      <c r="Z634">
        <f t="shared" si="166"/>
        <v>0</v>
      </c>
      <c r="AA634"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34" t="str">
        <f t="shared" si="178"/>
        <v>コード番号を選択してください。</v>
      </c>
      <c r="AC634" t="s">
        <v>450</v>
      </c>
      <c r="AD634" s="36"/>
      <c r="AE634" s="36"/>
      <c r="AF634" t="s">
        <v>451</v>
      </c>
      <c r="AH634">
        <f t="shared" si="162"/>
        <v>9999</v>
      </c>
      <c r="AI634">
        <f>SMALL($AH$514:$AH$663,121)</f>
        <v>9999</v>
      </c>
      <c r="AJ634" t="e">
        <f t="shared" si="163"/>
        <v>#N/A</v>
      </c>
      <c r="AK634" t="str">
        <f t="shared" si="164"/>
        <v>事業場99</v>
      </c>
    </row>
    <row r="635" spans="2:37" x14ac:dyDescent="0.15">
      <c r="B635" s="5">
        <v>41</v>
      </c>
      <c r="C635" s="5">
        <v>2</v>
      </c>
      <c r="D635" s="4">
        <v>4102</v>
      </c>
      <c r="E635" s="4">
        <f t="shared" si="180"/>
        <v>0</v>
      </c>
      <c r="F635" s="15">
        <f>'入力シート（2事業場以降）'!AQ659</f>
        <v>0</v>
      </c>
      <c r="G635" s="4" t="str">
        <f>IF(AND($E635=1,$F635=1),'入力シート（2事業場以降）'!F659,"")&amp;""</f>
        <v/>
      </c>
      <c r="H635" s="15" t="str">
        <f>IFERROR(VLOOKUP($G635,補助対象機器一覧20220831!$A$2:$K$200,3,FALSE),"")</f>
        <v/>
      </c>
      <c r="I635" s="15" t="str">
        <f>IFERROR(VLOOKUP($G635,補助対象機器一覧20220831!$A$2:$K$200,4,FALSE),"")</f>
        <v/>
      </c>
      <c r="J635" s="15" t="str">
        <f>IFERROR(VLOOKUP($G635,補助対象機器一覧20220831!$A$2:$K$200,5,FALSE),"")</f>
        <v/>
      </c>
      <c r="K635" s="15" t="str">
        <f>IFERROR(VLOOKUP($G635,補助対象機器一覧20220831!$A$2:$K$200,6,FALSE),"")</f>
        <v/>
      </c>
      <c r="L635" s="4" t="str">
        <f>IF(AND($E635=1,$F635=1),'入力シート（2事業場以降）'!J659,"")&amp;""</f>
        <v/>
      </c>
      <c r="M635" s="4" t="str">
        <f>IF(AND($E635=1,$F635=1),'入力シート（2事業場以降）'!N659,"")&amp;""</f>
        <v/>
      </c>
      <c r="N635" s="4" t="str">
        <f>IF(AND($E635=1,$F635=1),'入力シート（2事業場以降）'!R659,"")&amp;""</f>
        <v/>
      </c>
      <c r="O635" s="4" t="str">
        <f>IF(AND($E635=1,$F635=1),'入力シート（2事業場以降）'!V659,"")&amp;""</f>
        <v/>
      </c>
      <c r="P635" s="4" t="str">
        <f>IFERROR(VLOOKUP($G635,補助対象機器一覧20220831!$A$2:$K$200,10,FALSE),"")</f>
        <v/>
      </c>
      <c r="Q635" s="15" t="str">
        <f>IF(AND($E635=1,$F635=2),TRIM(CLEAN('入力シート（2事業場以降）'!J661)),"")&amp;""</f>
        <v/>
      </c>
      <c r="R635" s="15" t="str">
        <f>IF(AND($E635=1,$F635=2),TRIM(CLEAN('入力シート（2事業場以降）'!N661)),"")&amp;""</f>
        <v/>
      </c>
      <c r="S635" s="15" t="str">
        <f>IF(AND($E635=1,$F635=2),TRIM(CLEAN('入力シート（2事業場以降）'!R661)),"")&amp;""</f>
        <v/>
      </c>
      <c r="T635" s="15" t="str">
        <f>IF(AND($E635=1,$F635=2),TRIM(CLEAN('入力シート（2事業場以降）'!V661)),"")&amp;""</f>
        <v/>
      </c>
      <c r="W635" s="117" t="str">
        <f t="shared" ca="1" si="177"/>
        <v>OK</v>
      </c>
      <c r="X635" t="str">
        <f t="shared" ca="1" si="159"/>
        <v/>
      </c>
      <c r="Y635">
        <f t="shared" si="160"/>
        <v>1</v>
      </c>
      <c r="Z635">
        <f t="shared" si="166"/>
        <v>2</v>
      </c>
      <c r="AA635" s="36"/>
      <c r="AB635" t="str">
        <f t="shared" si="178"/>
        <v>コード番号を選択してください。</v>
      </c>
      <c r="AC635" t="s">
        <v>450</v>
      </c>
      <c r="AD635" s="36"/>
      <c r="AE635" t="str">
        <f>C634&amp;"台目の機器が入力されていません。"&amp;CHAR(10)&amp;"詰めて入力してください。"</f>
        <v>1台目の機器が入力されていません。
詰めて入力してください。</v>
      </c>
      <c r="AF635" t="s">
        <v>451</v>
      </c>
      <c r="AH635">
        <f t="shared" si="162"/>
        <v>9999</v>
      </c>
      <c r="AI635">
        <f>SMALL($AH$514:$AH$663,122)</f>
        <v>9999</v>
      </c>
      <c r="AJ635" t="e">
        <f t="shared" si="163"/>
        <v>#N/A</v>
      </c>
      <c r="AK635" t="str">
        <f t="shared" si="164"/>
        <v>事業場99</v>
      </c>
    </row>
    <row r="636" spans="2:37" x14ac:dyDescent="0.15">
      <c r="B636" s="5">
        <v>41</v>
      </c>
      <c r="C636" s="5">
        <v>3</v>
      </c>
      <c r="D636" s="4">
        <v>4103</v>
      </c>
      <c r="E636" s="4">
        <f t="shared" si="180"/>
        <v>0</v>
      </c>
      <c r="F636" s="15">
        <f>'入力シート（2事業場以降）'!AQ663</f>
        <v>0</v>
      </c>
      <c r="G636" s="4" t="str">
        <f>IF(AND($E636=1,$F636=1),'入力シート（2事業場以降）'!F663,"")&amp;""</f>
        <v/>
      </c>
      <c r="H636" s="15" t="str">
        <f>IFERROR(VLOOKUP($G636,補助対象機器一覧20220831!$A$2:$K$200,3,FALSE),"")</f>
        <v/>
      </c>
      <c r="I636" s="15" t="str">
        <f>IFERROR(VLOOKUP($G636,補助対象機器一覧20220831!$A$2:$K$200,4,FALSE),"")</f>
        <v/>
      </c>
      <c r="J636" s="15" t="str">
        <f>IFERROR(VLOOKUP($G636,補助対象機器一覧20220831!$A$2:$K$200,5,FALSE),"")</f>
        <v/>
      </c>
      <c r="K636" s="15" t="str">
        <f>IFERROR(VLOOKUP($G636,補助対象機器一覧20220831!$A$2:$K$200,6,FALSE),"")</f>
        <v/>
      </c>
      <c r="L636" s="4" t="str">
        <f>IF(AND($E636=1,$F636=1),'入力シート（2事業場以降）'!J663,"")&amp;""</f>
        <v/>
      </c>
      <c r="M636" s="4" t="str">
        <f>IF(AND($E636=1,$F636=1),'入力シート（2事業場以降）'!N663,"")&amp;""</f>
        <v/>
      </c>
      <c r="N636" s="4" t="str">
        <f>IF(AND($E636=1,$F636=1),'入力シート（2事業場以降）'!R663,"")&amp;""</f>
        <v/>
      </c>
      <c r="O636" s="4" t="str">
        <f>IF(AND($E636=1,$F636=1),'入力シート（2事業場以降）'!V663,"")&amp;""</f>
        <v/>
      </c>
      <c r="P636" s="4" t="str">
        <f>IFERROR(VLOOKUP($G636,補助対象機器一覧20220831!$A$2:$K$200,10,FALSE),"")</f>
        <v/>
      </c>
      <c r="Q636" s="15" t="str">
        <f>IF(AND($E636=1,$F636=2),TRIM(CLEAN('入力シート（2事業場以降）'!J665)),"")&amp;""</f>
        <v/>
      </c>
      <c r="R636" s="15" t="str">
        <f>IF(AND($E636=1,$F636=2),TRIM(CLEAN('入力シート（2事業場以降）'!N665)),"")&amp;""</f>
        <v/>
      </c>
      <c r="S636" s="15" t="str">
        <f>IF(AND($E636=1,$F636=2),TRIM(CLEAN('入力シート（2事業場以降）'!R665)),"")&amp;""</f>
        <v/>
      </c>
      <c r="T636" s="15" t="str">
        <f>IF(AND($E636=1,$F636=2),TRIM(CLEAN('入力シート（2事業場以降）'!V665)),"")&amp;""</f>
        <v/>
      </c>
      <c r="W636" s="117" t="str">
        <f t="shared" ca="1" si="177"/>
        <v>OK</v>
      </c>
      <c r="X636" t="str">
        <f t="shared" ca="1" si="159"/>
        <v/>
      </c>
      <c r="Y636">
        <f t="shared" si="160"/>
        <v>1</v>
      </c>
      <c r="Z636">
        <f t="shared" si="166"/>
        <v>1</v>
      </c>
      <c r="AA636" s="36"/>
      <c r="AB636" t="str">
        <f t="shared" si="178"/>
        <v>コード番号を選択してください。</v>
      </c>
      <c r="AC636" t="s">
        <v>450</v>
      </c>
      <c r="AD636" t="str">
        <f t="shared" ref="AD636" si="188">AE635</f>
        <v>1台目の機器が入力されていません。
詰めて入力してください。</v>
      </c>
      <c r="AE636" t="str">
        <f>C635&amp;"台目の機器が入力されていません。"&amp;CHAR(10)&amp;"詰めて入力してください。"</f>
        <v>2台目の機器が入力されていません。
詰めて入力してください。</v>
      </c>
      <c r="AF636" t="s">
        <v>451</v>
      </c>
      <c r="AH636">
        <f t="shared" si="162"/>
        <v>9999</v>
      </c>
      <c r="AI636">
        <f>SMALL($AH$514:$AH$663,123)</f>
        <v>9999</v>
      </c>
      <c r="AJ636" t="e">
        <f t="shared" si="163"/>
        <v>#N/A</v>
      </c>
      <c r="AK636" t="str">
        <f t="shared" si="164"/>
        <v>事業場99</v>
      </c>
    </row>
    <row r="637" spans="2:37" x14ac:dyDescent="0.15">
      <c r="B637" s="5">
        <v>42</v>
      </c>
      <c r="C637" s="5">
        <v>1</v>
      </c>
      <c r="D637" s="4">
        <v>4201</v>
      </c>
      <c r="E637" s="4">
        <f t="shared" si="180"/>
        <v>0</v>
      </c>
      <c r="F637" s="15">
        <f>'入力シート（2事業場以降）'!AQ668</f>
        <v>0</v>
      </c>
      <c r="G637" s="4" t="str">
        <f>IF(AND($E637=1,$F637=1),'入力シート（2事業場以降）'!F668,"")&amp;""</f>
        <v/>
      </c>
      <c r="H637" s="15" t="str">
        <f>IFERROR(VLOOKUP($G637,補助対象機器一覧20220831!$A$2:$K$200,3,FALSE),"")</f>
        <v/>
      </c>
      <c r="I637" s="15" t="str">
        <f>IFERROR(VLOOKUP($G637,補助対象機器一覧20220831!$A$2:$K$200,4,FALSE),"")</f>
        <v/>
      </c>
      <c r="J637" s="15" t="str">
        <f>IFERROR(VLOOKUP($G637,補助対象機器一覧20220831!$A$2:$K$200,5,FALSE),"")</f>
        <v/>
      </c>
      <c r="K637" s="15" t="str">
        <f>IFERROR(VLOOKUP($G637,補助対象機器一覧20220831!$A$2:$K$200,6,FALSE),"")</f>
        <v/>
      </c>
      <c r="L637" s="4" t="str">
        <f>IF(AND($E637=1,$F637=1),'入力シート（2事業場以降）'!J668,"")&amp;""</f>
        <v/>
      </c>
      <c r="M637" s="4" t="str">
        <f>IF(AND($E637=1,$F637=1),'入力シート（2事業場以降）'!N668,"")&amp;""</f>
        <v/>
      </c>
      <c r="N637" s="4" t="str">
        <f>IF(AND($E637=1,$F637=1),'入力シート（2事業場以降）'!R668,"")&amp;""</f>
        <v/>
      </c>
      <c r="O637" s="4" t="str">
        <f>IF(AND($E637=1,$F637=1),'入力シート（2事業場以降）'!V668,"")&amp;""</f>
        <v/>
      </c>
      <c r="P637" s="4" t="str">
        <f>IFERROR(VLOOKUP($G637,補助対象機器一覧20220831!$A$2:$K$200,10,FALSE),"")</f>
        <v/>
      </c>
      <c r="Q637" s="15" t="str">
        <f>IF(AND($E637=1,$F637=2),TRIM(CLEAN('入力シート（2事業場以降）'!J670)),"")&amp;""</f>
        <v/>
      </c>
      <c r="R637" s="15" t="str">
        <f>IF(AND($E637=1,$F637=2),TRIM(CLEAN('入力シート（2事業場以降）'!N670)),"")&amp;""</f>
        <v/>
      </c>
      <c r="S637" s="15" t="str">
        <f>IF(AND($E637=1,$F637=2),TRIM(CLEAN('入力シート（2事業場以降）'!R670)),"")&amp;""</f>
        <v/>
      </c>
      <c r="T637" s="15" t="str">
        <f>IF(AND($E637=1,$F637=2),TRIM(CLEAN('入力シート（2事業場以降）'!V670)),"")&amp;""</f>
        <v/>
      </c>
      <c r="V637">
        <v>2</v>
      </c>
      <c r="W637" s="117" t="str">
        <f t="shared" ca="1" si="177"/>
        <v>OK</v>
      </c>
      <c r="X637" t="str">
        <f t="shared" ca="1" si="159"/>
        <v>交付申請時のコード番号を選択してください。
申請するコード番号が選べなかった場合は、コード番号の有無で「なし」を選択してください。</v>
      </c>
      <c r="Y637">
        <f t="shared" si="160"/>
        <v>1</v>
      </c>
      <c r="Z637">
        <f t="shared" si="166"/>
        <v>0</v>
      </c>
      <c r="AA637"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37" t="str">
        <f t="shared" si="178"/>
        <v>コード番号を選択してください。</v>
      </c>
      <c r="AC637" t="s">
        <v>450</v>
      </c>
      <c r="AD637" s="36"/>
      <c r="AE637" s="36"/>
      <c r="AF637" t="s">
        <v>451</v>
      </c>
      <c r="AH637">
        <f t="shared" si="162"/>
        <v>9999</v>
      </c>
      <c r="AI637">
        <f>SMALL($AH$514:$AH$663,124)</f>
        <v>9999</v>
      </c>
      <c r="AJ637" t="e">
        <f t="shared" si="163"/>
        <v>#N/A</v>
      </c>
      <c r="AK637" t="str">
        <f t="shared" si="164"/>
        <v>事業場99</v>
      </c>
    </row>
    <row r="638" spans="2:37" x14ac:dyDescent="0.15">
      <c r="B638" s="5">
        <v>42</v>
      </c>
      <c r="C638" s="5">
        <v>2</v>
      </c>
      <c r="D638" s="4">
        <v>4202</v>
      </c>
      <c r="E638" s="4">
        <f t="shared" si="180"/>
        <v>0</v>
      </c>
      <c r="F638" s="15">
        <f>'入力シート（2事業場以降）'!AQ672</f>
        <v>0</v>
      </c>
      <c r="G638" s="4" t="str">
        <f>IF(AND($E638=1,$F638=1),'入力シート（2事業場以降）'!F672,"")&amp;""</f>
        <v/>
      </c>
      <c r="H638" s="15" t="str">
        <f>IFERROR(VLOOKUP($G638,補助対象機器一覧20220831!$A$2:$K$200,3,FALSE),"")</f>
        <v/>
      </c>
      <c r="I638" s="15" t="str">
        <f>IFERROR(VLOOKUP($G638,補助対象機器一覧20220831!$A$2:$K$200,4,FALSE),"")</f>
        <v/>
      </c>
      <c r="J638" s="15" t="str">
        <f>IFERROR(VLOOKUP($G638,補助対象機器一覧20220831!$A$2:$K$200,5,FALSE),"")</f>
        <v/>
      </c>
      <c r="K638" s="15" t="str">
        <f>IFERROR(VLOOKUP($G638,補助対象機器一覧20220831!$A$2:$K$200,6,FALSE),"")</f>
        <v/>
      </c>
      <c r="L638" s="4" t="str">
        <f>IF(AND($E638=1,$F638=1),'入力シート（2事業場以降）'!J672,"")&amp;""</f>
        <v/>
      </c>
      <c r="M638" s="4" t="str">
        <f>IF(AND($E638=1,$F638=1),'入力シート（2事業場以降）'!N672,"")&amp;""</f>
        <v/>
      </c>
      <c r="N638" s="4" t="str">
        <f>IF(AND($E638=1,$F638=1),'入力シート（2事業場以降）'!R672,"")&amp;""</f>
        <v/>
      </c>
      <c r="O638" s="4" t="str">
        <f>IF(AND($E638=1,$F638=1),'入力シート（2事業場以降）'!V672,"")&amp;""</f>
        <v/>
      </c>
      <c r="P638" s="4" t="str">
        <f>IFERROR(VLOOKUP($G638,補助対象機器一覧20220831!$A$2:$K$200,10,FALSE),"")</f>
        <v/>
      </c>
      <c r="Q638" s="15" t="str">
        <f>IF(AND($E638=1,$F638=2),TRIM(CLEAN('入力シート（2事業場以降）'!J674)),"")&amp;""</f>
        <v/>
      </c>
      <c r="R638" s="15" t="str">
        <f>IF(AND($E638=1,$F638=2),TRIM(CLEAN('入力シート（2事業場以降）'!N674)),"")&amp;""</f>
        <v/>
      </c>
      <c r="S638" s="15" t="str">
        <f>IF(AND($E638=1,$F638=2),TRIM(CLEAN('入力シート（2事業場以降）'!R674)),"")&amp;""</f>
        <v/>
      </c>
      <c r="T638" s="15" t="str">
        <f>IF(AND($E638=1,$F638=2),TRIM(CLEAN('入力シート（2事業場以降）'!V674)),"")&amp;""</f>
        <v/>
      </c>
      <c r="W638" s="117" t="str">
        <f t="shared" ca="1" si="177"/>
        <v>OK</v>
      </c>
      <c r="X638" t="str">
        <f t="shared" ca="1" si="159"/>
        <v/>
      </c>
      <c r="Y638">
        <f t="shared" si="160"/>
        <v>1</v>
      </c>
      <c r="Z638">
        <f t="shared" si="166"/>
        <v>2</v>
      </c>
      <c r="AA638" s="36"/>
      <c r="AB638" t="str">
        <f t="shared" si="178"/>
        <v>コード番号を選択してください。</v>
      </c>
      <c r="AC638" t="s">
        <v>450</v>
      </c>
      <c r="AD638" s="36"/>
      <c r="AE638" t="str">
        <f>C637&amp;"台目の機器が入力されていません。"&amp;CHAR(10)&amp;"詰めて入力してください。"</f>
        <v>1台目の機器が入力されていません。
詰めて入力してください。</v>
      </c>
      <c r="AF638" t="s">
        <v>451</v>
      </c>
      <c r="AH638">
        <f t="shared" si="162"/>
        <v>9999</v>
      </c>
      <c r="AI638">
        <f>SMALL($AH$514:$AH$663,125)</f>
        <v>9999</v>
      </c>
      <c r="AJ638" t="e">
        <f t="shared" si="163"/>
        <v>#N/A</v>
      </c>
      <c r="AK638" t="str">
        <f t="shared" si="164"/>
        <v>事業場99</v>
      </c>
    </row>
    <row r="639" spans="2:37" x14ac:dyDescent="0.15">
      <c r="B639" s="5">
        <v>42</v>
      </c>
      <c r="C639" s="5">
        <v>3</v>
      </c>
      <c r="D639" s="4">
        <v>4203</v>
      </c>
      <c r="E639" s="4">
        <f t="shared" si="180"/>
        <v>0</v>
      </c>
      <c r="F639" s="15">
        <f>'入力シート（2事業場以降）'!AQ676</f>
        <v>0</v>
      </c>
      <c r="G639" s="4" t="str">
        <f>IF(AND($E639=1,$F639=1),'入力シート（2事業場以降）'!F676,"")&amp;""</f>
        <v/>
      </c>
      <c r="H639" s="15" t="str">
        <f>IFERROR(VLOOKUP($G639,補助対象機器一覧20220831!$A$2:$K$200,3,FALSE),"")</f>
        <v/>
      </c>
      <c r="I639" s="15" t="str">
        <f>IFERROR(VLOOKUP($G639,補助対象機器一覧20220831!$A$2:$K$200,4,FALSE),"")</f>
        <v/>
      </c>
      <c r="J639" s="15" t="str">
        <f>IFERROR(VLOOKUP($G639,補助対象機器一覧20220831!$A$2:$K$200,5,FALSE),"")</f>
        <v/>
      </c>
      <c r="K639" s="15" t="str">
        <f>IFERROR(VLOOKUP($G639,補助対象機器一覧20220831!$A$2:$K$200,6,FALSE),"")</f>
        <v/>
      </c>
      <c r="L639" s="4" t="str">
        <f>IF(AND($E639=1,$F639=1),'入力シート（2事業場以降）'!J676,"")&amp;""</f>
        <v/>
      </c>
      <c r="M639" s="4" t="str">
        <f>IF(AND($E639=1,$F639=1),'入力シート（2事業場以降）'!N676,"")&amp;""</f>
        <v/>
      </c>
      <c r="N639" s="4" t="str">
        <f>IF(AND($E639=1,$F639=1),'入力シート（2事業場以降）'!R676,"")&amp;""</f>
        <v/>
      </c>
      <c r="O639" s="4" t="str">
        <f>IF(AND($E639=1,$F639=1),'入力シート（2事業場以降）'!V676,"")&amp;""</f>
        <v/>
      </c>
      <c r="P639" s="4" t="str">
        <f>IFERROR(VLOOKUP($G639,補助対象機器一覧20220831!$A$2:$K$200,10,FALSE),"")</f>
        <v/>
      </c>
      <c r="Q639" s="15" t="str">
        <f>IF(AND($E639=1,$F639=2),TRIM(CLEAN('入力シート（2事業場以降）'!J678)),"")&amp;""</f>
        <v/>
      </c>
      <c r="R639" s="15" t="str">
        <f>IF(AND($E639=1,$F639=2),TRIM(CLEAN('入力シート（2事業場以降）'!N678)),"")&amp;""</f>
        <v/>
      </c>
      <c r="S639" s="15" t="str">
        <f>IF(AND($E639=1,$F639=2),TRIM(CLEAN('入力シート（2事業場以降）'!R678)),"")&amp;""</f>
        <v/>
      </c>
      <c r="T639" s="15" t="str">
        <f>IF(AND($E639=1,$F639=2),TRIM(CLEAN('入力シート（2事業場以降）'!V678)),"")&amp;""</f>
        <v/>
      </c>
      <c r="W639" s="117" t="str">
        <f t="shared" ca="1" si="177"/>
        <v>OK</v>
      </c>
      <c r="X639" t="str">
        <f t="shared" ca="1" si="159"/>
        <v/>
      </c>
      <c r="Y639">
        <f t="shared" si="160"/>
        <v>1</v>
      </c>
      <c r="Z639">
        <f t="shared" si="166"/>
        <v>1</v>
      </c>
      <c r="AA639" s="36"/>
      <c r="AB639" t="str">
        <f t="shared" si="178"/>
        <v>コード番号を選択してください。</v>
      </c>
      <c r="AC639" t="s">
        <v>450</v>
      </c>
      <c r="AD639" t="str">
        <f t="shared" ref="AD639" si="189">AE638</f>
        <v>1台目の機器が入力されていません。
詰めて入力してください。</v>
      </c>
      <c r="AE639" t="str">
        <f>C638&amp;"台目の機器が入力されていません。"&amp;CHAR(10)&amp;"詰めて入力してください。"</f>
        <v>2台目の機器が入力されていません。
詰めて入力してください。</v>
      </c>
      <c r="AF639" t="s">
        <v>451</v>
      </c>
      <c r="AH639">
        <f t="shared" si="162"/>
        <v>9999</v>
      </c>
      <c r="AI639">
        <f>SMALL($AH$514:$AH$663,126)</f>
        <v>9999</v>
      </c>
      <c r="AJ639" t="e">
        <f t="shared" si="163"/>
        <v>#N/A</v>
      </c>
      <c r="AK639" t="str">
        <f t="shared" si="164"/>
        <v>事業場99</v>
      </c>
    </row>
    <row r="640" spans="2:37" x14ac:dyDescent="0.15">
      <c r="B640" s="5">
        <v>43</v>
      </c>
      <c r="C640" s="5">
        <v>1</v>
      </c>
      <c r="D640" s="4">
        <v>4301</v>
      </c>
      <c r="E640" s="4">
        <f t="shared" si="180"/>
        <v>0</v>
      </c>
      <c r="F640" s="15">
        <f>'入力シート（2事業場以降）'!AQ681</f>
        <v>0</v>
      </c>
      <c r="G640" s="4" t="str">
        <f>IF(AND($E640=1,$F640=1),'入力シート（2事業場以降）'!F681,"")&amp;""</f>
        <v/>
      </c>
      <c r="H640" s="15" t="str">
        <f>IFERROR(VLOOKUP($G640,補助対象機器一覧20220831!$A$2:$K$200,3,FALSE),"")</f>
        <v/>
      </c>
      <c r="I640" s="15" t="str">
        <f>IFERROR(VLOOKUP($G640,補助対象機器一覧20220831!$A$2:$K$200,4,FALSE),"")</f>
        <v/>
      </c>
      <c r="J640" s="15" t="str">
        <f>IFERROR(VLOOKUP($G640,補助対象機器一覧20220831!$A$2:$K$200,5,FALSE),"")</f>
        <v/>
      </c>
      <c r="K640" s="15" t="str">
        <f>IFERROR(VLOOKUP($G640,補助対象機器一覧20220831!$A$2:$K$200,6,FALSE),"")</f>
        <v/>
      </c>
      <c r="L640" s="4" t="str">
        <f>IF(AND($E640=1,$F640=1),'入力シート（2事業場以降）'!J681,"")&amp;""</f>
        <v/>
      </c>
      <c r="M640" s="4" t="str">
        <f>IF(AND($E640=1,$F640=1),'入力シート（2事業場以降）'!N681,"")&amp;""</f>
        <v/>
      </c>
      <c r="N640" s="4" t="str">
        <f>IF(AND($E640=1,$F640=1),'入力シート（2事業場以降）'!R681,"")&amp;""</f>
        <v/>
      </c>
      <c r="O640" s="4" t="str">
        <f>IF(AND($E640=1,$F640=1),'入力シート（2事業場以降）'!V681,"")&amp;""</f>
        <v/>
      </c>
      <c r="P640" s="4" t="str">
        <f>IFERROR(VLOOKUP($G640,補助対象機器一覧20220831!$A$2:$K$200,10,FALSE),"")</f>
        <v/>
      </c>
      <c r="Q640" s="15" t="str">
        <f>IF(AND($E640=1,$F640=2),TRIM(CLEAN('入力シート（2事業場以降）'!J683)),"")&amp;""</f>
        <v/>
      </c>
      <c r="R640" s="15" t="str">
        <f>IF(AND($E640=1,$F640=2),TRIM(CLEAN('入力シート（2事業場以降）'!N683)),"")&amp;""</f>
        <v/>
      </c>
      <c r="S640" s="15" t="str">
        <f>IF(AND($E640=1,$F640=2),TRIM(CLEAN('入力シート（2事業場以降）'!R683)),"")&amp;""</f>
        <v/>
      </c>
      <c r="T640" s="15" t="str">
        <f>IF(AND($E640=1,$F640=2),TRIM(CLEAN('入力シート（2事業場以降）'!V683)),"")&amp;""</f>
        <v/>
      </c>
      <c r="V640">
        <v>3</v>
      </c>
      <c r="W640" s="117" t="str">
        <f t="shared" ca="1" si="177"/>
        <v>OK</v>
      </c>
      <c r="X640" t="str">
        <f t="shared" ca="1" si="159"/>
        <v>交付申請時のコード番号を選択してください。
申請するコード番号が選べなかった場合は、コード番号の有無で「なし」を選択してください。</v>
      </c>
      <c r="Y640">
        <f t="shared" si="160"/>
        <v>1</v>
      </c>
      <c r="Z640">
        <f t="shared" si="166"/>
        <v>0</v>
      </c>
      <c r="AA640"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40" t="str">
        <f t="shared" si="178"/>
        <v>コード番号を選択してください。</v>
      </c>
      <c r="AC640" t="s">
        <v>450</v>
      </c>
      <c r="AD640" s="36"/>
      <c r="AE640" s="36"/>
      <c r="AF640" t="s">
        <v>451</v>
      </c>
      <c r="AH640">
        <f t="shared" si="162"/>
        <v>9999</v>
      </c>
      <c r="AI640">
        <f>SMALL($AH$514:$AH$663,127)</f>
        <v>9999</v>
      </c>
      <c r="AJ640" t="e">
        <f t="shared" si="163"/>
        <v>#N/A</v>
      </c>
      <c r="AK640" t="str">
        <f t="shared" si="164"/>
        <v>事業場99</v>
      </c>
    </row>
    <row r="641" spans="2:37" x14ac:dyDescent="0.15">
      <c r="B641" s="5">
        <v>43</v>
      </c>
      <c r="C641" s="5">
        <v>2</v>
      </c>
      <c r="D641" s="4">
        <v>4302</v>
      </c>
      <c r="E641" s="4">
        <f t="shared" si="180"/>
        <v>0</v>
      </c>
      <c r="F641" s="15">
        <f>'入力シート（2事業場以降）'!AQ685</f>
        <v>0</v>
      </c>
      <c r="G641" s="4" t="str">
        <f>IF(AND($E641=1,$F641=1),'入力シート（2事業場以降）'!F685,"")&amp;""</f>
        <v/>
      </c>
      <c r="H641" s="15" t="str">
        <f>IFERROR(VLOOKUP($G641,補助対象機器一覧20220831!$A$2:$K$200,3,FALSE),"")</f>
        <v/>
      </c>
      <c r="I641" s="15" t="str">
        <f>IFERROR(VLOOKUP($G641,補助対象機器一覧20220831!$A$2:$K$200,4,FALSE),"")</f>
        <v/>
      </c>
      <c r="J641" s="15" t="str">
        <f>IFERROR(VLOOKUP($G641,補助対象機器一覧20220831!$A$2:$K$200,5,FALSE),"")</f>
        <v/>
      </c>
      <c r="K641" s="15" t="str">
        <f>IFERROR(VLOOKUP($G641,補助対象機器一覧20220831!$A$2:$K$200,6,FALSE),"")</f>
        <v/>
      </c>
      <c r="L641" s="4" t="str">
        <f>IF(AND($E641=1,$F641=1),'入力シート（2事業場以降）'!J685,"")&amp;""</f>
        <v/>
      </c>
      <c r="M641" s="4" t="str">
        <f>IF(AND($E641=1,$F641=1),'入力シート（2事業場以降）'!N685,"")&amp;""</f>
        <v/>
      </c>
      <c r="N641" s="4" t="str">
        <f>IF(AND($E641=1,$F641=1),'入力シート（2事業場以降）'!R685,"")&amp;""</f>
        <v/>
      </c>
      <c r="O641" s="4" t="str">
        <f>IF(AND($E641=1,$F641=1),'入力シート（2事業場以降）'!V685,"")&amp;""</f>
        <v/>
      </c>
      <c r="P641" s="4" t="str">
        <f>IFERROR(VLOOKUP($G641,補助対象機器一覧20220831!$A$2:$K$200,10,FALSE),"")</f>
        <v/>
      </c>
      <c r="Q641" s="15" t="str">
        <f>IF(AND($E641=1,$F641=2),TRIM(CLEAN('入力シート（2事業場以降）'!J687)),"")&amp;""</f>
        <v/>
      </c>
      <c r="R641" s="15" t="str">
        <f>IF(AND($E641=1,$F641=2),TRIM(CLEAN('入力シート（2事業場以降）'!N687)),"")&amp;""</f>
        <v/>
      </c>
      <c r="S641" s="15" t="str">
        <f>IF(AND($E641=1,$F641=2),TRIM(CLEAN('入力シート（2事業場以降）'!R687)),"")&amp;""</f>
        <v/>
      </c>
      <c r="T641" s="15" t="str">
        <f>IF(AND($E641=1,$F641=2),TRIM(CLEAN('入力シート（2事業場以降）'!V687)),"")&amp;""</f>
        <v/>
      </c>
      <c r="W641" s="117" t="str">
        <f t="shared" ca="1" si="177"/>
        <v>OK</v>
      </c>
      <c r="X641" t="str">
        <f t="shared" ca="1" si="159"/>
        <v/>
      </c>
      <c r="Y641">
        <f t="shared" si="160"/>
        <v>1</v>
      </c>
      <c r="Z641">
        <f t="shared" si="166"/>
        <v>2</v>
      </c>
      <c r="AA641" s="36"/>
      <c r="AB641" t="str">
        <f t="shared" si="178"/>
        <v>コード番号を選択してください。</v>
      </c>
      <c r="AC641" t="s">
        <v>450</v>
      </c>
      <c r="AD641" s="36"/>
      <c r="AE641" t="str">
        <f>C640&amp;"台目の機器が入力されていません。"&amp;CHAR(10)&amp;"詰めて入力してください。"</f>
        <v>1台目の機器が入力されていません。
詰めて入力してください。</v>
      </c>
      <c r="AF641" t="s">
        <v>451</v>
      </c>
      <c r="AH641">
        <f t="shared" si="162"/>
        <v>9999</v>
      </c>
      <c r="AI641">
        <f>SMALL($AH$514:$AH$663,128)</f>
        <v>9999</v>
      </c>
      <c r="AJ641" t="e">
        <f t="shared" si="163"/>
        <v>#N/A</v>
      </c>
      <c r="AK641" t="str">
        <f t="shared" si="164"/>
        <v>事業場99</v>
      </c>
    </row>
    <row r="642" spans="2:37" x14ac:dyDescent="0.15">
      <c r="B642" s="5">
        <v>43</v>
      </c>
      <c r="C642" s="5">
        <v>3</v>
      </c>
      <c r="D642" s="4">
        <v>4303</v>
      </c>
      <c r="E642" s="4">
        <f t="shared" si="180"/>
        <v>0</v>
      </c>
      <c r="F642" s="15">
        <f>'入力シート（2事業場以降）'!AQ689</f>
        <v>0</v>
      </c>
      <c r="G642" s="4" t="str">
        <f>IF(AND($E642=1,$F642=1),'入力シート（2事業場以降）'!F689,"")&amp;""</f>
        <v/>
      </c>
      <c r="H642" s="15" t="str">
        <f>IFERROR(VLOOKUP($G642,補助対象機器一覧20220831!$A$2:$K$200,3,FALSE),"")</f>
        <v/>
      </c>
      <c r="I642" s="15" t="str">
        <f>IFERROR(VLOOKUP($G642,補助対象機器一覧20220831!$A$2:$K$200,4,FALSE),"")</f>
        <v/>
      </c>
      <c r="J642" s="15" t="str">
        <f>IFERROR(VLOOKUP($G642,補助対象機器一覧20220831!$A$2:$K$200,5,FALSE),"")</f>
        <v/>
      </c>
      <c r="K642" s="15" t="str">
        <f>IFERROR(VLOOKUP($G642,補助対象機器一覧20220831!$A$2:$K$200,6,FALSE),"")</f>
        <v/>
      </c>
      <c r="L642" s="4" t="str">
        <f>IF(AND($E642=1,$F642=1),'入力シート（2事業場以降）'!J689,"")&amp;""</f>
        <v/>
      </c>
      <c r="M642" s="4" t="str">
        <f>IF(AND($E642=1,$F642=1),'入力シート（2事業場以降）'!N689,"")&amp;""</f>
        <v/>
      </c>
      <c r="N642" s="4" t="str">
        <f>IF(AND($E642=1,$F642=1),'入力シート（2事業場以降）'!R689,"")&amp;""</f>
        <v/>
      </c>
      <c r="O642" s="4" t="str">
        <f>IF(AND($E642=1,$F642=1),'入力シート（2事業場以降）'!V689,"")&amp;""</f>
        <v/>
      </c>
      <c r="P642" s="4" t="str">
        <f>IFERROR(VLOOKUP($G642,補助対象機器一覧20220831!$A$2:$K$200,10,FALSE),"")</f>
        <v/>
      </c>
      <c r="Q642" s="15" t="str">
        <f>IF(AND($E642=1,$F642=2),TRIM(CLEAN('入力シート（2事業場以降）'!J691)),"")&amp;""</f>
        <v/>
      </c>
      <c r="R642" s="15" t="str">
        <f>IF(AND($E642=1,$F642=2),TRIM(CLEAN('入力シート（2事業場以降）'!N691)),"")&amp;""</f>
        <v/>
      </c>
      <c r="S642" s="15" t="str">
        <f>IF(AND($E642=1,$F642=2),TRIM(CLEAN('入力シート（2事業場以降）'!R691)),"")&amp;""</f>
        <v/>
      </c>
      <c r="T642" s="15" t="str">
        <f>IF(AND($E642=1,$F642=2),TRIM(CLEAN('入力シート（2事業場以降）'!V691)),"")&amp;""</f>
        <v/>
      </c>
      <c r="W642" s="117" t="str">
        <f t="shared" ref="W642:W663" ca="1" si="190">IF(AND(B642&lt;=$G$60,X642&lt;&gt;""),IF(X642="OK",X642,"NG"),"OK")</f>
        <v>OK</v>
      </c>
      <c r="X642" t="str">
        <f t="shared" ca="1" si="159"/>
        <v/>
      </c>
      <c r="Y642">
        <f t="shared" si="160"/>
        <v>1</v>
      </c>
      <c r="Z642">
        <f t="shared" si="166"/>
        <v>1</v>
      </c>
      <c r="AA642" s="36"/>
      <c r="AB642" t="str">
        <f t="shared" ref="AB642:AB663" si="191">$G$513&amp;"を選択してください。"</f>
        <v>コード番号を選択してください。</v>
      </c>
      <c r="AC642" t="s">
        <v>450</v>
      </c>
      <c r="AD642" t="str">
        <f t="shared" ref="AD642" si="192">AE641</f>
        <v>1台目の機器が入力されていません。
詰めて入力してください。</v>
      </c>
      <c r="AE642" t="str">
        <f>C641&amp;"台目の機器が入力されていません。"&amp;CHAR(10)&amp;"詰めて入力してください。"</f>
        <v>2台目の機器が入力されていません。
詰めて入力してください。</v>
      </c>
      <c r="AF642" t="s">
        <v>451</v>
      </c>
      <c r="AH642">
        <f t="shared" si="162"/>
        <v>9999</v>
      </c>
      <c r="AI642">
        <f>SMALL($AH$514:$AH$663,129)</f>
        <v>9999</v>
      </c>
      <c r="AJ642" t="e">
        <f t="shared" si="163"/>
        <v>#N/A</v>
      </c>
      <c r="AK642" t="str">
        <f t="shared" si="164"/>
        <v>事業場99</v>
      </c>
    </row>
    <row r="643" spans="2:37" x14ac:dyDescent="0.15">
      <c r="B643" s="5">
        <v>44</v>
      </c>
      <c r="C643" s="5">
        <v>1</v>
      </c>
      <c r="D643" s="4">
        <v>4401</v>
      </c>
      <c r="E643" s="4">
        <f t="shared" si="180"/>
        <v>0</v>
      </c>
      <c r="F643" s="15">
        <f>'入力シート（2事業場以降）'!AQ694</f>
        <v>0</v>
      </c>
      <c r="G643" s="4" t="str">
        <f>IF(AND($E643=1,$F643=1),'入力シート（2事業場以降）'!F694,"")&amp;""</f>
        <v/>
      </c>
      <c r="H643" s="15" t="str">
        <f>IFERROR(VLOOKUP($G643,補助対象機器一覧20220831!$A$2:$K$200,3,FALSE),"")</f>
        <v/>
      </c>
      <c r="I643" s="15" t="str">
        <f>IFERROR(VLOOKUP($G643,補助対象機器一覧20220831!$A$2:$K$200,4,FALSE),"")</f>
        <v/>
      </c>
      <c r="J643" s="15" t="str">
        <f>IFERROR(VLOOKUP($G643,補助対象機器一覧20220831!$A$2:$K$200,5,FALSE),"")</f>
        <v/>
      </c>
      <c r="K643" s="15" t="str">
        <f>IFERROR(VLOOKUP($G643,補助対象機器一覧20220831!$A$2:$K$200,6,FALSE),"")</f>
        <v/>
      </c>
      <c r="L643" s="4" t="str">
        <f>IF(AND($E643=1,$F643=1),'入力シート（2事業場以降）'!J694,"")&amp;""</f>
        <v/>
      </c>
      <c r="M643" s="4" t="str">
        <f>IF(AND($E643=1,$F643=1),'入力シート（2事業場以降）'!N694,"")&amp;""</f>
        <v/>
      </c>
      <c r="N643" s="4" t="str">
        <f>IF(AND($E643=1,$F643=1),'入力シート（2事業場以降）'!R694,"")&amp;""</f>
        <v/>
      </c>
      <c r="O643" s="4" t="str">
        <f>IF(AND($E643=1,$F643=1),'入力シート（2事業場以降）'!V694,"")&amp;""</f>
        <v/>
      </c>
      <c r="P643" s="4" t="str">
        <f>IFERROR(VLOOKUP($G643,補助対象機器一覧20220831!$A$2:$K$200,10,FALSE),"")</f>
        <v/>
      </c>
      <c r="Q643" s="15" t="str">
        <f>IF(AND($E643=1,$F643=2),TRIM(CLEAN('入力シート（2事業場以降）'!J696)),"")&amp;""</f>
        <v/>
      </c>
      <c r="R643" s="15" t="str">
        <f>IF(AND($E643=1,$F643=2),TRIM(CLEAN('入力シート（2事業場以降）'!N696)),"")&amp;""</f>
        <v/>
      </c>
      <c r="S643" s="15" t="str">
        <f>IF(AND($E643=1,$F643=2),TRIM(CLEAN('入力シート（2事業場以降）'!R696)),"")&amp;""</f>
        <v/>
      </c>
      <c r="T643" s="15" t="str">
        <f>IF(AND($E643=1,$F643=2),TRIM(CLEAN('入力シート（2事業場以降）'!V696)),"")&amp;""</f>
        <v/>
      </c>
      <c r="V643">
        <v>4</v>
      </c>
      <c r="W643" s="117" t="str">
        <f t="shared" ca="1" si="190"/>
        <v>OK</v>
      </c>
      <c r="X643" t="str">
        <f t="shared" ref="X643:X663" ca="1" si="193">IF(Y643&lt;&gt;0,OFFSET(Z643,0,Y643),IF(Z643&lt;&gt;0,IF(Z643=-1,AC643,OFFSET(AC643,0,Z643)),$V$1))&amp;""</f>
        <v>交付申請時のコード番号を選択してください。
申請するコード番号が選べなかった場合は、コード番号の有無で「なし」を選択してください。</v>
      </c>
      <c r="Y643">
        <f t="shared" ref="Y643:Y663" si="194">IF(AND(F643=0,G643=""),1,0)</f>
        <v>1</v>
      </c>
      <c r="Z643">
        <f t="shared" si="166"/>
        <v>0</v>
      </c>
      <c r="AA643"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43" t="str">
        <f t="shared" si="191"/>
        <v>コード番号を選択してください。</v>
      </c>
      <c r="AC643" t="s">
        <v>450</v>
      </c>
      <c r="AD643" s="36"/>
      <c r="AE643" s="36"/>
      <c r="AF643" t="s">
        <v>451</v>
      </c>
      <c r="AH643">
        <f t="shared" ref="AH643:AH663" si="195">IF(AND(E643=1,Y643=0),VALUE(B643&amp;0&amp;C643),9999)</f>
        <v>9999</v>
      </c>
      <c r="AI643">
        <f>SMALL($AH$514:$AH$663,130)</f>
        <v>9999</v>
      </c>
      <c r="AJ643" t="e">
        <f t="shared" ref="AJ643:AJ663" si="196">VLOOKUP(AI643,$D$514:$F$663,3,FALSE)</f>
        <v>#N/A</v>
      </c>
      <c r="AK643" t="str">
        <f t="shared" ref="AK643:AK663" si="197">"事業場"&amp;IF(LEN(AI643)=3,LEFT(AI643,1),LEFT(AI643,2))</f>
        <v>事業場99</v>
      </c>
    </row>
    <row r="644" spans="2:37" x14ac:dyDescent="0.15">
      <c r="B644" s="5">
        <v>44</v>
      </c>
      <c r="C644" s="5">
        <v>2</v>
      </c>
      <c r="D644" s="4">
        <v>4402</v>
      </c>
      <c r="E644" s="4">
        <f t="shared" si="180"/>
        <v>0</v>
      </c>
      <c r="F644" s="15">
        <f>'入力シート（2事業場以降）'!AQ698</f>
        <v>0</v>
      </c>
      <c r="G644" s="4" t="str">
        <f>IF(AND($E644=1,$F644=1),'入力シート（2事業場以降）'!F698,"")&amp;""</f>
        <v/>
      </c>
      <c r="H644" s="15" t="str">
        <f>IFERROR(VLOOKUP($G644,補助対象機器一覧20220831!$A$2:$K$200,3,FALSE),"")</f>
        <v/>
      </c>
      <c r="I644" s="15" t="str">
        <f>IFERROR(VLOOKUP($G644,補助対象機器一覧20220831!$A$2:$K$200,4,FALSE),"")</f>
        <v/>
      </c>
      <c r="J644" s="15" t="str">
        <f>IFERROR(VLOOKUP($G644,補助対象機器一覧20220831!$A$2:$K$200,5,FALSE),"")</f>
        <v/>
      </c>
      <c r="K644" s="15" t="str">
        <f>IFERROR(VLOOKUP($G644,補助対象機器一覧20220831!$A$2:$K$200,6,FALSE),"")</f>
        <v/>
      </c>
      <c r="L644" s="4" t="str">
        <f>IF(AND($E644=1,$F644=1),'入力シート（2事業場以降）'!J698,"")&amp;""</f>
        <v/>
      </c>
      <c r="M644" s="4" t="str">
        <f>IF(AND($E644=1,$F644=1),'入力シート（2事業場以降）'!N698,"")&amp;""</f>
        <v/>
      </c>
      <c r="N644" s="4" t="str">
        <f>IF(AND($E644=1,$F644=1),'入力シート（2事業場以降）'!R698,"")&amp;""</f>
        <v/>
      </c>
      <c r="O644" s="4" t="str">
        <f>IF(AND($E644=1,$F644=1),'入力シート（2事業場以降）'!V698,"")&amp;""</f>
        <v/>
      </c>
      <c r="P644" s="4" t="str">
        <f>IFERROR(VLOOKUP($G644,補助対象機器一覧20220831!$A$2:$K$200,10,FALSE),"")</f>
        <v/>
      </c>
      <c r="Q644" s="15" t="str">
        <f>IF(AND($E644=1,$F644=2),TRIM(CLEAN('入力シート（2事業場以降）'!J700)),"")&amp;""</f>
        <v/>
      </c>
      <c r="R644" s="15" t="str">
        <f>IF(AND($E644=1,$F644=2),TRIM(CLEAN('入力シート（2事業場以降）'!N700)),"")&amp;""</f>
        <v/>
      </c>
      <c r="S644" s="15" t="str">
        <f>IF(AND($E644=1,$F644=2),TRIM(CLEAN('入力シート（2事業場以降）'!R700)),"")&amp;""</f>
        <v/>
      </c>
      <c r="T644" s="15" t="str">
        <f>IF(AND($E644=1,$F644=2),TRIM(CLEAN('入力シート（2事業場以降）'!V700)),"")&amp;""</f>
        <v/>
      </c>
      <c r="W644" s="117" t="str">
        <f t="shared" ca="1" si="190"/>
        <v>OK</v>
      </c>
      <c r="X644" t="str">
        <f t="shared" ca="1" si="193"/>
        <v/>
      </c>
      <c r="Y644">
        <f t="shared" si="194"/>
        <v>1</v>
      </c>
      <c r="Z644">
        <f t="shared" si="166"/>
        <v>2</v>
      </c>
      <c r="AA644" s="36"/>
      <c r="AB644" t="str">
        <f t="shared" si="191"/>
        <v>コード番号を選択してください。</v>
      </c>
      <c r="AC644" t="s">
        <v>450</v>
      </c>
      <c r="AD644" s="36"/>
      <c r="AE644" t="str">
        <f>C643&amp;"台目の機器が入力されていません。"&amp;CHAR(10)&amp;"詰めて入力してください。"</f>
        <v>1台目の機器が入力されていません。
詰めて入力してください。</v>
      </c>
      <c r="AF644" t="s">
        <v>451</v>
      </c>
      <c r="AH644">
        <f t="shared" si="195"/>
        <v>9999</v>
      </c>
      <c r="AI644">
        <f>SMALL($AH$514:$AH$663,131)</f>
        <v>9999</v>
      </c>
      <c r="AJ644" t="e">
        <f t="shared" si="196"/>
        <v>#N/A</v>
      </c>
      <c r="AK644" t="str">
        <f t="shared" si="197"/>
        <v>事業場99</v>
      </c>
    </row>
    <row r="645" spans="2:37" x14ac:dyDescent="0.15">
      <c r="B645" s="5">
        <v>44</v>
      </c>
      <c r="C645" s="5">
        <v>3</v>
      </c>
      <c r="D645" s="4">
        <v>4403</v>
      </c>
      <c r="E645" s="4">
        <f t="shared" ref="E645:E663" si="198">IF(AND(B799&lt;=$G$60),1,0)</f>
        <v>0</v>
      </c>
      <c r="F645" s="15">
        <f>'入力シート（2事業場以降）'!AQ702</f>
        <v>0</v>
      </c>
      <c r="G645" s="4" t="str">
        <f>IF(AND($E645=1,$F645=1),'入力シート（2事業場以降）'!F702,"")&amp;""</f>
        <v/>
      </c>
      <c r="H645" s="15" t="str">
        <f>IFERROR(VLOOKUP($G645,補助対象機器一覧20220831!$A$2:$K$200,3,FALSE),"")</f>
        <v/>
      </c>
      <c r="I645" s="15" t="str">
        <f>IFERROR(VLOOKUP($G645,補助対象機器一覧20220831!$A$2:$K$200,4,FALSE),"")</f>
        <v/>
      </c>
      <c r="J645" s="15" t="str">
        <f>IFERROR(VLOOKUP($G645,補助対象機器一覧20220831!$A$2:$K$200,5,FALSE),"")</f>
        <v/>
      </c>
      <c r="K645" s="15" t="str">
        <f>IFERROR(VLOOKUP($G645,補助対象機器一覧20220831!$A$2:$K$200,6,FALSE),"")</f>
        <v/>
      </c>
      <c r="L645" s="4" t="str">
        <f>IF(AND($E645=1,$F645=1),'入力シート（2事業場以降）'!J702,"")&amp;""</f>
        <v/>
      </c>
      <c r="M645" s="4" t="str">
        <f>IF(AND($E645=1,$F645=1),'入力シート（2事業場以降）'!N702,"")&amp;""</f>
        <v/>
      </c>
      <c r="N645" s="4" t="str">
        <f>IF(AND($E645=1,$F645=1),'入力シート（2事業場以降）'!R702,"")&amp;""</f>
        <v/>
      </c>
      <c r="O645" s="4" t="str">
        <f>IF(AND($E645=1,$F645=1),'入力シート（2事業場以降）'!V702,"")&amp;""</f>
        <v/>
      </c>
      <c r="P645" s="4" t="str">
        <f>IFERROR(VLOOKUP($G645,補助対象機器一覧20220831!$A$2:$K$200,10,FALSE),"")</f>
        <v/>
      </c>
      <c r="Q645" s="15" t="str">
        <f>IF(AND($E645=1,$F645=2),TRIM(CLEAN('入力シート（2事業場以降）'!J704)),"")&amp;""</f>
        <v/>
      </c>
      <c r="R645" s="15" t="str">
        <f>IF(AND($E645=1,$F645=2),TRIM(CLEAN('入力シート（2事業場以降）'!N704)),"")&amp;""</f>
        <v/>
      </c>
      <c r="S645" s="15" t="str">
        <f>IF(AND($E645=1,$F645=2),TRIM(CLEAN('入力シート（2事業場以降）'!R704)),"")&amp;""</f>
        <v/>
      </c>
      <c r="T645" s="15" t="str">
        <f>IF(AND($E645=1,$F645=2),TRIM(CLEAN('入力シート（2事業場以降）'!V704)),"")&amp;""</f>
        <v/>
      </c>
      <c r="W645" s="117" t="str">
        <f t="shared" ca="1" si="190"/>
        <v>OK</v>
      </c>
      <c r="X645" t="str">
        <f t="shared" ca="1" si="193"/>
        <v/>
      </c>
      <c r="Y645">
        <f t="shared" si="194"/>
        <v>1</v>
      </c>
      <c r="Z645">
        <f t="shared" ref="Z645:Z663" si="199">IF(AND(C645=3,OR(Y643&lt;&gt;0,Z643&lt;&gt;0)),1,IF(AND(1&lt;C645,OR(Y644&lt;&gt;0,Z644&lt;&gt;0)),2,IF(AND(F645&lt;&gt;2,G645&lt;&gt;"",L645=""),3,IF(AND(F645=2,0&lt;COUNTIF(Q645:T645,"")),-1,0))))</f>
        <v>1</v>
      </c>
      <c r="AA645" s="36"/>
      <c r="AB645" t="str">
        <f t="shared" si="191"/>
        <v>コード番号を選択してください。</v>
      </c>
      <c r="AC645" t="s">
        <v>450</v>
      </c>
      <c r="AD645" t="str">
        <f t="shared" ref="AD645" si="200">AE644</f>
        <v>1台目の機器が入力されていません。
詰めて入力してください。</v>
      </c>
      <c r="AE645" t="str">
        <f>C644&amp;"台目の機器が入力されていません。"&amp;CHAR(10)&amp;"詰めて入力してください。"</f>
        <v>2台目の機器が入力されていません。
詰めて入力してください。</v>
      </c>
      <c r="AF645" t="s">
        <v>451</v>
      </c>
      <c r="AH645">
        <f t="shared" si="195"/>
        <v>9999</v>
      </c>
      <c r="AI645">
        <f>SMALL($AH$514:$AH$663,132)</f>
        <v>9999</v>
      </c>
      <c r="AJ645" t="e">
        <f t="shared" si="196"/>
        <v>#N/A</v>
      </c>
      <c r="AK645" t="str">
        <f t="shared" si="197"/>
        <v>事業場99</v>
      </c>
    </row>
    <row r="646" spans="2:37" x14ac:dyDescent="0.15">
      <c r="B646" s="5">
        <v>45</v>
      </c>
      <c r="C646" s="5">
        <v>1</v>
      </c>
      <c r="D646" s="4">
        <v>4501</v>
      </c>
      <c r="E646" s="4">
        <f t="shared" si="198"/>
        <v>0</v>
      </c>
      <c r="F646" s="15">
        <f>'入力シート（2事業場以降）'!AQ707</f>
        <v>0</v>
      </c>
      <c r="G646" s="4" t="str">
        <f>IF(AND($E646=1,$F646=1),'入力シート（2事業場以降）'!F707,"")&amp;""</f>
        <v/>
      </c>
      <c r="H646" s="15" t="str">
        <f>IFERROR(VLOOKUP($G646,補助対象機器一覧20220831!$A$2:$K$200,3,FALSE),"")</f>
        <v/>
      </c>
      <c r="I646" s="15" t="str">
        <f>IFERROR(VLOOKUP($G646,補助対象機器一覧20220831!$A$2:$K$200,4,FALSE),"")</f>
        <v/>
      </c>
      <c r="J646" s="15" t="str">
        <f>IFERROR(VLOOKUP($G646,補助対象機器一覧20220831!$A$2:$K$200,5,FALSE),"")</f>
        <v/>
      </c>
      <c r="K646" s="15" t="str">
        <f>IFERROR(VLOOKUP($G646,補助対象機器一覧20220831!$A$2:$K$200,6,FALSE),"")</f>
        <v/>
      </c>
      <c r="L646" s="4" t="str">
        <f>IF(AND($E646=1,$F646=1),'入力シート（2事業場以降）'!J707,"")&amp;""</f>
        <v/>
      </c>
      <c r="M646" s="4" t="str">
        <f>IF(AND($E646=1,$F646=1),'入力シート（2事業場以降）'!N707,"")&amp;""</f>
        <v/>
      </c>
      <c r="N646" s="4" t="str">
        <f>IF(AND($E646=1,$F646=1),'入力シート（2事業場以降）'!R707,"")&amp;""</f>
        <v/>
      </c>
      <c r="O646" s="4" t="str">
        <f>IF(AND($E646=1,$F646=1),'入力シート（2事業場以降）'!V707,"")&amp;""</f>
        <v/>
      </c>
      <c r="P646" s="4" t="str">
        <f>IFERROR(VLOOKUP($G646,補助対象機器一覧20220831!$A$2:$K$200,10,FALSE),"")</f>
        <v/>
      </c>
      <c r="Q646" s="15" t="str">
        <f>IF(AND($E646=1,$F646=2),TRIM(CLEAN('入力シート（2事業場以降）'!J709)),"")&amp;""</f>
        <v/>
      </c>
      <c r="R646" s="15" t="str">
        <f>IF(AND($E646=1,$F646=2),TRIM(CLEAN('入力シート（2事業場以降）'!N709)),"")&amp;""</f>
        <v/>
      </c>
      <c r="S646" s="15" t="str">
        <f>IF(AND($E646=1,$F646=2),TRIM(CLEAN('入力シート（2事業場以降）'!R709)),"")&amp;""</f>
        <v/>
      </c>
      <c r="T646" s="15" t="str">
        <f>IF(AND($E646=1,$F646=2),TRIM(CLEAN('入力シート（2事業場以降）'!V709)),"")&amp;""</f>
        <v/>
      </c>
      <c r="V646">
        <v>5</v>
      </c>
      <c r="W646" s="117" t="str">
        <f t="shared" ca="1" si="190"/>
        <v>OK</v>
      </c>
      <c r="X646" t="str">
        <f t="shared" ca="1" si="193"/>
        <v>交付申請時のコード番号を選択してください。
申請するコード番号が選べなかった場合は、コード番号の有無で「なし」を選択してください。</v>
      </c>
      <c r="Y646">
        <f t="shared" si="194"/>
        <v>1</v>
      </c>
      <c r="Z646">
        <f t="shared" si="199"/>
        <v>0</v>
      </c>
      <c r="AA646"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46" t="str">
        <f t="shared" si="191"/>
        <v>コード番号を選択してください。</v>
      </c>
      <c r="AC646" t="s">
        <v>450</v>
      </c>
      <c r="AD646" s="36"/>
      <c r="AE646" s="36"/>
      <c r="AF646" t="s">
        <v>451</v>
      </c>
      <c r="AH646">
        <f t="shared" si="195"/>
        <v>9999</v>
      </c>
      <c r="AI646">
        <f>SMALL($AH$514:$AH$663,133)</f>
        <v>9999</v>
      </c>
      <c r="AJ646" t="e">
        <f t="shared" si="196"/>
        <v>#N/A</v>
      </c>
      <c r="AK646" t="str">
        <f t="shared" si="197"/>
        <v>事業場99</v>
      </c>
    </row>
    <row r="647" spans="2:37" x14ac:dyDescent="0.15">
      <c r="B647" s="5">
        <v>45</v>
      </c>
      <c r="C647" s="5">
        <v>2</v>
      </c>
      <c r="D647" s="4">
        <v>4502</v>
      </c>
      <c r="E647" s="4">
        <f t="shared" si="198"/>
        <v>0</v>
      </c>
      <c r="F647" s="15">
        <f>'入力シート（2事業場以降）'!AQ711</f>
        <v>0</v>
      </c>
      <c r="G647" s="4" t="str">
        <f>IF(AND($E647=1,$F647=1),'入力シート（2事業場以降）'!F711,"")&amp;""</f>
        <v/>
      </c>
      <c r="H647" s="15" t="str">
        <f>IFERROR(VLOOKUP($G647,補助対象機器一覧20220831!$A$2:$K$200,3,FALSE),"")</f>
        <v/>
      </c>
      <c r="I647" s="15" t="str">
        <f>IFERROR(VLOOKUP($G647,補助対象機器一覧20220831!$A$2:$K$200,4,FALSE),"")</f>
        <v/>
      </c>
      <c r="J647" s="15" t="str">
        <f>IFERROR(VLOOKUP($G647,補助対象機器一覧20220831!$A$2:$K$200,5,FALSE),"")</f>
        <v/>
      </c>
      <c r="K647" s="15" t="str">
        <f>IFERROR(VLOOKUP($G647,補助対象機器一覧20220831!$A$2:$K$200,6,FALSE),"")</f>
        <v/>
      </c>
      <c r="L647" s="4" t="str">
        <f>IF(AND($E647=1,$F647=1),'入力シート（2事業場以降）'!J711,"")&amp;""</f>
        <v/>
      </c>
      <c r="M647" s="4" t="str">
        <f>IF(AND($E647=1,$F647=1),'入力シート（2事業場以降）'!N711,"")&amp;""</f>
        <v/>
      </c>
      <c r="N647" s="4" t="str">
        <f>IF(AND($E647=1,$F647=1),'入力シート（2事業場以降）'!R711,"")&amp;""</f>
        <v/>
      </c>
      <c r="O647" s="4" t="str">
        <f>IF(AND($E647=1,$F647=1),'入力シート（2事業場以降）'!V711,"")&amp;""</f>
        <v/>
      </c>
      <c r="P647" s="4" t="str">
        <f>IFERROR(VLOOKUP($G647,補助対象機器一覧20220831!$A$2:$K$200,10,FALSE),"")</f>
        <v/>
      </c>
      <c r="Q647" s="15" t="str">
        <f>IF(AND($E647=1,$F647=2),TRIM(CLEAN('入力シート（2事業場以降）'!J713)),"")&amp;""</f>
        <v/>
      </c>
      <c r="R647" s="15" t="str">
        <f>IF(AND($E647=1,$F647=2),TRIM(CLEAN('入力シート（2事業場以降）'!N713)),"")&amp;""</f>
        <v/>
      </c>
      <c r="S647" s="15" t="str">
        <f>IF(AND($E647=1,$F647=2),TRIM(CLEAN('入力シート（2事業場以降）'!R713)),"")&amp;""</f>
        <v/>
      </c>
      <c r="T647" s="15" t="str">
        <f>IF(AND($E647=1,$F647=2),TRIM(CLEAN('入力シート（2事業場以降）'!V713)),"")&amp;""</f>
        <v/>
      </c>
      <c r="W647" s="117" t="str">
        <f t="shared" ca="1" si="190"/>
        <v>OK</v>
      </c>
      <c r="X647" t="str">
        <f t="shared" ca="1" si="193"/>
        <v/>
      </c>
      <c r="Y647">
        <f t="shared" si="194"/>
        <v>1</v>
      </c>
      <c r="Z647">
        <f t="shared" si="199"/>
        <v>2</v>
      </c>
      <c r="AA647" s="36"/>
      <c r="AB647" t="str">
        <f t="shared" si="191"/>
        <v>コード番号を選択してください。</v>
      </c>
      <c r="AC647" t="s">
        <v>450</v>
      </c>
      <c r="AD647" s="36"/>
      <c r="AE647" t="str">
        <f>C646&amp;"台目の機器が入力されていません。"&amp;CHAR(10)&amp;"詰めて入力してください。"</f>
        <v>1台目の機器が入力されていません。
詰めて入力してください。</v>
      </c>
      <c r="AF647" t="s">
        <v>451</v>
      </c>
      <c r="AH647">
        <f t="shared" si="195"/>
        <v>9999</v>
      </c>
      <c r="AI647">
        <f>SMALL($AH$514:$AH$663,134)</f>
        <v>9999</v>
      </c>
      <c r="AJ647" t="e">
        <f t="shared" si="196"/>
        <v>#N/A</v>
      </c>
      <c r="AK647" t="str">
        <f t="shared" si="197"/>
        <v>事業場99</v>
      </c>
    </row>
    <row r="648" spans="2:37" x14ac:dyDescent="0.15">
      <c r="B648" s="5">
        <v>45</v>
      </c>
      <c r="C648" s="5">
        <v>3</v>
      </c>
      <c r="D648" s="4">
        <v>4503</v>
      </c>
      <c r="E648" s="4">
        <f t="shared" si="198"/>
        <v>0</v>
      </c>
      <c r="F648" s="15">
        <f>'入力シート（2事業場以降）'!AQ715</f>
        <v>0</v>
      </c>
      <c r="G648" s="4" t="str">
        <f>IF(AND($E648=1,$F648=1),'入力シート（2事業場以降）'!F715,"")&amp;""</f>
        <v/>
      </c>
      <c r="H648" s="15" t="str">
        <f>IFERROR(VLOOKUP($G648,補助対象機器一覧20220831!$A$2:$K$200,3,FALSE),"")</f>
        <v/>
      </c>
      <c r="I648" s="15" t="str">
        <f>IFERROR(VLOOKUP($G648,補助対象機器一覧20220831!$A$2:$K$200,4,FALSE),"")</f>
        <v/>
      </c>
      <c r="J648" s="15" t="str">
        <f>IFERROR(VLOOKUP($G648,補助対象機器一覧20220831!$A$2:$K$200,5,FALSE),"")</f>
        <v/>
      </c>
      <c r="K648" s="15" t="str">
        <f>IFERROR(VLOOKUP($G648,補助対象機器一覧20220831!$A$2:$K$200,6,FALSE),"")</f>
        <v/>
      </c>
      <c r="L648" s="4" t="str">
        <f>IF(AND($E648=1,$F648=1),'入力シート（2事業場以降）'!J715,"")&amp;""</f>
        <v/>
      </c>
      <c r="M648" s="4" t="str">
        <f>IF(AND($E648=1,$F648=1),'入力シート（2事業場以降）'!N715,"")&amp;""</f>
        <v/>
      </c>
      <c r="N648" s="4" t="str">
        <f>IF(AND($E648=1,$F648=1),'入力シート（2事業場以降）'!R715,"")&amp;""</f>
        <v/>
      </c>
      <c r="O648" s="4" t="str">
        <f>IF(AND($E648=1,$F648=1),'入力シート（2事業場以降）'!V715,"")&amp;""</f>
        <v/>
      </c>
      <c r="P648" s="4" t="str">
        <f>IFERROR(VLOOKUP($G648,補助対象機器一覧20220831!$A$2:$K$200,10,FALSE),"")</f>
        <v/>
      </c>
      <c r="Q648" s="15" t="str">
        <f>IF(AND($E648=1,$F648=2),TRIM(CLEAN('入力シート（2事業場以降）'!J717)),"")&amp;""</f>
        <v/>
      </c>
      <c r="R648" s="15" t="str">
        <f>IF(AND($E648=1,$F648=2),TRIM(CLEAN('入力シート（2事業場以降）'!N717)),"")&amp;""</f>
        <v/>
      </c>
      <c r="S648" s="15" t="str">
        <f>IF(AND($E648=1,$F648=2),TRIM(CLEAN('入力シート（2事業場以降）'!R717)),"")&amp;""</f>
        <v/>
      </c>
      <c r="T648" s="15" t="str">
        <f>IF(AND($E648=1,$F648=2),TRIM(CLEAN('入力シート（2事業場以降）'!V717)),"")&amp;""</f>
        <v/>
      </c>
      <c r="W648" s="117" t="str">
        <f t="shared" ca="1" si="190"/>
        <v>OK</v>
      </c>
      <c r="X648" t="str">
        <f t="shared" ca="1" si="193"/>
        <v/>
      </c>
      <c r="Y648">
        <f t="shared" si="194"/>
        <v>1</v>
      </c>
      <c r="Z648">
        <f t="shared" si="199"/>
        <v>1</v>
      </c>
      <c r="AA648" s="36"/>
      <c r="AB648" t="str">
        <f t="shared" si="191"/>
        <v>コード番号を選択してください。</v>
      </c>
      <c r="AC648" t="s">
        <v>450</v>
      </c>
      <c r="AD648" t="str">
        <f t="shared" ref="AD648" si="201">AE647</f>
        <v>1台目の機器が入力されていません。
詰めて入力してください。</v>
      </c>
      <c r="AE648" t="str">
        <f>C647&amp;"台目の機器が入力されていません。"&amp;CHAR(10)&amp;"詰めて入力してください。"</f>
        <v>2台目の機器が入力されていません。
詰めて入力してください。</v>
      </c>
      <c r="AF648" t="s">
        <v>451</v>
      </c>
      <c r="AH648">
        <f t="shared" si="195"/>
        <v>9999</v>
      </c>
      <c r="AI648">
        <f>SMALL($AH$514:$AH$663,135)</f>
        <v>9999</v>
      </c>
      <c r="AJ648" t="e">
        <f t="shared" si="196"/>
        <v>#N/A</v>
      </c>
      <c r="AK648" t="str">
        <f t="shared" si="197"/>
        <v>事業場99</v>
      </c>
    </row>
    <row r="649" spans="2:37" x14ac:dyDescent="0.15">
      <c r="B649" s="5">
        <v>46</v>
      </c>
      <c r="C649" s="5">
        <v>1</v>
      </c>
      <c r="D649" s="4">
        <v>4601</v>
      </c>
      <c r="E649" s="4">
        <f t="shared" si="198"/>
        <v>0</v>
      </c>
      <c r="F649" s="15">
        <f>'入力シート（2事業場以降）'!AQ720</f>
        <v>0</v>
      </c>
      <c r="G649" s="4" t="str">
        <f>IF(AND($E649=1,$F649=1),'入力シート（2事業場以降）'!F720,"")&amp;""</f>
        <v/>
      </c>
      <c r="H649" s="15" t="str">
        <f>IFERROR(VLOOKUP($G649,補助対象機器一覧20220831!$A$2:$K$200,3,FALSE),"")</f>
        <v/>
      </c>
      <c r="I649" s="15" t="str">
        <f>IFERROR(VLOOKUP($G649,補助対象機器一覧20220831!$A$2:$K$200,4,FALSE),"")</f>
        <v/>
      </c>
      <c r="J649" s="15" t="str">
        <f>IFERROR(VLOOKUP($G649,補助対象機器一覧20220831!$A$2:$K$200,5,FALSE),"")</f>
        <v/>
      </c>
      <c r="K649" s="15" t="str">
        <f>IFERROR(VLOOKUP($G649,補助対象機器一覧20220831!$A$2:$K$200,6,FALSE),"")</f>
        <v/>
      </c>
      <c r="L649" s="4" t="str">
        <f>IF(AND($E649=1,$F649=1),'入力シート（2事業場以降）'!J720,"")&amp;""</f>
        <v/>
      </c>
      <c r="M649" s="4" t="str">
        <f>IF(AND($E649=1,$F649=1),'入力シート（2事業場以降）'!N720,"")&amp;""</f>
        <v/>
      </c>
      <c r="N649" s="4" t="str">
        <f>IF(AND($E649=1,$F649=1),'入力シート（2事業場以降）'!R720,"")&amp;""</f>
        <v/>
      </c>
      <c r="O649" s="4" t="str">
        <f>IF(AND($E649=1,$F649=1),'入力シート（2事業場以降）'!V720,"")&amp;""</f>
        <v/>
      </c>
      <c r="P649" s="4" t="str">
        <f>IFERROR(VLOOKUP($G649,補助対象機器一覧20220831!$A$2:$K$200,10,FALSE),"")</f>
        <v/>
      </c>
      <c r="Q649" s="15" t="str">
        <f>IF(AND($E649=1,$F649=2),TRIM(CLEAN('入力シート（2事業場以降）'!J722)),"")&amp;""</f>
        <v/>
      </c>
      <c r="R649" s="15" t="str">
        <f>IF(AND($E649=1,$F649=2),TRIM(CLEAN('入力シート（2事業場以降）'!N722)),"")&amp;""</f>
        <v/>
      </c>
      <c r="S649" s="15" t="str">
        <f>IF(AND($E649=1,$F649=2),TRIM(CLEAN('入力シート（2事業場以降）'!R722)),"")&amp;""</f>
        <v/>
      </c>
      <c r="T649" s="15" t="str">
        <f>IF(AND($E649=1,$F649=2),TRIM(CLEAN('入力シート（2事業場以降）'!V722)),"")&amp;""</f>
        <v/>
      </c>
      <c r="V649">
        <v>6</v>
      </c>
      <c r="W649" s="117" t="str">
        <f t="shared" ca="1" si="190"/>
        <v>OK</v>
      </c>
      <c r="X649" t="str">
        <f t="shared" ca="1" si="193"/>
        <v>交付申請時のコード番号を選択してください。
申請するコード番号が選べなかった場合は、コード番号の有無で「なし」を選択してください。</v>
      </c>
      <c r="Y649">
        <f t="shared" si="194"/>
        <v>1</v>
      </c>
      <c r="Z649">
        <f t="shared" si="199"/>
        <v>0</v>
      </c>
      <c r="AA649"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49" t="str">
        <f t="shared" si="191"/>
        <v>コード番号を選択してください。</v>
      </c>
      <c r="AC649" t="s">
        <v>450</v>
      </c>
      <c r="AD649" s="36"/>
      <c r="AE649" s="36"/>
      <c r="AF649" t="s">
        <v>451</v>
      </c>
      <c r="AH649">
        <f t="shared" si="195"/>
        <v>9999</v>
      </c>
      <c r="AI649">
        <f>SMALL($AH$514:$AH$663,136)</f>
        <v>9999</v>
      </c>
      <c r="AJ649" t="e">
        <f t="shared" si="196"/>
        <v>#N/A</v>
      </c>
      <c r="AK649" t="str">
        <f t="shared" si="197"/>
        <v>事業場99</v>
      </c>
    </row>
    <row r="650" spans="2:37" x14ac:dyDescent="0.15">
      <c r="B650" s="5">
        <v>46</v>
      </c>
      <c r="C650" s="5">
        <v>2</v>
      </c>
      <c r="D650" s="4">
        <v>4602</v>
      </c>
      <c r="E650" s="4">
        <f t="shared" si="198"/>
        <v>0</v>
      </c>
      <c r="F650" s="15">
        <f>'入力シート（2事業場以降）'!AQ724</f>
        <v>0</v>
      </c>
      <c r="G650" s="4" t="str">
        <f>IF(AND($E650=1,$F650=1),'入力シート（2事業場以降）'!F724,"")&amp;""</f>
        <v/>
      </c>
      <c r="H650" s="15" t="str">
        <f>IFERROR(VLOOKUP($G650,補助対象機器一覧20220831!$A$2:$K$200,3,FALSE),"")</f>
        <v/>
      </c>
      <c r="I650" s="15" t="str">
        <f>IFERROR(VLOOKUP($G650,補助対象機器一覧20220831!$A$2:$K$200,4,FALSE),"")</f>
        <v/>
      </c>
      <c r="J650" s="15" t="str">
        <f>IFERROR(VLOOKUP($G650,補助対象機器一覧20220831!$A$2:$K$200,5,FALSE),"")</f>
        <v/>
      </c>
      <c r="K650" s="15" t="str">
        <f>IFERROR(VLOOKUP($G650,補助対象機器一覧20220831!$A$2:$K$200,6,FALSE),"")</f>
        <v/>
      </c>
      <c r="L650" s="4" t="str">
        <f>IF(AND($E650=1,$F650=1),'入力シート（2事業場以降）'!J724,"")&amp;""</f>
        <v/>
      </c>
      <c r="M650" s="4" t="str">
        <f>IF(AND($E650=1,$F650=1),'入力シート（2事業場以降）'!N724,"")&amp;""</f>
        <v/>
      </c>
      <c r="N650" s="4" t="str">
        <f>IF(AND($E650=1,$F650=1),'入力シート（2事業場以降）'!R724,"")&amp;""</f>
        <v/>
      </c>
      <c r="O650" s="4" t="str">
        <f>IF(AND($E650=1,$F650=1),'入力シート（2事業場以降）'!V724,"")&amp;""</f>
        <v/>
      </c>
      <c r="P650" s="4" t="str">
        <f>IFERROR(VLOOKUP($G650,補助対象機器一覧20220831!$A$2:$K$200,10,FALSE),"")</f>
        <v/>
      </c>
      <c r="Q650" s="15" t="str">
        <f>IF(AND($E650=1,$F650=2),TRIM(CLEAN('入力シート（2事業場以降）'!J726)),"")&amp;""</f>
        <v/>
      </c>
      <c r="R650" s="15" t="str">
        <f>IF(AND($E650=1,$F650=2),TRIM(CLEAN('入力シート（2事業場以降）'!N726)),"")&amp;""</f>
        <v/>
      </c>
      <c r="S650" s="15" t="str">
        <f>IF(AND($E650=1,$F650=2),TRIM(CLEAN('入力シート（2事業場以降）'!R726)),"")&amp;""</f>
        <v/>
      </c>
      <c r="T650" s="15" t="str">
        <f>IF(AND($E650=1,$F650=2),TRIM(CLEAN('入力シート（2事業場以降）'!V726)),"")&amp;""</f>
        <v/>
      </c>
      <c r="W650" s="117" t="str">
        <f t="shared" ca="1" si="190"/>
        <v>OK</v>
      </c>
      <c r="X650" t="str">
        <f t="shared" ca="1" si="193"/>
        <v/>
      </c>
      <c r="Y650">
        <f t="shared" si="194"/>
        <v>1</v>
      </c>
      <c r="Z650">
        <f t="shared" si="199"/>
        <v>2</v>
      </c>
      <c r="AA650" s="36"/>
      <c r="AB650" t="str">
        <f t="shared" si="191"/>
        <v>コード番号を選択してください。</v>
      </c>
      <c r="AC650" t="s">
        <v>450</v>
      </c>
      <c r="AD650" s="36"/>
      <c r="AE650" t="str">
        <f>C649&amp;"台目の機器が入力されていません。"&amp;CHAR(10)&amp;"詰めて入力してください。"</f>
        <v>1台目の機器が入力されていません。
詰めて入力してください。</v>
      </c>
      <c r="AF650" t="s">
        <v>451</v>
      </c>
      <c r="AH650">
        <f t="shared" si="195"/>
        <v>9999</v>
      </c>
      <c r="AI650">
        <f>SMALL($AH$514:$AH$663,137)</f>
        <v>9999</v>
      </c>
      <c r="AJ650" t="e">
        <f t="shared" si="196"/>
        <v>#N/A</v>
      </c>
      <c r="AK650" t="str">
        <f t="shared" si="197"/>
        <v>事業場99</v>
      </c>
    </row>
    <row r="651" spans="2:37" x14ac:dyDescent="0.15">
      <c r="B651" s="5">
        <v>46</v>
      </c>
      <c r="C651" s="5">
        <v>3</v>
      </c>
      <c r="D651" s="4">
        <v>4603</v>
      </c>
      <c r="E651" s="4">
        <f t="shared" si="198"/>
        <v>0</v>
      </c>
      <c r="F651" s="15">
        <f>'入力シート（2事業場以降）'!AQ728</f>
        <v>0</v>
      </c>
      <c r="G651" s="4" t="str">
        <f>IF(AND($E651=1,$F651=1),'入力シート（2事業場以降）'!F728,"")&amp;""</f>
        <v/>
      </c>
      <c r="H651" s="15" t="str">
        <f>IFERROR(VLOOKUP($G651,補助対象機器一覧20220831!$A$2:$K$200,3,FALSE),"")</f>
        <v/>
      </c>
      <c r="I651" s="15" t="str">
        <f>IFERROR(VLOOKUP($G651,補助対象機器一覧20220831!$A$2:$K$200,4,FALSE),"")</f>
        <v/>
      </c>
      <c r="J651" s="15" t="str">
        <f>IFERROR(VLOOKUP($G651,補助対象機器一覧20220831!$A$2:$K$200,5,FALSE),"")</f>
        <v/>
      </c>
      <c r="K651" s="15" t="str">
        <f>IFERROR(VLOOKUP($G651,補助対象機器一覧20220831!$A$2:$K$200,6,FALSE),"")</f>
        <v/>
      </c>
      <c r="L651" s="4" t="str">
        <f>IF(AND($E651=1,$F651=1),'入力シート（2事業場以降）'!J728,"")&amp;""</f>
        <v/>
      </c>
      <c r="M651" s="4" t="str">
        <f>IF(AND($E651=1,$F651=1),'入力シート（2事業場以降）'!N728,"")&amp;""</f>
        <v/>
      </c>
      <c r="N651" s="4" t="str">
        <f>IF(AND($E651=1,$F651=1),'入力シート（2事業場以降）'!R728,"")&amp;""</f>
        <v/>
      </c>
      <c r="O651" s="4" t="str">
        <f>IF(AND($E651=1,$F651=1),'入力シート（2事業場以降）'!V728,"")&amp;""</f>
        <v/>
      </c>
      <c r="P651" s="4" t="str">
        <f>IFERROR(VLOOKUP($G651,補助対象機器一覧20220831!$A$2:$K$200,10,FALSE),"")</f>
        <v/>
      </c>
      <c r="Q651" s="15" t="str">
        <f>IF(AND($E651=1,$F651=2),TRIM(CLEAN('入力シート（2事業場以降）'!J730)),"")&amp;""</f>
        <v/>
      </c>
      <c r="R651" s="15" t="str">
        <f>IF(AND($E651=1,$F651=2),TRIM(CLEAN('入力シート（2事業場以降）'!N730)),"")&amp;""</f>
        <v/>
      </c>
      <c r="S651" s="15" t="str">
        <f>IF(AND($E651=1,$F651=2),TRIM(CLEAN('入力シート（2事業場以降）'!R730)),"")&amp;""</f>
        <v/>
      </c>
      <c r="T651" s="15" t="str">
        <f>IF(AND($E651=1,$F651=2),TRIM(CLEAN('入力シート（2事業場以降）'!V730)),"")&amp;""</f>
        <v/>
      </c>
      <c r="W651" s="117" t="str">
        <f t="shared" ca="1" si="190"/>
        <v>OK</v>
      </c>
      <c r="X651" t="str">
        <f t="shared" ca="1" si="193"/>
        <v/>
      </c>
      <c r="Y651">
        <f t="shared" si="194"/>
        <v>1</v>
      </c>
      <c r="Z651">
        <f t="shared" si="199"/>
        <v>1</v>
      </c>
      <c r="AA651" s="36"/>
      <c r="AB651" t="str">
        <f t="shared" si="191"/>
        <v>コード番号を選択してください。</v>
      </c>
      <c r="AC651" t="s">
        <v>450</v>
      </c>
      <c r="AD651" t="str">
        <f t="shared" ref="AD651" si="202">AE650</f>
        <v>1台目の機器が入力されていません。
詰めて入力してください。</v>
      </c>
      <c r="AE651" t="str">
        <f>C650&amp;"台目の機器が入力されていません。"&amp;CHAR(10)&amp;"詰めて入力してください。"</f>
        <v>2台目の機器が入力されていません。
詰めて入力してください。</v>
      </c>
      <c r="AF651" t="s">
        <v>451</v>
      </c>
      <c r="AH651">
        <f t="shared" si="195"/>
        <v>9999</v>
      </c>
      <c r="AI651">
        <f>SMALL($AH$514:$AH$663,138)</f>
        <v>9999</v>
      </c>
      <c r="AJ651" t="e">
        <f t="shared" si="196"/>
        <v>#N/A</v>
      </c>
      <c r="AK651" t="str">
        <f t="shared" si="197"/>
        <v>事業場99</v>
      </c>
    </row>
    <row r="652" spans="2:37" x14ac:dyDescent="0.15">
      <c r="B652" s="5">
        <v>47</v>
      </c>
      <c r="C652" s="5">
        <v>1</v>
      </c>
      <c r="D652" s="4">
        <v>4701</v>
      </c>
      <c r="E652" s="4">
        <f t="shared" si="198"/>
        <v>0</v>
      </c>
      <c r="F652" s="15">
        <f>'入力シート（2事業場以降）'!AQ733</f>
        <v>0</v>
      </c>
      <c r="G652" s="4" t="str">
        <f>IF(AND($E652=1,$F652=1),'入力シート（2事業場以降）'!F733,"")&amp;""</f>
        <v/>
      </c>
      <c r="H652" s="15" t="str">
        <f>IFERROR(VLOOKUP($G652,補助対象機器一覧20220831!$A$2:$K$200,3,FALSE),"")</f>
        <v/>
      </c>
      <c r="I652" s="15" t="str">
        <f>IFERROR(VLOOKUP($G652,補助対象機器一覧20220831!$A$2:$K$200,4,FALSE),"")</f>
        <v/>
      </c>
      <c r="J652" s="15" t="str">
        <f>IFERROR(VLOOKUP($G652,補助対象機器一覧20220831!$A$2:$K$200,5,FALSE),"")</f>
        <v/>
      </c>
      <c r="K652" s="15" t="str">
        <f>IFERROR(VLOOKUP($G652,補助対象機器一覧20220831!$A$2:$K$200,6,FALSE),"")</f>
        <v/>
      </c>
      <c r="L652" s="4" t="str">
        <f>IF(AND($E652=1,$F652=1),'入力シート（2事業場以降）'!J733,"")&amp;""</f>
        <v/>
      </c>
      <c r="M652" s="4" t="str">
        <f>IF(AND($E652=1,$F652=1),'入力シート（2事業場以降）'!N733,"")&amp;""</f>
        <v/>
      </c>
      <c r="N652" s="4" t="str">
        <f>IF(AND($E652=1,$F652=1),'入力シート（2事業場以降）'!R733,"")&amp;""</f>
        <v/>
      </c>
      <c r="O652" s="4" t="str">
        <f>IF(AND($E652=1,$F652=1),'入力シート（2事業場以降）'!V733,"")&amp;""</f>
        <v/>
      </c>
      <c r="P652" s="4" t="str">
        <f>IFERROR(VLOOKUP($G652,補助対象機器一覧20220831!$A$2:$K$200,10,FALSE),"")</f>
        <v/>
      </c>
      <c r="Q652" s="15" t="str">
        <f>IF(AND($E652=1,$F652=2),TRIM(CLEAN('入力シート（2事業場以降）'!J735)),"")&amp;""</f>
        <v/>
      </c>
      <c r="R652" s="15" t="str">
        <f>IF(AND($E652=1,$F652=2),TRIM(CLEAN('入力シート（2事業場以降）'!N735)),"")&amp;""</f>
        <v/>
      </c>
      <c r="S652" s="15" t="str">
        <f>IF(AND($E652=1,$F652=2),TRIM(CLEAN('入力シート（2事業場以降）'!R735)),"")&amp;""</f>
        <v/>
      </c>
      <c r="T652" s="15" t="str">
        <f>IF(AND($E652=1,$F652=2),TRIM(CLEAN('入力シート（2事業場以降）'!V735)),"")&amp;""</f>
        <v/>
      </c>
      <c r="V652">
        <v>7</v>
      </c>
      <c r="W652" s="117" t="str">
        <f t="shared" ca="1" si="190"/>
        <v>OK</v>
      </c>
      <c r="X652" t="str">
        <f t="shared" ca="1" si="193"/>
        <v>交付申請時のコード番号を選択してください。
申請するコード番号が選べなかった場合は、コード番号の有無で「なし」を選択してください。</v>
      </c>
      <c r="Y652">
        <f t="shared" si="194"/>
        <v>1</v>
      </c>
      <c r="Z652">
        <f t="shared" si="199"/>
        <v>0</v>
      </c>
      <c r="AA652"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52" t="str">
        <f t="shared" si="191"/>
        <v>コード番号を選択してください。</v>
      </c>
      <c r="AC652" t="s">
        <v>450</v>
      </c>
      <c r="AD652" s="36"/>
      <c r="AE652" s="36"/>
      <c r="AF652" t="s">
        <v>451</v>
      </c>
      <c r="AH652">
        <f t="shared" si="195"/>
        <v>9999</v>
      </c>
      <c r="AI652">
        <f>SMALL($AH$514:$AH$663,139)</f>
        <v>9999</v>
      </c>
      <c r="AJ652" t="e">
        <f t="shared" si="196"/>
        <v>#N/A</v>
      </c>
      <c r="AK652" t="str">
        <f t="shared" si="197"/>
        <v>事業場99</v>
      </c>
    </row>
    <row r="653" spans="2:37" x14ac:dyDescent="0.15">
      <c r="B653" s="5">
        <v>47</v>
      </c>
      <c r="C653" s="5">
        <v>2</v>
      </c>
      <c r="D653" s="4">
        <v>4702</v>
      </c>
      <c r="E653" s="4">
        <f t="shared" si="198"/>
        <v>0</v>
      </c>
      <c r="F653" s="15">
        <f>'入力シート（2事業場以降）'!AQ737</f>
        <v>0</v>
      </c>
      <c r="G653" s="4" t="str">
        <f>IF(AND($E653=1,$F653=1),'入力シート（2事業場以降）'!F737,"")&amp;""</f>
        <v/>
      </c>
      <c r="H653" s="15" t="str">
        <f>IFERROR(VLOOKUP($G653,補助対象機器一覧20220831!$A$2:$K$200,3,FALSE),"")</f>
        <v/>
      </c>
      <c r="I653" s="15" t="str">
        <f>IFERROR(VLOOKUP($G653,補助対象機器一覧20220831!$A$2:$K$200,4,FALSE),"")</f>
        <v/>
      </c>
      <c r="J653" s="15" t="str">
        <f>IFERROR(VLOOKUP($G653,補助対象機器一覧20220831!$A$2:$K$200,5,FALSE),"")</f>
        <v/>
      </c>
      <c r="K653" s="15" t="str">
        <f>IFERROR(VLOOKUP($G653,補助対象機器一覧20220831!$A$2:$K$200,6,FALSE),"")</f>
        <v/>
      </c>
      <c r="L653" s="4" t="str">
        <f>IF(AND($E653=1,$F653=1),'入力シート（2事業場以降）'!J737,"")&amp;""</f>
        <v/>
      </c>
      <c r="M653" s="4" t="str">
        <f>IF(AND($E653=1,$F653=1),'入力シート（2事業場以降）'!N737,"")&amp;""</f>
        <v/>
      </c>
      <c r="N653" s="4" t="str">
        <f>IF(AND($E653=1,$F653=1),'入力シート（2事業場以降）'!R737,"")&amp;""</f>
        <v/>
      </c>
      <c r="O653" s="4" t="str">
        <f>IF(AND($E653=1,$F653=1),'入力シート（2事業場以降）'!V737,"")&amp;""</f>
        <v/>
      </c>
      <c r="P653" s="4" t="str">
        <f>IFERROR(VLOOKUP($G653,補助対象機器一覧20220831!$A$2:$K$200,10,FALSE),"")</f>
        <v/>
      </c>
      <c r="Q653" s="15" t="str">
        <f>IF(AND($E653=1,$F653=2),TRIM(CLEAN('入力シート（2事業場以降）'!J739)),"")&amp;""</f>
        <v/>
      </c>
      <c r="R653" s="15" t="str">
        <f>IF(AND($E653=1,$F653=2),TRIM(CLEAN('入力シート（2事業場以降）'!N739)),"")&amp;""</f>
        <v/>
      </c>
      <c r="S653" s="15" t="str">
        <f>IF(AND($E653=1,$F653=2),TRIM(CLEAN('入力シート（2事業場以降）'!R739)),"")&amp;""</f>
        <v/>
      </c>
      <c r="T653" s="15" t="str">
        <f>IF(AND($E653=1,$F653=2),TRIM(CLEAN('入力シート（2事業場以降）'!V739)),"")&amp;""</f>
        <v/>
      </c>
      <c r="W653" s="117" t="str">
        <f t="shared" ca="1" si="190"/>
        <v>OK</v>
      </c>
      <c r="X653" t="str">
        <f t="shared" ca="1" si="193"/>
        <v/>
      </c>
      <c r="Y653">
        <f t="shared" si="194"/>
        <v>1</v>
      </c>
      <c r="Z653">
        <f t="shared" si="199"/>
        <v>2</v>
      </c>
      <c r="AA653" s="36"/>
      <c r="AB653" t="str">
        <f t="shared" si="191"/>
        <v>コード番号を選択してください。</v>
      </c>
      <c r="AC653" t="s">
        <v>450</v>
      </c>
      <c r="AD653" s="36"/>
      <c r="AE653" t="str">
        <f>C652&amp;"台目の機器が入力されていません。"&amp;CHAR(10)&amp;"詰めて入力してください。"</f>
        <v>1台目の機器が入力されていません。
詰めて入力してください。</v>
      </c>
      <c r="AF653" t="s">
        <v>451</v>
      </c>
      <c r="AH653">
        <f t="shared" si="195"/>
        <v>9999</v>
      </c>
      <c r="AI653">
        <f>SMALL($AH$514:$AH$663,140)</f>
        <v>9999</v>
      </c>
      <c r="AJ653" t="e">
        <f t="shared" si="196"/>
        <v>#N/A</v>
      </c>
      <c r="AK653" t="str">
        <f t="shared" si="197"/>
        <v>事業場99</v>
      </c>
    </row>
    <row r="654" spans="2:37" x14ac:dyDescent="0.15">
      <c r="B654" s="5">
        <v>47</v>
      </c>
      <c r="C654" s="5">
        <v>3</v>
      </c>
      <c r="D654" s="4">
        <v>4703</v>
      </c>
      <c r="E654" s="4">
        <f t="shared" si="198"/>
        <v>0</v>
      </c>
      <c r="F654" s="15">
        <f>'入力シート（2事業場以降）'!AQ741</f>
        <v>0</v>
      </c>
      <c r="G654" s="4" t="str">
        <f>IF(AND($E654=1,$F654=1),'入力シート（2事業場以降）'!F741,"")&amp;""</f>
        <v/>
      </c>
      <c r="H654" s="15" t="str">
        <f>IFERROR(VLOOKUP($G654,補助対象機器一覧20220831!$A$2:$K$200,3,FALSE),"")</f>
        <v/>
      </c>
      <c r="I654" s="15" t="str">
        <f>IFERROR(VLOOKUP($G654,補助対象機器一覧20220831!$A$2:$K$200,4,FALSE),"")</f>
        <v/>
      </c>
      <c r="J654" s="15" t="str">
        <f>IFERROR(VLOOKUP($G654,補助対象機器一覧20220831!$A$2:$K$200,5,FALSE),"")</f>
        <v/>
      </c>
      <c r="K654" s="15" t="str">
        <f>IFERROR(VLOOKUP($G654,補助対象機器一覧20220831!$A$2:$K$200,6,FALSE),"")</f>
        <v/>
      </c>
      <c r="L654" s="4" t="str">
        <f>IF(AND($E654=1,$F654=1),'入力シート（2事業場以降）'!J741,"")&amp;""</f>
        <v/>
      </c>
      <c r="M654" s="4" t="str">
        <f>IF(AND($E654=1,$F654=1),'入力シート（2事業場以降）'!N741,"")&amp;""</f>
        <v/>
      </c>
      <c r="N654" s="4" t="str">
        <f>IF(AND($E654=1,$F654=1),'入力シート（2事業場以降）'!R741,"")&amp;""</f>
        <v/>
      </c>
      <c r="O654" s="4" t="str">
        <f>IF(AND($E654=1,$F654=1),'入力シート（2事業場以降）'!V741,"")&amp;""</f>
        <v/>
      </c>
      <c r="P654" s="4" t="str">
        <f>IFERROR(VLOOKUP($G654,補助対象機器一覧20220831!$A$2:$K$200,10,FALSE),"")</f>
        <v/>
      </c>
      <c r="Q654" s="15" t="str">
        <f>IF(AND($E654=1,$F654=2),TRIM(CLEAN('入力シート（2事業場以降）'!J743)),"")&amp;""</f>
        <v/>
      </c>
      <c r="R654" s="15" t="str">
        <f>IF(AND($E654=1,$F654=2),TRIM(CLEAN('入力シート（2事業場以降）'!N743)),"")&amp;""</f>
        <v/>
      </c>
      <c r="S654" s="15" t="str">
        <f>IF(AND($E654=1,$F654=2),TRIM(CLEAN('入力シート（2事業場以降）'!R743)),"")&amp;""</f>
        <v/>
      </c>
      <c r="T654" s="15" t="str">
        <f>IF(AND($E654=1,$F654=2),TRIM(CLEAN('入力シート（2事業場以降）'!V743)),"")&amp;""</f>
        <v/>
      </c>
      <c r="W654" s="117" t="str">
        <f t="shared" ca="1" si="190"/>
        <v>OK</v>
      </c>
      <c r="X654" t="str">
        <f t="shared" ca="1" si="193"/>
        <v/>
      </c>
      <c r="Y654">
        <f t="shared" si="194"/>
        <v>1</v>
      </c>
      <c r="Z654">
        <f t="shared" si="199"/>
        <v>1</v>
      </c>
      <c r="AA654" s="36"/>
      <c r="AB654" t="str">
        <f t="shared" si="191"/>
        <v>コード番号を選択してください。</v>
      </c>
      <c r="AC654" t="s">
        <v>450</v>
      </c>
      <c r="AD654" t="str">
        <f t="shared" ref="AD654" si="203">AE653</f>
        <v>1台目の機器が入力されていません。
詰めて入力してください。</v>
      </c>
      <c r="AE654" t="str">
        <f>C653&amp;"台目の機器が入力されていません。"&amp;CHAR(10)&amp;"詰めて入力してください。"</f>
        <v>2台目の機器が入力されていません。
詰めて入力してください。</v>
      </c>
      <c r="AF654" t="s">
        <v>451</v>
      </c>
      <c r="AH654">
        <f t="shared" si="195"/>
        <v>9999</v>
      </c>
      <c r="AI654">
        <f>SMALL($AH$514:$AH$663,141)</f>
        <v>9999</v>
      </c>
      <c r="AJ654" t="e">
        <f t="shared" si="196"/>
        <v>#N/A</v>
      </c>
      <c r="AK654" t="str">
        <f t="shared" si="197"/>
        <v>事業場99</v>
      </c>
    </row>
    <row r="655" spans="2:37" x14ac:dyDescent="0.15">
      <c r="B655" s="5">
        <v>48</v>
      </c>
      <c r="C655" s="5">
        <v>1</v>
      </c>
      <c r="D655" s="4">
        <v>4801</v>
      </c>
      <c r="E655" s="4">
        <f t="shared" si="198"/>
        <v>0</v>
      </c>
      <c r="F655" s="15">
        <f>'入力シート（2事業場以降）'!AQ746</f>
        <v>0</v>
      </c>
      <c r="G655" s="4" t="str">
        <f>IF(AND($E655=1,$F655=1),'入力シート（2事業場以降）'!F746,"")&amp;""</f>
        <v/>
      </c>
      <c r="H655" s="15" t="str">
        <f>IFERROR(VLOOKUP($G655,補助対象機器一覧20220831!$A$2:$K$200,3,FALSE),"")</f>
        <v/>
      </c>
      <c r="I655" s="15" t="str">
        <f>IFERROR(VLOOKUP($G655,補助対象機器一覧20220831!$A$2:$K$200,4,FALSE),"")</f>
        <v/>
      </c>
      <c r="J655" s="15" t="str">
        <f>IFERROR(VLOOKUP($G655,補助対象機器一覧20220831!$A$2:$K$200,5,FALSE),"")</f>
        <v/>
      </c>
      <c r="K655" s="15" t="str">
        <f>IFERROR(VLOOKUP($G655,補助対象機器一覧20220831!$A$2:$K$200,6,FALSE),"")</f>
        <v/>
      </c>
      <c r="L655" s="4" t="str">
        <f>IF(AND($E655=1,$F655=1),'入力シート（2事業場以降）'!J746,"")&amp;""</f>
        <v/>
      </c>
      <c r="M655" s="4" t="str">
        <f>IF(AND($E655=1,$F655=1),'入力シート（2事業場以降）'!N746,"")&amp;""</f>
        <v/>
      </c>
      <c r="N655" s="4" t="str">
        <f>IF(AND($E655=1,$F655=1),'入力シート（2事業場以降）'!R746,"")&amp;""</f>
        <v/>
      </c>
      <c r="O655" s="4" t="str">
        <f>IF(AND($E655=1,$F655=1),'入力シート（2事業場以降）'!V746,"")&amp;""</f>
        <v/>
      </c>
      <c r="P655" s="4" t="str">
        <f>IFERROR(VLOOKUP($G655,補助対象機器一覧20220831!$A$2:$K$200,10,FALSE),"")</f>
        <v/>
      </c>
      <c r="Q655" s="15" t="str">
        <f>IF(AND($E655=1,$F655=2),TRIM(CLEAN('入力シート（2事業場以降）'!J748)),"")&amp;""</f>
        <v/>
      </c>
      <c r="R655" s="15" t="str">
        <f>IF(AND($E655=1,$F655=2),TRIM(CLEAN('入力シート（2事業場以降）'!N748)),"")&amp;""</f>
        <v/>
      </c>
      <c r="S655" s="15" t="str">
        <f>IF(AND($E655=1,$F655=2),TRIM(CLEAN('入力シート（2事業場以降）'!R748)),"")&amp;""</f>
        <v/>
      </c>
      <c r="T655" s="15" t="str">
        <f>IF(AND($E655=1,$F655=2),TRIM(CLEAN('入力シート（2事業場以降）'!V748)),"")&amp;""</f>
        <v/>
      </c>
      <c r="V655">
        <v>8</v>
      </c>
      <c r="W655" s="117" t="str">
        <f t="shared" ca="1" si="190"/>
        <v>OK</v>
      </c>
      <c r="X655" t="str">
        <f t="shared" ca="1" si="193"/>
        <v>交付申請時のコード番号を選択してください。
申請するコード番号が選べなかった場合は、コード番号の有無で「なし」を選択してください。</v>
      </c>
      <c r="Y655">
        <f t="shared" si="194"/>
        <v>1</v>
      </c>
      <c r="Z655">
        <f t="shared" si="199"/>
        <v>0</v>
      </c>
      <c r="AA655"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55" t="str">
        <f t="shared" si="191"/>
        <v>コード番号を選択してください。</v>
      </c>
      <c r="AC655" t="s">
        <v>450</v>
      </c>
      <c r="AD655" s="36"/>
      <c r="AE655" s="36"/>
      <c r="AF655" t="s">
        <v>451</v>
      </c>
      <c r="AH655">
        <f t="shared" si="195"/>
        <v>9999</v>
      </c>
      <c r="AI655">
        <f>SMALL($AH$514:$AH$663,142)</f>
        <v>9999</v>
      </c>
      <c r="AJ655" t="e">
        <f t="shared" si="196"/>
        <v>#N/A</v>
      </c>
      <c r="AK655" t="str">
        <f t="shared" si="197"/>
        <v>事業場99</v>
      </c>
    </row>
    <row r="656" spans="2:37" x14ac:dyDescent="0.15">
      <c r="B656" s="5">
        <v>48</v>
      </c>
      <c r="C656" s="5">
        <v>2</v>
      </c>
      <c r="D656" s="4">
        <v>4802</v>
      </c>
      <c r="E656" s="4">
        <f t="shared" si="198"/>
        <v>0</v>
      </c>
      <c r="F656" s="15">
        <f>'入力シート（2事業場以降）'!AQ750</f>
        <v>0</v>
      </c>
      <c r="G656" s="4" t="str">
        <f>IF(AND($E656=1,$F656=1),'入力シート（2事業場以降）'!F750,"")&amp;""</f>
        <v/>
      </c>
      <c r="H656" s="15" t="str">
        <f>IFERROR(VLOOKUP($G656,補助対象機器一覧20220831!$A$2:$K$200,3,FALSE),"")</f>
        <v/>
      </c>
      <c r="I656" s="15" t="str">
        <f>IFERROR(VLOOKUP($G656,補助対象機器一覧20220831!$A$2:$K$200,4,FALSE),"")</f>
        <v/>
      </c>
      <c r="J656" s="15" t="str">
        <f>IFERROR(VLOOKUP($G656,補助対象機器一覧20220831!$A$2:$K$200,5,FALSE),"")</f>
        <v/>
      </c>
      <c r="K656" s="15" t="str">
        <f>IFERROR(VLOOKUP($G656,補助対象機器一覧20220831!$A$2:$K$200,6,FALSE),"")</f>
        <v/>
      </c>
      <c r="L656" s="4" t="str">
        <f>IF(AND($E656=1,$F656=1),'入力シート（2事業場以降）'!J750,"")&amp;""</f>
        <v/>
      </c>
      <c r="M656" s="4" t="str">
        <f>IF(AND($E656=1,$F656=1),'入力シート（2事業場以降）'!N750,"")&amp;""</f>
        <v/>
      </c>
      <c r="N656" s="4" t="str">
        <f>IF(AND($E656=1,$F656=1),'入力シート（2事業場以降）'!R750,"")&amp;""</f>
        <v/>
      </c>
      <c r="O656" s="4" t="str">
        <f>IF(AND($E656=1,$F656=1),'入力シート（2事業場以降）'!V750,"")&amp;""</f>
        <v/>
      </c>
      <c r="P656" s="4" t="str">
        <f>IFERROR(VLOOKUP($G656,補助対象機器一覧20220831!$A$2:$K$200,10,FALSE),"")</f>
        <v/>
      </c>
      <c r="Q656" s="15" t="str">
        <f>IF(AND($E656=1,$F656=2),TRIM(CLEAN('入力シート（2事業場以降）'!J752)),"")&amp;""</f>
        <v/>
      </c>
      <c r="R656" s="15" t="str">
        <f>IF(AND($E656=1,$F656=2),TRIM(CLEAN('入力シート（2事業場以降）'!N752)),"")&amp;""</f>
        <v/>
      </c>
      <c r="S656" s="15" t="str">
        <f>IF(AND($E656=1,$F656=2),TRIM(CLEAN('入力シート（2事業場以降）'!R752)),"")&amp;""</f>
        <v/>
      </c>
      <c r="T656" s="15" t="str">
        <f>IF(AND($E656=1,$F656=2),TRIM(CLEAN('入力シート（2事業場以降）'!V752)),"")&amp;""</f>
        <v/>
      </c>
      <c r="W656" s="117" t="str">
        <f t="shared" ca="1" si="190"/>
        <v>OK</v>
      </c>
      <c r="X656" t="str">
        <f t="shared" ca="1" si="193"/>
        <v/>
      </c>
      <c r="Y656">
        <f t="shared" si="194"/>
        <v>1</v>
      </c>
      <c r="Z656">
        <f t="shared" si="199"/>
        <v>2</v>
      </c>
      <c r="AA656" s="36"/>
      <c r="AB656" t="str">
        <f t="shared" si="191"/>
        <v>コード番号を選択してください。</v>
      </c>
      <c r="AC656" t="s">
        <v>450</v>
      </c>
      <c r="AD656" s="36"/>
      <c r="AE656" t="str">
        <f>C655&amp;"台目の機器が入力されていません。"&amp;CHAR(10)&amp;"詰めて入力してください。"</f>
        <v>1台目の機器が入力されていません。
詰めて入力してください。</v>
      </c>
      <c r="AF656" t="s">
        <v>451</v>
      </c>
      <c r="AH656">
        <f t="shared" si="195"/>
        <v>9999</v>
      </c>
      <c r="AI656">
        <f>SMALL($AH$514:$AH$663,143)</f>
        <v>9999</v>
      </c>
      <c r="AJ656" t="e">
        <f t="shared" si="196"/>
        <v>#N/A</v>
      </c>
      <c r="AK656" t="str">
        <f t="shared" si="197"/>
        <v>事業場99</v>
      </c>
    </row>
    <row r="657" spans="1:38" x14ac:dyDescent="0.15">
      <c r="B657" s="5">
        <v>48</v>
      </c>
      <c r="C657" s="5">
        <v>3</v>
      </c>
      <c r="D657" s="4">
        <v>4803</v>
      </c>
      <c r="E657" s="4">
        <f t="shared" si="198"/>
        <v>0</v>
      </c>
      <c r="F657" s="15">
        <f>'入力シート（2事業場以降）'!AQ754</f>
        <v>0</v>
      </c>
      <c r="G657" s="4" t="str">
        <f>IF(AND($E657=1,$F657=1),'入力シート（2事業場以降）'!F754,"")&amp;""</f>
        <v/>
      </c>
      <c r="H657" s="15" t="str">
        <f>IFERROR(VLOOKUP($G657,補助対象機器一覧20220831!$A$2:$K$200,3,FALSE),"")</f>
        <v/>
      </c>
      <c r="I657" s="15" t="str">
        <f>IFERROR(VLOOKUP($G657,補助対象機器一覧20220831!$A$2:$K$200,4,FALSE),"")</f>
        <v/>
      </c>
      <c r="J657" s="15" t="str">
        <f>IFERROR(VLOOKUP($G657,補助対象機器一覧20220831!$A$2:$K$200,5,FALSE),"")</f>
        <v/>
      </c>
      <c r="K657" s="15" t="str">
        <f>IFERROR(VLOOKUP($G657,補助対象機器一覧20220831!$A$2:$K$200,6,FALSE),"")</f>
        <v/>
      </c>
      <c r="L657" s="4" t="str">
        <f>IF(AND($E657=1,$F657=1),'入力シート（2事業場以降）'!J754,"")&amp;""</f>
        <v/>
      </c>
      <c r="M657" s="4" t="str">
        <f>IF(AND($E657=1,$F657=1),'入力シート（2事業場以降）'!N754,"")&amp;""</f>
        <v/>
      </c>
      <c r="N657" s="4" t="str">
        <f>IF(AND($E657=1,$F657=1),'入力シート（2事業場以降）'!R754,"")&amp;""</f>
        <v/>
      </c>
      <c r="O657" s="4" t="str">
        <f>IF(AND($E657=1,$F657=1),'入力シート（2事業場以降）'!V754,"")&amp;""</f>
        <v/>
      </c>
      <c r="P657" s="4" t="str">
        <f>IFERROR(VLOOKUP($G657,補助対象機器一覧20220831!$A$2:$K$200,10,FALSE),"")</f>
        <v/>
      </c>
      <c r="Q657" s="15" t="str">
        <f>IF(AND($E657=1,$F657=2),TRIM(CLEAN('入力シート（2事業場以降）'!J756)),"")&amp;""</f>
        <v/>
      </c>
      <c r="R657" s="15" t="str">
        <f>IF(AND($E657=1,$F657=2),TRIM(CLEAN('入力シート（2事業場以降）'!N756)),"")&amp;""</f>
        <v/>
      </c>
      <c r="S657" s="15" t="str">
        <f>IF(AND($E657=1,$F657=2),TRIM(CLEAN('入力シート（2事業場以降）'!R756)),"")&amp;""</f>
        <v/>
      </c>
      <c r="T657" s="15" t="str">
        <f>IF(AND($E657=1,$F657=2),TRIM(CLEAN('入力シート（2事業場以降）'!V756)),"")&amp;""</f>
        <v/>
      </c>
      <c r="W657" s="117" t="str">
        <f t="shared" ca="1" si="190"/>
        <v>OK</v>
      </c>
      <c r="X657" t="str">
        <f t="shared" ca="1" si="193"/>
        <v/>
      </c>
      <c r="Y657">
        <f t="shared" si="194"/>
        <v>1</v>
      </c>
      <c r="Z657">
        <f t="shared" si="199"/>
        <v>1</v>
      </c>
      <c r="AA657" s="36"/>
      <c r="AB657" t="str">
        <f t="shared" si="191"/>
        <v>コード番号を選択してください。</v>
      </c>
      <c r="AC657" t="s">
        <v>450</v>
      </c>
      <c r="AD657" t="str">
        <f t="shared" ref="AD657" si="204">AE656</f>
        <v>1台目の機器が入力されていません。
詰めて入力してください。</v>
      </c>
      <c r="AE657" t="str">
        <f>C656&amp;"台目の機器が入力されていません。"&amp;CHAR(10)&amp;"詰めて入力してください。"</f>
        <v>2台目の機器が入力されていません。
詰めて入力してください。</v>
      </c>
      <c r="AF657" t="s">
        <v>451</v>
      </c>
      <c r="AH657">
        <f t="shared" si="195"/>
        <v>9999</v>
      </c>
      <c r="AI657">
        <f>SMALL($AH$514:$AH$663,144)</f>
        <v>9999</v>
      </c>
      <c r="AJ657" t="e">
        <f t="shared" si="196"/>
        <v>#N/A</v>
      </c>
      <c r="AK657" t="str">
        <f t="shared" si="197"/>
        <v>事業場99</v>
      </c>
    </row>
    <row r="658" spans="1:38" x14ac:dyDescent="0.15">
      <c r="B658" s="5">
        <v>49</v>
      </c>
      <c r="C658" s="5">
        <v>1</v>
      </c>
      <c r="D658" s="4">
        <v>4901</v>
      </c>
      <c r="E658" s="4">
        <f t="shared" si="198"/>
        <v>0</v>
      </c>
      <c r="F658" s="15">
        <f>'入力シート（2事業場以降）'!AQ759</f>
        <v>0</v>
      </c>
      <c r="G658" s="4" t="str">
        <f>IF(AND($E658=1,$F658=1),'入力シート（2事業場以降）'!F759,"")&amp;""</f>
        <v/>
      </c>
      <c r="H658" s="15" t="str">
        <f>IFERROR(VLOOKUP($G658,補助対象機器一覧20220831!$A$2:$K$200,3,FALSE),"")</f>
        <v/>
      </c>
      <c r="I658" s="15" t="str">
        <f>IFERROR(VLOOKUP($G658,補助対象機器一覧20220831!$A$2:$K$200,4,FALSE),"")</f>
        <v/>
      </c>
      <c r="J658" s="15" t="str">
        <f>IFERROR(VLOOKUP($G658,補助対象機器一覧20220831!$A$2:$K$200,5,FALSE),"")</f>
        <v/>
      </c>
      <c r="K658" s="15" t="str">
        <f>IFERROR(VLOOKUP($G658,補助対象機器一覧20220831!$A$2:$K$200,6,FALSE),"")</f>
        <v/>
      </c>
      <c r="L658" s="4" t="str">
        <f>IF(AND($E658=1,$F658=1),'入力シート（2事業場以降）'!J759,"")&amp;""</f>
        <v/>
      </c>
      <c r="M658" s="4" t="str">
        <f>IF(AND($E658=1,$F658=1),'入力シート（2事業場以降）'!N759,"")&amp;""</f>
        <v/>
      </c>
      <c r="N658" s="4" t="str">
        <f>IF(AND($E658=1,$F658=1),'入力シート（2事業場以降）'!R759,"")&amp;""</f>
        <v/>
      </c>
      <c r="O658" s="4" t="str">
        <f>IF(AND($E658=1,$F658=1),'入力シート（2事業場以降）'!V759,"")&amp;""</f>
        <v/>
      </c>
      <c r="P658" s="4" t="str">
        <f>IFERROR(VLOOKUP($G658,補助対象機器一覧20220831!$A$2:$K$200,10,FALSE),"")</f>
        <v/>
      </c>
      <c r="Q658" s="15" t="str">
        <f>IF(AND($E658=1,$F658=2),TRIM(CLEAN('入力シート（2事業場以降）'!J761)),"")&amp;""</f>
        <v/>
      </c>
      <c r="R658" s="15" t="str">
        <f>IF(AND($E658=1,$F658=2),TRIM(CLEAN('入力シート（2事業場以降）'!N761)),"")&amp;""</f>
        <v/>
      </c>
      <c r="S658" s="15" t="str">
        <f>IF(AND($E658=1,$F658=2),TRIM(CLEAN('入力シート（2事業場以降）'!R761)),"")&amp;""</f>
        <v/>
      </c>
      <c r="T658" s="15" t="str">
        <f>IF(AND($E658=1,$F658=2),TRIM(CLEAN('入力シート（2事業場以降）'!V761)),"")&amp;""</f>
        <v/>
      </c>
      <c r="V658">
        <v>9</v>
      </c>
      <c r="W658" s="117" t="str">
        <f t="shared" ca="1" si="190"/>
        <v>OK</v>
      </c>
      <c r="X658" t="str">
        <f t="shared" ca="1" si="193"/>
        <v>交付申請時のコード番号を選択してください。
申請するコード番号が選べなかった場合は、コード番号の有無で「なし」を選択してください。</v>
      </c>
      <c r="Y658">
        <f t="shared" si="194"/>
        <v>1</v>
      </c>
      <c r="Z658">
        <f t="shared" si="199"/>
        <v>0</v>
      </c>
      <c r="AA658"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58" t="str">
        <f t="shared" si="191"/>
        <v>コード番号を選択してください。</v>
      </c>
      <c r="AC658" t="s">
        <v>450</v>
      </c>
      <c r="AD658" s="36"/>
      <c r="AE658" s="36"/>
      <c r="AF658" t="s">
        <v>451</v>
      </c>
      <c r="AH658">
        <f t="shared" si="195"/>
        <v>9999</v>
      </c>
      <c r="AI658">
        <f>SMALL($AH$514:$AH$663,145)</f>
        <v>9999</v>
      </c>
      <c r="AJ658" t="e">
        <f t="shared" si="196"/>
        <v>#N/A</v>
      </c>
      <c r="AK658" t="str">
        <f t="shared" si="197"/>
        <v>事業場99</v>
      </c>
    </row>
    <row r="659" spans="1:38" x14ac:dyDescent="0.15">
      <c r="B659" s="5">
        <v>49</v>
      </c>
      <c r="C659" s="5">
        <v>2</v>
      </c>
      <c r="D659" s="4">
        <v>4902</v>
      </c>
      <c r="E659" s="4">
        <f t="shared" si="198"/>
        <v>0</v>
      </c>
      <c r="F659" s="15">
        <f>'入力シート（2事業場以降）'!AQ763</f>
        <v>0</v>
      </c>
      <c r="G659" s="4" t="str">
        <f>IF(AND($E659=1,$F659=1),'入力シート（2事業場以降）'!F763,"")&amp;""</f>
        <v/>
      </c>
      <c r="H659" s="15" t="str">
        <f>IFERROR(VLOOKUP($G659,補助対象機器一覧20220831!$A$2:$K$200,3,FALSE),"")</f>
        <v/>
      </c>
      <c r="I659" s="15" t="str">
        <f>IFERROR(VLOOKUP($G659,補助対象機器一覧20220831!$A$2:$K$200,4,FALSE),"")</f>
        <v/>
      </c>
      <c r="J659" s="15" t="str">
        <f>IFERROR(VLOOKUP($G659,補助対象機器一覧20220831!$A$2:$K$200,5,FALSE),"")</f>
        <v/>
      </c>
      <c r="K659" s="15" t="str">
        <f>IFERROR(VLOOKUP($G659,補助対象機器一覧20220831!$A$2:$K$200,6,FALSE),"")</f>
        <v/>
      </c>
      <c r="L659" s="4" t="str">
        <f>IF(AND($E659=1,$F659=1),'入力シート（2事業場以降）'!J763,"")&amp;""</f>
        <v/>
      </c>
      <c r="M659" s="4" t="str">
        <f>IF(AND($E659=1,$F659=1),'入力シート（2事業場以降）'!N763,"")&amp;""</f>
        <v/>
      </c>
      <c r="N659" s="4" t="str">
        <f>IF(AND($E659=1,$F659=1),'入力シート（2事業場以降）'!R763,"")&amp;""</f>
        <v/>
      </c>
      <c r="O659" s="4" t="str">
        <f>IF(AND($E659=1,$F659=1),'入力シート（2事業場以降）'!V763,"")&amp;""</f>
        <v/>
      </c>
      <c r="P659" s="4" t="str">
        <f>IFERROR(VLOOKUP($G659,補助対象機器一覧20220831!$A$2:$K$200,10,FALSE),"")</f>
        <v/>
      </c>
      <c r="Q659" s="15" t="str">
        <f>IF(AND($E659=1,$F659=2),TRIM(CLEAN('入力シート（2事業場以降）'!J765)),"")&amp;""</f>
        <v/>
      </c>
      <c r="R659" s="15" t="str">
        <f>IF(AND($E659=1,$F659=2),TRIM(CLEAN('入力シート（2事業場以降）'!N765)),"")&amp;""</f>
        <v/>
      </c>
      <c r="S659" s="15" t="str">
        <f>IF(AND($E659=1,$F659=2),TRIM(CLEAN('入力シート（2事業場以降）'!R765)),"")&amp;""</f>
        <v/>
      </c>
      <c r="T659" s="15" t="str">
        <f>IF(AND($E659=1,$F659=2),TRIM(CLEAN('入力シート（2事業場以降）'!V765)),"")&amp;""</f>
        <v/>
      </c>
      <c r="W659" s="117" t="str">
        <f t="shared" ca="1" si="190"/>
        <v>OK</v>
      </c>
      <c r="X659" t="str">
        <f t="shared" ca="1" si="193"/>
        <v/>
      </c>
      <c r="Y659">
        <f t="shared" si="194"/>
        <v>1</v>
      </c>
      <c r="Z659">
        <f t="shared" si="199"/>
        <v>2</v>
      </c>
      <c r="AA659" s="36"/>
      <c r="AB659" t="str">
        <f t="shared" si="191"/>
        <v>コード番号を選択してください。</v>
      </c>
      <c r="AC659" t="s">
        <v>450</v>
      </c>
      <c r="AD659" s="36"/>
      <c r="AE659" t="str">
        <f>C658&amp;"台目の機器が入力されていません。"&amp;CHAR(10)&amp;"詰めて入力してください。"</f>
        <v>1台目の機器が入力されていません。
詰めて入力してください。</v>
      </c>
      <c r="AF659" t="s">
        <v>451</v>
      </c>
      <c r="AH659">
        <f t="shared" si="195"/>
        <v>9999</v>
      </c>
      <c r="AI659">
        <f>SMALL($AH$514:$AH$663,146)</f>
        <v>9999</v>
      </c>
      <c r="AJ659" t="e">
        <f t="shared" si="196"/>
        <v>#N/A</v>
      </c>
      <c r="AK659" t="str">
        <f t="shared" si="197"/>
        <v>事業場99</v>
      </c>
    </row>
    <row r="660" spans="1:38" x14ac:dyDescent="0.15">
      <c r="B660" s="5">
        <v>49</v>
      </c>
      <c r="C660" s="5">
        <v>3</v>
      </c>
      <c r="D660" s="4">
        <v>4903</v>
      </c>
      <c r="E660" s="4">
        <f t="shared" si="198"/>
        <v>0</v>
      </c>
      <c r="F660" s="15">
        <f>'入力シート（2事業場以降）'!AQ767</f>
        <v>0</v>
      </c>
      <c r="G660" s="4" t="str">
        <f>IF(AND($E660=1,$F660=1),'入力シート（2事業場以降）'!F767,"")&amp;""</f>
        <v/>
      </c>
      <c r="H660" s="15" t="str">
        <f>IFERROR(VLOOKUP($G660,補助対象機器一覧20220831!$A$2:$K$200,3,FALSE),"")</f>
        <v/>
      </c>
      <c r="I660" s="15" t="str">
        <f>IFERROR(VLOOKUP($G660,補助対象機器一覧20220831!$A$2:$K$200,4,FALSE),"")</f>
        <v/>
      </c>
      <c r="J660" s="15" t="str">
        <f>IFERROR(VLOOKUP($G660,補助対象機器一覧20220831!$A$2:$K$200,5,FALSE),"")</f>
        <v/>
      </c>
      <c r="K660" s="15" t="str">
        <f>IFERROR(VLOOKUP($G660,補助対象機器一覧20220831!$A$2:$K$200,6,FALSE),"")</f>
        <v/>
      </c>
      <c r="L660" s="4" t="str">
        <f>IF(AND($E660=1,$F660=1),'入力シート（2事業場以降）'!J767,"")&amp;""</f>
        <v/>
      </c>
      <c r="M660" s="4" t="str">
        <f>IF(AND($E660=1,$F660=1),'入力シート（2事業場以降）'!N767,"")&amp;""</f>
        <v/>
      </c>
      <c r="N660" s="4" t="str">
        <f>IF(AND($E660=1,$F660=1),'入力シート（2事業場以降）'!R767,"")&amp;""</f>
        <v/>
      </c>
      <c r="O660" s="4" t="str">
        <f>IF(AND($E660=1,$F660=1),'入力シート（2事業場以降）'!V767,"")&amp;""</f>
        <v/>
      </c>
      <c r="P660" s="4" t="str">
        <f>IFERROR(VLOOKUP($G660,補助対象機器一覧20220831!$A$2:$K$200,10,FALSE),"")</f>
        <v/>
      </c>
      <c r="Q660" s="15" t="str">
        <f>IF(AND($E660=1,$F660=2),TRIM(CLEAN('入力シート（2事業場以降）'!J769)),"")&amp;""</f>
        <v/>
      </c>
      <c r="R660" s="15" t="str">
        <f>IF(AND($E660=1,$F660=2),TRIM(CLEAN('入力シート（2事業場以降）'!N769)),"")&amp;""</f>
        <v/>
      </c>
      <c r="S660" s="15" t="str">
        <f>IF(AND($E660=1,$F660=2),TRIM(CLEAN('入力シート（2事業場以降）'!R769)),"")&amp;""</f>
        <v/>
      </c>
      <c r="T660" s="15" t="str">
        <f>IF(AND($E660=1,$F660=2),TRIM(CLEAN('入力シート（2事業場以降）'!V769)),"")&amp;""</f>
        <v/>
      </c>
      <c r="W660" s="117" t="str">
        <f t="shared" ca="1" si="190"/>
        <v>OK</v>
      </c>
      <c r="X660" t="str">
        <f t="shared" ca="1" si="193"/>
        <v/>
      </c>
      <c r="Y660">
        <f t="shared" si="194"/>
        <v>1</v>
      </c>
      <c r="Z660">
        <f t="shared" si="199"/>
        <v>1</v>
      </c>
      <c r="AA660" s="36"/>
      <c r="AB660" t="str">
        <f t="shared" si="191"/>
        <v>コード番号を選択してください。</v>
      </c>
      <c r="AC660" t="s">
        <v>450</v>
      </c>
      <c r="AD660" t="str">
        <f t="shared" ref="AD660" si="205">AE659</f>
        <v>1台目の機器が入力されていません。
詰めて入力してください。</v>
      </c>
      <c r="AE660" t="str">
        <f>C659&amp;"台目の機器が入力されていません。"&amp;CHAR(10)&amp;"詰めて入力してください。"</f>
        <v>2台目の機器が入力されていません。
詰めて入力してください。</v>
      </c>
      <c r="AF660" t="s">
        <v>451</v>
      </c>
      <c r="AH660">
        <f t="shared" si="195"/>
        <v>9999</v>
      </c>
      <c r="AI660">
        <f>SMALL($AH$514:$AH$663,147)</f>
        <v>9999</v>
      </c>
      <c r="AJ660" t="e">
        <f t="shared" si="196"/>
        <v>#N/A</v>
      </c>
      <c r="AK660" t="str">
        <f t="shared" si="197"/>
        <v>事業場99</v>
      </c>
    </row>
    <row r="661" spans="1:38" x14ac:dyDescent="0.15">
      <c r="B661" s="5">
        <v>50</v>
      </c>
      <c r="C661" s="5">
        <v>1</v>
      </c>
      <c r="D661" s="4">
        <v>5001</v>
      </c>
      <c r="E661" s="4">
        <f t="shared" si="198"/>
        <v>0</v>
      </c>
      <c r="F661" s="15">
        <f>'入力シート（2事業場以降）'!AQ772</f>
        <v>0</v>
      </c>
      <c r="G661" s="4" t="str">
        <f>IF(AND($E661=1,$F661=1),'入力シート（2事業場以降）'!F772,"")&amp;""</f>
        <v/>
      </c>
      <c r="H661" s="15" t="str">
        <f>IFERROR(VLOOKUP($G661,補助対象機器一覧20220831!$A$2:$K$200,3,FALSE),"")</f>
        <v/>
      </c>
      <c r="I661" s="15" t="str">
        <f>IFERROR(VLOOKUP($G661,補助対象機器一覧20220831!$A$2:$K$200,4,FALSE),"")</f>
        <v/>
      </c>
      <c r="J661" s="15" t="str">
        <f>IFERROR(VLOOKUP($G661,補助対象機器一覧20220831!$A$2:$K$200,5,FALSE),"")</f>
        <v/>
      </c>
      <c r="K661" s="15" t="str">
        <f>IFERROR(VLOOKUP($G661,補助対象機器一覧20220831!$A$2:$K$200,6,FALSE),"")</f>
        <v/>
      </c>
      <c r="L661" s="4" t="str">
        <f>IF(AND($E661=1,$F661=1),'入力シート（2事業場以降）'!J772,"")&amp;""</f>
        <v/>
      </c>
      <c r="M661" s="4" t="str">
        <f>IF(AND($E661=1,$F661=1),'入力シート（2事業場以降）'!N772,"")&amp;""</f>
        <v/>
      </c>
      <c r="N661" s="4" t="str">
        <f>IF(AND($E661=1,$F661=1),'入力シート（2事業場以降）'!R772,"")&amp;""</f>
        <v/>
      </c>
      <c r="O661" s="4" t="str">
        <f>IF(AND($E661=1,$F661=1),'入力シート（2事業場以降）'!V772,"")&amp;""</f>
        <v/>
      </c>
      <c r="P661" s="4" t="str">
        <f>IFERROR(VLOOKUP($G661,補助対象機器一覧20220831!$A$2:$K$200,10,FALSE),"")</f>
        <v/>
      </c>
      <c r="Q661" s="15" t="str">
        <f>IF(AND($E661=1,$F661=2),TRIM(CLEAN('入力シート（2事業場以降）'!J774)),"")&amp;""</f>
        <v/>
      </c>
      <c r="R661" s="15" t="str">
        <f>IF(AND($E661=1,$F661=2),TRIM(CLEAN('入力シート（2事業場以降）'!N774)),"")&amp;""</f>
        <v/>
      </c>
      <c r="S661" s="15" t="str">
        <f>IF(AND($E661=1,$F661=2),TRIM(CLEAN('入力シート（2事業場以降）'!R774)),"")&amp;""</f>
        <v/>
      </c>
      <c r="T661" s="15" t="str">
        <f>IF(AND($E661=1,$F661=2),TRIM(CLEAN('入力シート（2事業場以降）'!V774)),"")&amp;""</f>
        <v/>
      </c>
      <c r="V661">
        <v>10</v>
      </c>
      <c r="W661" s="117" t="str">
        <f t="shared" ca="1" si="190"/>
        <v>OK</v>
      </c>
      <c r="X661" t="str">
        <f t="shared" ca="1" si="193"/>
        <v>交付申請時のコード番号を選択してください。
申請するコード番号が選べなかった場合は、コード番号の有無で「なし」を選択してください。</v>
      </c>
      <c r="Y661">
        <f t="shared" si="194"/>
        <v>1</v>
      </c>
      <c r="Z661">
        <f t="shared" si="199"/>
        <v>0</v>
      </c>
      <c r="AA661" t="str">
        <f>"交付申請時のコード番号を選択してください。"&amp;CHAR(10)&amp;"申請するコード番号が選べなかった場合は、コード番号の有無で「なし」を選択してください。"</f>
        <v>交付申請時のコード番号を選択してください。
申請するコード番号が選べなかった場合は、コード番号の有無で「なし」を選択してください。</v>
      </c>
      <c r="AB661" t="str">
        <f t="shared" si="191"/>
        <v>コード番号を選択してください。</v>
      </c>
      <c r="AC661" t="s">
        <v>450</v>
      </c>
      <c r="AD661" s="36"/>
      <c r="AE661" s="36"/>
      <c r="AF661" t="s">
        <v>451</v>
      </c>
      <c r="AH661">
        <f t="shared" si="195"/>
        <v>9999</v>
      </c>
      <c r="AI661">
        <f>SMALL($AH$514:$AH$663,148)</f>
        <v>9999</v>
      </c>
      <c r="AJ661" t="e">
        <f t="shared" si="196"/>
        <v>#N/A</v>
      </c>
      <c r="AK661" t="str">
        <f t="shared" si="197"/>
        <v>事業場99</v>
      </c>
    </row>
    <row r="662" spans="1:38" x14ac:dyDescent="0.15">
      <c r="B662" s="5">
        <v>50</v>
      </c>
      <c r="C662" s="5">
        <v>2</v>
      </c>
      <c r="D662" s="4">
        <v>5002</v>
      </c>
      <c r="E662" s="4">
        <f t="shared" si="198"/>
        <v>0</v>
      </c>
      <c r="F662" s="15">
        <f>'入力シート（2事業場以降）'!AQ776</f>
        <v>0</v>
      </c>
      <c r="G662" s="4" t="str">
        <f>IF(AND($E662=1,$F662=1),'入力シート（2事業場以降）'!F776,"")&amp;""</f>
        <v/>
      </c>
      <c r="H662" s="15" t="str">
        <f>IFERROR(VLOOKUP($G662,補助対象機器一覧20220831!$A$2:$K$200,3,FALSE),"")</f>
        <v/>
      </c>
      <c r="I662" s="15" t="str">
        <f>IFERROR(VLOOKUP($G662,補助対象機器一覧20220831!$A$2:$K$200,4,FALSE),"")</f>
        <v/>
      </c>
      <c r="J662" s="15" t="str">
        <f>IFERROR(VLOOKUP($G662,補助対象機器一覧20220831!$A$2:$K$200,5,FALSE),"")</f>
        <v/>
      </c>
      <c r="K662" s="15" t="str">
        <f>IFERROR(VLOOKUP($G662,補助対象機器一覧20220831!$A$2:$K$200,6,FALSE),"")</f>
        <v/>
      </c>
      <c r="L662" s="4" t="str">
        <f>IF(AND($E662=1,$F662=1),'入力シート（2事業場以降）'!J776,"")&amp;""</f>
        <v/>
      </c>
      <c r="M662" s="4" t="str">
        <f>IF(AND($E662=1,$F662=1),'入力シート（2事業場以降）'!N776,"")&amp;""</f>
        <v/>
      </c>
      <c r="N662" s="4" t="str">
        <f>IF(AND($E662=1,$F662=1),'入力シート（2事業場以降）'!R776,"")&amp;""</f>
        <v/>
      </c>
      <c r="O662" s="4" t="str">
        <f>IF(AND($E662=1,$F662=1),'入力シート（2事業場以降）'!V776,"")&amp;""</f>
        <v/>
      </c>
      <c r="P662" s="4" t="str">
        <f>IFERROR(VLOOKUP($G662,補助対象機器一覧20220831!$A$2:$K$200,10,FALSE),"")</f>
        <v/>
      </c>
      <c r="Q662" s="15" t="str">
        <f>IF(AND($E662=1,$F662=2),TRIM(CLEAN('入力シート（2事業場以降）'!J778)),"")&amp;""</f>
        <v/>
      </c>
      <c r="R662" s="15" t="str">
        <f>IF(AND($E662=1,$F662=2),TRIM(CLEAN('入力シート（2事業場以降）'!N778)),"")&amp;""</f>
        <v/>
      </c>
      <c r="S662" s="15" t="str">
        <f>IF(AND($E662=1,$F662=2),TRIM(CLEAN('入力シート（2事業場以降）'!R778)),"")&amp;""</f>
        <v/>
      </c>
      <c r="T662" s="15" t="str">
        <f>IF(AND($E662=1,$F662=2),TRIM(CLEAN('入力シート（2事業場以降）'!V778)),"")&amp;""</f>
        <v/>
      </c>
      <c r="W662" s="117" t="str">
        <f t="shared" ca="1" si="190"/>
        <v>OK</v>
      </c>
      <c r="X662" t="str">
        <f t="shared" ca="1" si="193"/>
        <v/>
      </c>
      <c r="Y662">
        <f t="shared" si="194"/>
        <v>1</v>
      </c>
      <c r="Z662">
        <f t="shared" si="199"/>
        <v>2</v>
      </c>
      <c r="AA662" s="36"/>
      <c r="AB662" t="str">
        <f t="shared" si="191"/>
        <v>コード番号を選択してください。</v>
      </c>
      <c r="AC662" t="s">
        <v>450</v>
      </c>
      <c r="AD662" s="36"/>
      <c r="AE662" t="str">
        <f>C661&amp;"台目の機器が入力されていません。"&amp;CHAR(10)&amp;"詰めて入力してください。"</f>
        <v>1台目の機器が入力されていません。
詰めて入力してください。</v>
      </c>
      <c r="AF662" t="s">
        <v>451</v>
      </c>
      <c r="AH662">
        <f t="shared" si="195"/>
        <v>9999</v>
      </c>
      <c r="AI662">
        <f>SMALL($AH$514:$AH$663,149)</f>
        <v>9999</v>
      </c>
      <c r="AJ662" t="e">
        <f t="shared" si="196"/>
        <v>#N/A</v>
      </c>
      <c r="AK662" t="str">
        <f t="shared" si="197"/>
        <v>事業場99</v>
      </c>
    </row>
    <row r="663" spans="1:38" x14ac:dyDescent="0.15">
      <c r="B663" s="5">
        <v>50</v>
      </c>
      <c r="C663" s="5">
        <v>3</v>
      </c>
      <c r="D663" s="4">
        <v>5003</v>
      </c>
      <c r="E663" s="4">
        <f t="shared" si="198"/>
        <v>0</v>
      </c>
      <c r="F663" s="15">
        <f>'入力シート（2事業場以降）'!AQ780</f>
        <v>0</v>
      </c>
      <c r="G663" s="4" t="str">
        <f>IF(AND($E663=1,$F663=1),'入力シート（2事業場以降）'!F780,"")&amp;""</f>
        <v/>
      </c>
      <c r="H663" s="15" t="str">
        <f>IFERROR(VLOOKUP($G663,補助対象機器一覧20220831!$A$2:$K$200,3,FALSE),"")</f>
        <v/>
      </c>
      <c r="I663" s="15" t="str">
        <f>IFERROR(VLOOKUP($G663,補助対象機器一覧20220831!$A$2:$K$200,4,FALSE),"")</f>
        <v/>
      </c>
      <c r="J663" s="15" t="str">
        <f>IFERROR(VLOOKUP($G663,補助対象機器一覧20220831!$A$2:$K$200,5,FALSE),"")</f>
        <v/>
      </c>
      <c r="K663" s="15" t="str">
        <f>IFERROR(VLOOKUP($G663,補助対象機器一覧20220831!$A$2:$K$200,6,FALSE),"")</f>
        <v/>
      </c>
      <c r="L663" s="4" t="str">
        <f>IF(AND($E663=1,$F663=1),'入力シート（2事業場以降）'!J780,"")&amp;""</f>
        <v/>
      </c>
      <c r="M663" s="4" t="str">
        <f>IF(AND($E663=1,$F663=1),'入力シート（2事業場以降）'!N780,"")&amp;""</f>
        <v/>
      </c>
      <c r="N663" s="4" t="str">
        <f>IF(AND($E663=1,$F663=1),'入力シート（2事業場以降）'!R780,"")&amp;""</f>
        <v/>
      </c>
      <c r="O663" s="4" t="str">
        <f>IF(AND($E663=1,$F663=1),'入力シート（2事業場以降）'!V780,"")&amp;""</f>
        <v/>
      </c>
      <c r="P663" s="4" t="str">
        <f>IFERROR(VLOOKUP($G663,補助対象機器一覧20220831!$A$2:$K$200,10,FALSE),"")</f>
        <v/>
      </c>
      <c r="Q663" s="15" t="str">
        <f>IF(AND($E663=1,$F663=2),TRIM(CLEAN('入力シート（2事業場以降）'!J782)),"")&amp;""</f>
        <v/>
      </c>
      <c r="R663" s="15" t="str">
        <f>IF(AND($E663=1,$F663=2),TRIM(CLEAN('入力シート（2事業場以降）'!N782)),"")&amp;""</f>
        <v/>
      </c>
      <c r="S663" s="15" t="str">
        <f>IF(AND($E663=1,$F663=2),TRIM(CLEAN('入力シート（2事業場以降）'!R782)),"")&amp;""</f>
        <v/>
      </c>
      <c r="T663" s="15" t="str">
        <f>IF(AND($E663=1,$F663=2),TRIM(CLEAN('入力シート（2事業場以降）'!V782)),"")&amp;""</f>
        <v/>
      </c>
      <c r="W663" s="117" t="str">
        <f t="shared" ca="1" si="190"/>
        <v>OK</v>
      </c>
      <c r="X663" t="str">
        <f t="shared" ca="1" si="193"/>
        <v/>
      </c>
      <c r="Y663">
        <f t="shared" si="194"/>
        <v>1</v>
      </c>
      <c r="Z663">
        <f t="shared" si="199"/>
        <v>1</v>
      </c>
      <c r="AA663" s="36"/>
      <c r="AB663" t="str">
        <f t="shared" si="191"/>
        <v>コード番号を選択してください。</v>
      </c>
      <c r="AC663" t="s">
        <v>450</v>
      </c>
      <c r="AD663" t="str">
        <f t="shared" ref="AD663" si="206">AE662</f>
        <v>1台目の機器が入力されていません。
詰めて入力してください。</v>
      </c>
      <c r="AE663" t="str">
        <f>C662&amp;"台目の機器が入力されていません。"&amp;CHAR(10)&amp;"詰めて入力してください。"</f>
        <v>2台目の機器が入力されていません。
詰めて入力してください。</v>
      </c>
      <c r="AF663" t="s">
        <v>451</v>
      </c>
      <c r="AH663">
        <f t="shared" si="195"/>
        <v>9999</v>
      </c>
      <c r="AI663">
        <f>SMALL($AH$514:$AH$663,150)</f>
        <v>9999</v>
      </c>
      <c r="AJ663" t="e">
        <f t="shared" si="196"/>
        <v>#N/A</v>
      </c>
      <c r="AK663" t="str">
        <f t="shared" si="197"/>
        <v>事業場99</v>
      </c>
    </row>
    <row r="664" spans="1:38" x14ac:dyDescent="0.15">
      <c r="W664" s="117"/>
    </row>
    <row r="665" spans="1:38" x14ac:dyDescent="0.15">
      <c r="W665" s="117"/>
    </row>
    <row r="666" spans="1:38" x14ac:dyDescent="0.15">
      <c r="B666" s="38" t="s">
        <v>452</v>
      </c>
      <c r="C666" s="8"/>
      <c r="D666" s="6" t="s">
        <v>430</v>
      </c>
      <c r="E666" s="7"/>
      <c r="F666" s="8"/>
      <c r="G666" s="6" t="s">
        <v>453</v>
      </c>
      <c r="H666" s="7"/>
      <c r="I666" s="8"/>
      <c r="J666" s="6" t="s">
        <v>454</v>
      </c>
      <c r="K666" s="7"/>
      <c r="L666" s="8"/>
      <c r="M666" s="285"/>
      <c r="W666" s="117"/>
    </row>
    <row r="667" spans="1:38" s="3" customFormat="1" ht="40.5" x14ac:dyDescent="0.15">
      <c r="A667"/>
      <c r="B667" s="5" t="s">
        <v>423</v>
      </c>
      <c r="C667" s="5" t="s">
        <v>434</v>
      </c>
      <c r="D667" s="9" t="s">
        <v>422</v>
      </c>
      <c r="E667" s="9" t="s">
        <v>455</v>
      </c>
      <c r="F667" s="9" t="s">
        <v>456</v>
      </c>
      <c r="G667" s="9" t="s">
        <v>89</v>
      </c>
      <c r="H667" s="9" t="s">
        <v>457</v>
      </c>
      <c r="I667" s="9" t="s">
        <v>88</v>
      </c>
      <c r="J667" s="9" t="s">
        <v>89</v>
      </c>
      <c r="K667" s="9" t="s">
        <v>457</v>
      </c>
      <c r="L667" s="9" t="s">
        <v>88</v>
      </c>
      <c r="M667" s="286" t="s">
        <v>458</v>
      </c>
      <c r="N667"/>
      <c r="O667"/>
      <c r="P667"/>
      <c r="Q667"/>
      <c r="U667"/>
      <c r="V667"/>
      <c r="W667" s="73"/>
      <c r="X667" s="11" t="s">
        <v>384</v>
      </c>
      <c r="Y667" s="127" t="s">
        <v>376</v>
      </c>
      <c r="Z667" s="76" t="s">
        <v>377</v>
      </c>
      <c r="AA667" t="s">
        <v>443</v>
      </c>
      <c r="AB667" t="s">
        <v>444</v>
      </c>
      <c r="AC667" t="s">
        <v>445</v>
      </c>
      <c r="AD667" t="s">
        <v>459</v>
      </c>
      <c r="AE667" t="s">
        <v>460</v>
      </c>
      <c r="AF667" t="s">
        <v>388</v>
      </c>
      <c r="AL667"/>
    </row>
    <row r="668" spans="1:38" x14ac:dyDescent="0.15">
      <c r="B668" s="5">
        <v>1</v>
      </c>
      <c r="C668" s="5">
        <v>1</v>
      </c>
      <c r="D668" s="4">
        <v>1</v>
      </c>
      <c r="E668" s="4">
        <f t="shared" ref="E668:E700" si="207">IF(AND(D668=1,Y514=0,Z514=0),1,0)</f>
        <v>0</v>
      </c>
      <c r="F668" s="10">
        <f>入力シート!$Z156</f>
        <v>0</v>
      </c>
      <c r="G668" s="34">
        <f>入力シート!$J156</f>
        <v>0</v>
      </c>
      <c r="H668" s="35">
        <f>入力シート!$L156</f>
        <v>0</v>
      </c>
      <c r="I668" s="34">
        <f>入力シート!$N156</f>
        <v>0</v>
      </c>
      <c r="J668" s="32">
        <f>IF(E668=1,IF(F668=2,K668+L668,G668),0)</f>
        <v>0</v>
      </c>
      <c r="K668" s="32">
        <f t="shared" ref="K668:K670" si="208">IF(E668=1,H668,0)</f>
        <v>0</v>
      </c>
      <c r="L668" s="32">
        <f t="shared" ref="L668:L699" si="209">IF(OR(P514="①",P514="②",E668=0),0,I668)</f>
        <v>0</v>
      </c>
      <c r="M668" s="287">
        <f>IF(C668=1,SUM(K668:L670),M667)</f>
        <v>0</v>
      </c>
      <c r="W668" s="117" t="str">
        <f t="shared" ref="W668:W699" ca="1" si="210">IF(OR(X668=$V$1,X668=""),$V$1,"NG")</f>
        <v>NG</v>
      </c>
      <c r="X668" t="str">
        <f ca="1">IF(Y668&lt;&gt;0,OFFSET(Z668,0,Y668),IF(Z668&lt;&gt;0,OFFSET(AE668,0,Z668),$V$1))&amp;""</f>
        <v>先に機器情報を入力してください。</v>
      </c>
      <c r="Y668">
        <f>IF(OR(E668=0,AND(B668=B667,E667=0)),1,IF(E668=1,IF(F668=0,2,IF(AND(F668=1,J668=0,K668=0),3,IF(AND(F668=1,J668=0),4,IF(K668=0,5,0))))))</f>
        <v>1</v>
      </c>
      <c r="Z668">
        <f>IF(J668&lt;(K668+L668),1,IF(AND(E668=1,M668&lt;3000),2,0))</f>
        <v>0</v>
      </c>
      <c r="AA668" t="s">
        <v>461</v>
      </c>
      <c r="AB668" t="s">
        <v>462</v>
      </c>
      <c r="AC668" t="s">
        <v>463</v>
      </c>
      <c r="AD668" t="s">
        <v>464</v>
      </c>
      <c r="AE668" t="s">
        <v>465</v>
      </c>
      <c r="AF668" t="str">
        <f t="shared" ref="AF668:AF670" si="211">$G$667&amp;"の金額を確認してください。"</f>
        <v>補助事業に要する経費の金額を確認してください。</v>
      </c>
      <c r="AG668" t="s">
        <v>466</v>
      </c>
    </row>
    <row r="669" spans="1:38" x14ac:dyDescent="0.15">
      <c r="B669" s="5">
        <v>1</v>
      </c>
      <c r="C669" s="5">
        <v>2</v>
      </c>
      <c r="D669" s="4">
        <f t="shared" ref="D669:D700" si="212">IF(B669&lt;=$G$60,1,0)</f>
        <v>0</v>
      </c>
      <c r="E669" s="4">
        <f t="shared" si="207"/>
        <v>0</v>
      </c>
      <c r="F669" s="10">
        <f>入力シート!$Z158</f>
        <v>0</v>
      </c>
      <c r="G669" s="34">
        <f>入力シート!$J158</f>
        <v>0</v>
      </c>
      <c r="H669" s="35">
        <f>入力シート!$L158</f>
        <v>0</v>
      </c>
      <c r="I669" s="34">
        <f>入力シート!$N158</f>
        <v>0</v>
      </c>
      <c r="J669" s="32">
        <f>IF(E669=1,IF(F669=2,K669+L669,G669),0)</f>
        <v>0</v>
      </c>
      <c r="K669" s="32">
        <f t="shared" si="208"/>
        <v>0</v>
      </c>
      <c r="L669" s="32">
        <f t="shared" si="209"/>
        <v>0</v>
      </c>
      <c r="M669" s="287">
        <f t="shared" ref="M669:M732" si="213">IF(C669=1,SUM(K669:L671),M668)</f>
        <v>0</v>
      </c>
      <c r="W669" s="117" t="str">
        <f t="shared" ca="1" si="210"/>
        <v>OK</v>
      </c>
      <c r="X669" t="str">
        <f t="shared" ref="X669:X732" ca="1" si="214">IF(Y669&lt;&gt;0,OFFSET(Z669,0,Y669),IF(Z669&lt;&gt;0,OFFSET(AE669,0,Z669),$V$1))&amp;""</f>
        <v/>
      </c>
      <c r="Y669">
        <f>IF(OR(E669=0,AND(B669=B668,E668=0)),1,IF(E669=1,IF(F669=0,2,IF(AND(F669=1,J669=0,K669=0),3,IF(AND(F669=1,J669=0),4,IF(K669=0,5,0))))))</f>
        <v>1</v>
      </c>
      <c r="Z669">
        <f t="shared" ref="Z669:Z732" si="215">IF(J669&lt;(K669+L669),1,IF(AND(E669=1,M669&lt;3000),2,0))</f>
        <v>0</v>
      </c>
      <c r="AA669" s="36"/>
      <c r="AB669" t="s">
        <v>462</v>
      </c>
      <c r="AC669" t="s">
        <v>463</v>
      </c>
      <c r="AD669" t="s">
        <v>464</v>
      </c>
      <c r="AE669" t="s">
        <v>465</v>
      </c>
      <c r="AF669" t="str">
        <f t="shared" si="211"/>
        <v>補助事業に要する経費の金額を確認してください。</v>
      </c>
      <c r="AG669" t="s">
        <v>466</v>
      </c>
    </row>
    <row r="670" spans="1:38" x14ac:dyDescent="0.15">
      <c r="B670" s="5">
        <v>1</v>
      </c>
      <c r="C670" s="5">
        <v>3</v>
      </c>
      <c r="D670" s="4">
        <f t="shared" si="212"/>
        <v>0</v>
      </c>
      <c r="E670" s="4">
        <f t="shared" si="207"/>
        <v>0</v>
      </c>
      <c r="F670" s="10">
        <f>入力シート!$Z160</f>
        <v>0</v>
      </c>
      <c r="G670" s="34">
        <f>入力シート!$J160</f>
        <v>0</v>
      </c>
      <c r="H670" s="35">
        <f>入力シート!$L160</f>
        <v>0</v>
      </c>
      <c r="I670" s="34">
        <f>入力シート!$N160</f>
        <v>0</v>
      </c>
      <c r="J670" s="32">
        <f t="shared" ref="J670" si="216">IF(E670=1,IF(F670=2,K670+L670,G670),0)</f>
        <v>0</v>
      </c>
      <c r="K670" s="32">
        <f t="shared" si="208"/>
        <v>0</v>
      </c>
      <c r="L670" s="32">
        <f t="shared" si="209"/>
        <v>0</v>
      </c>
      <c r="M670" s="287">
        <f t="shared" si="213"/>
        <v>0</v>
      </c>
      <c r="W670" s="117" t="str">
        <f t="shared" ca="1" si="210"/>
        <v>OK</v>
      </c>
      <c r="X670" t="str">
        <f t="shared" ca="1" si="214"/>
        <v/>
      </c>
      <c r="Y670">
        <f>IF(OR(E670=0,AND(B670=B669,E669=0)),1,IF(E670=1,IF(F670=0,2,IF(AND(F670=1,J670=0,K670=0),3,IF(AND(F670=1,J670=0),4,IF(K670=0,5,0))))))</f>
        <v>1</v>
      </c>
      <c r="Z670">
        <f t="shared" si="215"/>
        <v>0</v>
      </c>
      <c r="AA670" s="36"/>
      <c r="AB670" t="s">
        <v>462</v>
      </c>
      <c r="AC670" t="s">
        <v>463</v>
      </c>
      <c r="AD670" t="s">
        <v>464</v>
      </c>
      <c r="AE670" t="s">
        <v>465</v>
      </c>
      <c r="AF670" t="str">
        <f t="shared" si="211"/>
        <v>補助事業に要する経費の金額を確認してください。</v>
      </c>
      <c r="AG670" t="s">
        <v>466</v>
      </c>
    </row>
    <row r="671" spans="1:38" x14ac:dyDescent="0.15">
      <c r="B671" s="5">
        <v>2</v>
      </c>
      <c r="C671" s="5">
        <v>1</v>
      </c>
      <c r="D671" s="4">
        <f t="shared" si="212"/>
        <v>0</v>
      </c>
      <c r="E671" s="4">
        <f t="shared" si="207"/>
        <v>0</v>
      </c>
      <c r="F671" s="4">
        <f>'入力シート（2事業場以降）'!AR809</f>
        <v>0</v>
      </c>
      <c r="G671" s="126">
        <f>'入力シート（2事業場以降）'!J809</f>
        <v>0</v>
      </c>
      <c r="H671" s="126">
        <f>'入力シート（2事業場以降）'!L809</f>
        <v>0</v>
      </c>
      <c r="I671" s="126">
        <f>'入力シート（2事業場以降）'!N809</f>
        <v>0</v>
      </c>
      <c r="J671" s="32">
        <f t="shared" ref="J671:J697" si="217">IF(E671=1,IF(F671=2,K671+L671,G671),0)</f>
        <v>0</v>
      </c>
      <c r="K671" s="32">
        <f t="shared" ref="K671:K697" si="218">IF(E671=1,H671,0)</f>
        <v>0</v>
      </c>
      <c r="L671" s="32">
        <f t="shared" si="209"/>
        <v>0</v>
      </c>
      <c r="M671" s="287">
        <f t="shared" si="213"/>
        <v>0</v>
      </c>
      <c r="W671" s="117" t="str">
        <f t="shared" ca="1" si="210"/>
        <v>OK</v>
      </c>
      <c r="X671" t="str">
        <f t="shared" ca="1" si="214"/>
        <v>OK</v>
      </c>
      <c r="Y671">
        <f t="shared" ref="Y671:Y699" si="219">IF(D671=1,IF(OR(E671=0,AND(B671=B670,E670=0)),1,IF(E671=1,IF(F671=0,2,IF(AND(F671=1,J671=0,K671=0),3,IF(AND(F671=1,J671=0),4,IF(K671=0,5,0)))))),0)</f>
        <v>0</v>
      </c>
      <c r="Z671">
        <f t="shared" si="215"/>
        <v>0</v>
      </c>
      <c r="AA671" t="s">
        <v>461</v>
      </c>
      <c r="AB671" t="s">
        <v>462</v>
      </c>
      <c r="AC671" t="s">
        <v>463</v>
      </c>
      <c r="AD671" t="s">
        <v>464</v>
      </c>
      <c r="AE671" t="s">
        <v>465</v>
      </c>
      <c r="AF671" t="s">
        <v>467</v>
      </c>
      <c r="AG671" t="s">
        <v>466</v>
      </c>
    </row>
    <row r="672" spans="1:38" x14ac:dyDescent="0.15">
      <c r="B672" s="5">
        <v>2</v>
      </c>
      <c r="C672" s="5">
        <v>2</v>
      </c>
      <c r="D672" s="4">
        <f t="shared" si="212"/>
        <v>0</v>
      </c>
      <c r="E672" s="4">
        <f t="shared" si="207"/>
        <v>0</v>
      </c>
      <c r="F672" s="4">
        <f>'入力シート（2事業場以降）'!AR811</f>
        <v>0</v>
      </c>
      <c r="G672" s="126">
        <f>'入力シート（2事業場以降）'!J811</f>
        <v>0</v>
      </c>
      <c r="H672" s="126">
        <f>'入力シート（2事業場以降）'!L811</f>
        <v>0</v>
      </c>
      <c r="I672" s="126">
        <f>'入力シート（2事業場以降）'!N811</f>
        <v>0</v>
      </c>
      <c r="J672" s="32">
        <f t="shared" si="217"/>
        <v>0</v>
      </c>
      <c r="K672" s="32">
        <f t="shared" si="218"/>
        <v>0</v>
      </c>
      <c r="L672" s="32">
        <f t="shared" si="209"/>
        <v>0</v>
      </c>
      <c r="M672" s="287">
        <f t="shared" si="213"/>
        <v>0</v>
      </c>
      <c r="W672" s="117" t="str">
        <f t="shared" ca="1" si="210"/>
        <v>OK</v>
      </c>
      <c r="X672" t="str">
        <f t="shared" ca="1" si="214"/>
        <v>OK</v>
      </c>
      <c r="Y672">
        <f t="shared" si="219"/>
        <v>0</v>
      </c>
      <c r="Z672">
        <f t="shared" si="215"/>
        <v>0</v>
      </c>
      <c r="AA672" s="36"/>
      <c r="AB672" t="s">
        <v>462</v>
      </c>
      <c r="AC672" t="s">
        <v>463</v>
      </c>
      <c r="AD672" t="s">
        <v>464</v>
      </c>
      <c r="AE672" t="s">
        <v>465</v>
      </c>
      <c r="AF672" t="s">
        <v>467</v>
      </c>
      <c r="AG672" t="s">
        <v>466</v>
      </c>
    </row>
    <row r="673" spans="2:33" x14ac:dyDescent="0.15">
      <c r="B673" s="5">
        <v>2</v>
      </c>
      <c r="C673" s="5">
        <v>3</v>
      </c>
      <c r="D673" s="4">
        <f t="shared" si="212"/>
        <v>0</v>
      </c>
      <c r="E673" s="4">
        <f t="shared" si="207"/>
        <v>0</v>
      </c>
      <c r="F673" s="4">
        <f>'入力シート（2事業場以降）'!AR813</f>
        <v>0</v>
      </c>
      <c r="G673" s="126">
        <f>'入力シート（2事業場以降）'!J813</f>
        <v>0</v>
      </c>
      <c r="H673" s="126">
        <f>'入力シート（2事業場以降）'!L813</f>
        <v>0</v>
      </c>
      <c r="I673" s="126">
        <f>'入力シート（2事業場以降）'!N813</f>
        <v>0</v>
      </c>
      <c r="J673" s="32">
        <f t="shared" si="217"/>
        <v>0</v>
      </c>
      <c r="K673" s="32">
        <f t="shared" si="218"/>
        <v>0</v>
      </c>
      <c r="L673" s="32">
        <f t="shared" si="209"/>
        <v>0</v>
      </c>
      <c r="M673" s="287">
        <f t="shared" si="213"/>
        <v>0</v>
      </c>
      <c r="W673" s="117" t="str">
        <f t="shared" ca="1" si="210"/>
        <v>OK</v>
      </c>
      <c r="X673" t="str">
        <f t="shared" ca="1" si="214"/>
        <v>OK</v>
      </c>
      <c r="Y673">
        <f t="shared" si="219"/>
        <v>0</v>
      </c>
      <c r="Z673">
        <f t="shared" si="215"/>
        <v>0</v>
      </c>
      <c r="AA673" s="36"/>
      <c r="AB673" t="s">
        <v>462</v>
      </c>
      <c r="AC673" t="s">
        <v>463</v>
      </c>
      <c r="AD673" t="s">
        <v>464</v>
      </c>
      <c r="AE673" t="s">
        <v>465</v>
      </c>
      <c r="AF673" t="s">
        <v>467</v>
      </c>
      <c r="AG673" t="s">
        <v>466</v>
      </c>
    </row>
    <row r="674" spans="2:33" x14ac:dyDescent="0.15">
      <c r="B674" s="5">
        <v>3</v>
      </c>
      <c r="C674" s="5">
        <v>1</v>
      </c>
      <c r="D674" s="4">
        <f t="shared" si="212"/>
        <v>0</v>
      </c>
      <c r="E674" s="4">
        <f t="shared" si="207"/>
        <v>0</v>
      </c>
      <c r="F674" s="4">
        <f>'入力シート（2事業場以降）'!AR816</f>
        <v>0</v>
      </c>
      <c r="G674" s="126">
        <f>'入力シート（2事業場以降）'!J816</f>
        <v>0</v>
      </c>
      <c r="H674" s="126">
        <f>'入力シート（2事業場以降）'!L816</f>
        <v>0</v>
      </c>
      <c r="I674" s="126">
        <f>'入力シート（2事業場以降）'!N816</f>
        <v>0</v>
      </c>
      <c r="J674" s="32">
        <f t="shared" si="217"/>
        <v>0</v>
      </c>
      <c r="K674" s="32">
        <f t="shared" si="218"/>
        <v>0</v>
      </c>
      <c r="L674" s="32">
        <f t="shared" si="209"/>
        <v>0</v>
      </c>
      <c r="M674" s="287">
        <f t="shared" si="213"/>
        <v>0</v>
      </c>
      <c r="W674" s="117" t="str">
        <f t="shared" ca="1" si="210"/>
        <v>OK</v>
      </c>
      <c r="X674" t="str">
        <f t="shared" ca="1" si="214"/>
        <v>OK</v>
      </c>
      <c r="Y674">
        <f t="shared" si="219"/>
        <v>0</v>
      </c>
      <c r="Z674">
        <f t="shared" si="215"/>
        <v>0</v>
      </c>
      <c r="AA674" t="s">
        <v>461</v>
      </c>
      <c r="AB674" t="s">
        <v>462</v>
      </c>
      <c r="AC674" t="s">
        <v>463</v>
      </c>
      <c r="AD674" t="s">
        <v>464</v>
      </c>
      <c r="AE674" t="s">
        <v>465</v>
      </c>
      <c r="AF674" t="s">
        <v>467</v>
      </c>
      <c r="AG674" t="s">
        <v>466</v>
      </c>
    </row>
    <row r="675" spans="2:33" x14ac:dyDescent="0.15">
      <c r="B675" s="5">
        <v>3</v>
      </c>
      <c r="C675" s="5">
        <v>2</v>
      </c>
      <c r="D675" s="4">
        <f t="shared" si="212"/>
        <v>0</v>
      </c>
      <c r="E675" s="4">
        <f t="shared" si="207"/>
        <v>0</v>
      </c>
      <c r="F675" s="4">
        <f>'入力シート（2事業場以降）'!AR818</f>
        <v>0</v>
      </c>
      <c r="G675" s="126">
        <f>'入力シート（2事業場以降）'!J818</f>
        <v>0</v>
      </c>
      <c r="H675" s="126">
        <f>'入力シート（2事業場以降）'!L818</f>
        <v>0</v>
      </c>
      <c r="I675" s="126">
        <f>'入力シート（2事業場以降）'!N818</f>
        <v>0</v>
      </c>
      <c r="J675" s="32">
        <f t="shared" si="217"/>
        <v>0</v>
      </c>
      <c r="K675" s="32">
        <f t="shared" si="218"/>
        <v>0</v>
      </c>
      <c r="L675" s="32">
        <f t="shared" si="209"/>
        <v>0</v>
      </c>
      <c r="M675" s="287">
        <f t="shared" si="213"/>
        <v>0</v>
      </c>
      <c r="W675" s="117" t="str">
        <f t="shared" ca="1" si="210"/>
        <v>OK</v>
      </c>
      <c r="X675" t="str">
        <f t="shared" ca="1" si="214"/>
        <v>OK</v>
      </c>
      <c r="Y675">
        <f t="shared" si="219"/>
        <v>0</v>
      </c>
      <c r="Z675">
        <f t="shared" si="215"/>
        <v>0</v>
      </c>
      <c r="AA675" s="36"/>
      <c r="AB675" t="s">
        <v>462</v>
      </c>
      <c r="AC675" t="s">
        <v>463</v>
      </c>
      <c r="AD675" t="s">
        <v>464</v>
      </c>
      <c r="AE675" t="s">
        <v>465</v>
      </c>
      <c r="AF675" t="s">
        <v>467</v>
      </c>
      <c r="AG675" t="s">
        <v>466</v>
      </c>
    </row>
    <row r="676" spans="2:33" x14ac:dyDescent="0.15">
      <c r="B676" s="5">
        <v>3</v>
      </c>
      <c r="C676" s="5">
        <v>3</v>
      </c>
      <c r="D676" s="4">
        <f t="shared" si="212"/>
        <v>0</v>
      </c>
      <c r="E676" s="4">
        <f t="shared" si="207"/>
        <v>0</v>
      </c>
      <c r="F676" s="4">
        <f>'入力シート（2事業場以降）'!AR820</f>
        <v>0</v>
      </c>
      <c r="G676" s="126">
        <f>'入力シート（2事業場以降）'!J820</f>
        <v>0</v>
      </c>
      <c r="H676" s="126">
        <f>'入力シート（2事業場以降）'!L820</f>
        <v>0</v>
      </c>
      <c r="I676" s="126">
        <f>'入力シート（2事業場以降）'!N820</f>
        <v>0</v>
      </c>
      <c r="J676" s="32">
        <f t="shared" si="217"/>
        <v>0</v>
      </c>
      <c r="K676" s="32">
        <f t="shared" si="218"/>
        <v>0</v>
      </c>
      <c r="L676" s="32">
        <f t="shared" si="209"/>
        <v>0</v>
      </c>
      <c r="M676" s="287">
        <f t="shared" si="213"/>
        <v>0</v>
      </c>
      <c r="W676" s="117" t="str">
        <f t="shared" ca="1" si="210"/>
        <v>OK</v>
      </c>
      <c r="X676" t="str">
        <f t="shared" ca="1" si="214"/>
        <v>OK</v>
      </c>
      <c r="Y676">
        <f t="shared" si="219"/>
        <v>0</v>
      </c>
      <c r="Z676">
        <f t="shared" si="215"/>
        <v>0</v>
      </c>
      <c r="AA676" s="36"/>
      <c r="AB676" t="s">
        <v>462</v>
      </c>
      <c r="AC676" t="s">
        <v>463</v>
      </c>
      <c r="AD676" t="s">
        <v>464</v>
      </c>
      <c r="AE676" t="s">
        <v>465</v>
      </c>
      <c r="AF676" t="s">
        <v>467</v>
      </c>
      <c r="AG676" t="s">
        <v>466</v>
      </c>
    </row>
    <row r="677" spans="2:33" x14ac:dyDescent="0.15">
      <c r="B677" s="5">
        <v>4</v>
      </c>
      <c r="C677" s="5">
        <v>1</v>
      </c>
      <c r="D677" s="4">
        <f t="shared" si="212"/>
        <v>0</v>
      </c>
      <c r="E677" s="4">
        <f t="shared" si="207"/>
        <v>0</v>
      </c>
      <c r="F677" s="4">
        <f>'入力シート（2事業場以降）'!AR823</f>
        <v>0</v>
      </c>
      <c r="G677" s="126">
        <f>'入力シート（2事業場以降）'!J823</f>
        <v>0</v>
      </c>
      <c r="H677" s="126">
        <f>'入力シート（2事業場以降）'!L823</f>
        <v>0</v>
      </c>
      <c r="I677" s="126">
        <f>'入力シート（2事業場以降）'!N823</f>
        <v>0</v>
      </c>
      <c r="J677" s="32">
        <f t="shared" si="217"/>
        <v>0</v>
      </c>
      <c r="K677" s="32">
        <f t="shared" si="218"/>
        <v>0</v>
      </c>
      <c r="L677" s="32">
        <f t="shared" si="209"/>
        <v>0</v>
      </c>
      <c r="M677" s="287">
        <f t="shared" si="213"/>
        <v>0</v>
      </c>
      <c r="W677" s="117" t="str">
        <f t="shared" ca="1" si="210"/>
        <v>OK</v>
      </c>
      <c r="X677" t="str">
        <f t="shared" ca="1" si="214"/>
        <v>OK</v>
      </c>
      <c r="Y677">
        <f t="shared" si="219"/>
        <v>0</v>
      </c>
      <c r="Z677">
        <f t="shared" si="215"/>
        <v>0</v>
      </c>
      <c r="AA677" t="s">
        <v>461</v>
      </c>
      <c r="AB677" t="s">
        <v>462</v>
      </c>
      <c r="AC677" t="s">
        <v>463</v>
      </c>
      <c r="AD677" t="s">
        <v>464</v>
      </c>
      <c r="AE677" t="s">
        <v>465</v>
      </c>
      <c r="AF677" t="s">
        <v>467</v>
      </c>
      <c r="AG677" t="s">
        <v>466</v>
      </c>
    </row>
    <row r="678" spans="2:33" x14ac:dyDescent="0.15">
      <c r="B678" s="5">
        <v>4</v>
      </c>
      <c r="C678" s="5">
        <v>2</v>
      </c>
      <c r="D678" s="4">
        <f t="shared" si="212"/>
        <v>0</v>
      </c>
      <c r="E678" s="4">
        <f t="shared" si="207"/>
        <v>0</v>
      </c>
      <c r="F678" s="4">
        <f>'入力シート（2事業場以降）'!AR825</f>
        <v>0</v>
      </c>
      <c r="G678" s="126">
        <f>'入力シート（2事業場以降）'!J825</f>
        <v>0</v>
      </c>
      <c r="H678" s="126">
        <f>'入力シート（2事業場以降）'!L825</f>
        <v>0</v>
      </c>
      <c r="I678" s="126">
        <f>'入力シート（2事業場以降）'!N825</f>
        <v>0</v>
      </c>
      <c r="J678" s="32">
        <f t="shared" si="217"/>
        <v>0</v>
      </c>
      <c r="K678" s="32">
        <f t="shared" si="218"/>
        <v>0</v>
      </c>
      <c r="L678" s="32">
        <f t="shared" si="209"/>
        <v>0</v>
      </c>
      <c r="M678" s="287">
        <f t="shared" si="213"/>
        <v>0</v>
      </c>
      <c r="W678" s="117" t="str">
        <f t="shared" ca="1" si="210"/>
        <v>OK</v>
      </c>
      <c r="X678" t="str">
        <f t="shared" ca="1" si="214"/>
        <v>OK</v>
      </c>
      <c r="Y678">
        <f t="shared" si="219"/>
        <v>0</v>
      </c>
      <c r="Z678">
        <f t="shared" si="215"/>
        <v>0</v>
      </c>
      <c r="AA678" s="36"/>
      <c r="AB678" t="s">
        <v>462</v>
      </c>
      <c r="AC678" t="s">
        <v>463</v>
      </c>
      <c r="AD678" t="s">
        <v>464</v>
      </c>
      <c r="AE678" t="s">
        <v>465</v>
      </c>
      <c r="AF678" t="s">
        <v>467</v>
      </c>
      <c r="AG678" t="s">
        <v>466</v>
      </c>
    </row>
    <row r="679" spans="2:33" x14ac:dyDescent="0.15">
      <c r="B679" s="5">
        <v>4</v>
      </c>
      <c r="C679" s="5">
        <v>3</v>
      </c>
      <c r="D679" s="4">
        <f t="shared" si="212"/>
        <v>0</v>
      </c>
      <c r="E679" s="4">
        <f t="shared" si="207"/>
        <v>0</v>
      </c>
      <c r="F679" s="4">
        <f>'入力シート（2事業場以降）'!AR827</f>
        <v>0</v>
      </c>
      <c r="G679" s="126">
        <f>'入力シート（2事業場以降）'!J827</f>
        <v>0</v>
      </c>
      <c r="H679" s="126">
        <f>'入力シート（2事業場以降）'!L827</f>
        <v>0</v>
      </c>
      <c r="I679" s="126">
        <f>'入力シート（2事業場以降）'!N827</f>
        <v>0</v>
      </c>
      <c r="J679" s="32">
        <f t="shared" si="217"/>
        <v>0</v>
      </c>
      <c r="K679" s="32">
        <f t="shared" si="218"/>
        <v>0</v>
      </c>
      <c r="L679" s="32">
        <f t="shared" si="209"/>
        <v>0</v>
      </c>
      <c r="M679" s="287">
        <f t="shared" si="213"/>
        <v>0</v>
      </c>
      <c r="W679" s="117" t="str">
        <f t="shared" ca="1" si="210"/>
        <v>OK</v>
      </c>
      <c r="X679" t="str">
        <f t="shared" ca="1" si="214"/>
        <v>OK</v>
      </c>
      <c r="Y679">
        <f t="shared" si="219"/>
        <v>0</v>
      </c>
      <c r="Z679">
        <f t="shared" si="215"/>
        <v>0</v>
      </c>
      <c r="AA679" s="36"/>
      <c r="AB679" t="s">
        <v>462</v>
      </c>
      <c r="AC679" t="s">
        <v>463</v>
      </c>
      <c r="AD679" t="s">
        <v>464</v>
      </c>
      <c r="AE679" t="s">
        <v>465</v>
      </c>
      <c r="AF679" t="s">
        <v>467</v>
      </c>
      <c r="AG679" t="s">
        <v>466</v>
      </c>
    </row>
    <row r="680" spans="2:33" x14ac:dyDescent="0.15">
      <c r="B680" s="5">
        <v>5</v>
      </c>
      <c r="C680" s="5">
        <v>1</v>
      </c>
      <c r="D680" s="4">
        <f t="shared" si="212"/>
        <v>0</v>
      </c>
      <c r="E680" s="4">
        <f t="shared" si="207"/>
        <v>0</v>
      </c>
      <c r="F680" s="4">
        <f>'入力シート（2事業場以降）'!AR830</f>
        <v>0</v>
      </c>
      <c r="G680" s="126">
        <f>'入力シート（2事業場以降）'!J830</f>
        <v>0</v>
      </c>
      <c r="H680" s="126">
        <f>'入力シート（2事業場以降）'!L830</f>
        <v>0</v>
      </c>
      <c r="I680" s="126">
        <f>'入力シート（2事業場以降）'!N830</f>
        <v>0</v>
      </c>
      <c r="J680" s="32">
        <f t="shared" si="217"/>
        <v>0</v>
      </c>
      <c r="K680" s="32">
        <f t="shared" si="218"/>
        <v>0</v>
      </c>
      <c r="L680" s="32">
        <f t="shared" si="209"/>
        <v>0</v>
      </c>
      <c r="M680" s="287">
        <f t="shared" si="213"/>
        <v>0</v>
      </c>
      <c r="W680" s="117" t="str">
        <f t="shared" ca="1" si="210"/>
        <v>OK</v>
      </c>
      <c r="X680" t="str">
        <f t="shared" ca="1" si="214"/>
        <v>OK</v>
      </c>
      <c r="Y680">
        <f t="shared" si="219"/>
        <v>0</v>
      </c>
      <c r="Z680">
        <f t="shared" si="215"/>
        <v>0</v>
      </c>
      <c r="AA680" t="s">
        <v>461</v>
      </c>
      <c r="AB680" t="s">
        <v>462</v>
      </c>
      <c r="AC680" t="s">
        <v>463</v>
      </c>
      <c r="AD680" t="s">
        <v>464</v>
      </c>
      <c r="AE680" t="s">
        <v>465</v>
      </c>
      <c r="AF680" t="s">
        <v>467</v>
      </c>
      <c r="AG680" t="s">
        <v>466</v>
      </c>
    </row>
    <row r="681" spans="2:33" x14ac:dyDescent="0.15">
      <c r="B681" s="5">
        <v>5</v>
      </c>
      <c r="C681" s="5">
        <v>2</v>
      </c>
      <c r="D681" s="4">
        <f t="shared" si="212"/>
        <v>0</v>
      </c>
      <c r="E681" s="4">
        <f t="shared" si="207"/>
        <v>0</v>
      </c>
      <c r="F681" s="4">
        <f>'入力シート（2事業場以降）'!AR832</f>
        <v>0</v>
      </c>
      <c r="G681" s="126">
        <f>'入力シート（2事業場以降）'!J832</f>
        <v>0</v>
      </c>
      <c r="H681" s="126">
        <f>'入力シート（2事業場以降）'!L832</f>
        <v>0</v>
      </c>
      <c r="I681" s="126">
        <f>'入力シート（2事業場以降）'!N832</f>
        <v>0</v>
      </c>
      <c r="J681" s="32">
        <f t="shared" si="217"/>
        <v>0</v>
      </c>
      <c r="K681" s="32">
        <f t="shared" si="218"/>
        <v>0</v>
      </c>
      <c r="L681" s="32">
        <f t="shared" si="209"/>
        <v>0</v>
      </c>
      <c r="M681" s="287">
        <f t="shared" si="213"/>
        <v>0</v>
      </c>
      <c r="W681" s="117" t="str">
        <f t="shared" ca="1" si="210"/>
        <v>OK</v>
      </c>
      <c r="X681" t="str">
        <f t="shared" ca="1" si="214"/>
        <v>OK</v>
      </c>
      <c r="Y681">
        <f t="shared" si="219"/>
        <v>0</v>
      </c>
      <c r="Z681">
        <f t="shared" si="215"/>
        <v>0</v>
      </c>
      <c r="AA681" s="36"/>
      <c r="AB681" t="s">
        <v>462</v>
      </c>
      <c r="AC681" t="s">
        <v>463</v>
      </c>
      <c r="AD681" t="s">
        <v>464</v>
      </c>
      <c r="AE681" t="s">
        <v>465</v>
      </c>
      <c r="AF681" t="s">
        <v>467</v>
      </c>
      <c r="AG681" t="s">
        <v>466</v>
      </c>
    </row>
    <row r="682" spans="2:33" x14ac:dyDescent="0.15">
      <c r="B682" s="5">
        <v>5</v>
      </c>
      <c r="C682" s="5">
        <v>3</v>
      </c>
      <c r="D682" s="4">
        <f t="shared" si="212"/>
        <v>0</v>
      </c>
      <c r="E682" s="4">
        <f t="shared" si="207"/>
        <v>0</v>
      </c>
      <c r="F682" s="4">
        <f>'入力シート（2事業場以降）'!AR834</f>
        <v>0</v>
      </c>
      <c r="G682" s="126">
        <f>'入力シート（2事業場以降）'!J834</f>
        <v>0</v>
      </c>
      <c r="H682" s="126">
        <f>'入力シート（2事業場以降）'!L834</f>
        <v>0</v>
      </c>
      <c r="I682" s="126">
        <f>'入力シート（2事業場以降）'!N834</f>
        <v>0</v>
      </c>
      <c r="J682" s="32">
        <f t="shared" si="217"/>
        <v>0</v>
      </c>
      <c r="K682" s="32">
        <f t="shared" si="218"/>
        <v>0</v>
      </c>
      <c r="L682" s="32">
        <f t="shared" si="209"/>
        <v>0</v>
      </c>
      <c r="M682" s="287">
        <f t="shared" si="213"/>
        <v>0</v>
      </c>
      <c r="W682" s="117" t="str">
        <f t="shared" ca="1" si="210"/>
        <v>OK</v>
      </c>
      <c r="X682" t="str">
        <f t="shared" ca="1" si="214"/>
        <v>OK</v>
      </c>
      <c r="Y682">
        <f t="shared" si="219"/>
        <v>0</v>
      </c>
      <c r="Z682">
        <f t="shared" si="215"/>
        <v>0</v>
      </c>
      <c r="AA682" s="36"/>
      <c r="AB682" t="s">
        <v>462</v>
      </c>
      <c r="AC682" t="s">
        <v>463</v>
      </c>
      <c r="AD682" t="s">
        <v>464</v>
      </c>
      <c r="AE682" t="s">
        <v>465</v>
      </c>
      <c r="AF682" t="s">
        <v>467</v>
      </c>
      <c r="AG682" t="s">
        <v>466</v>
      </c>
    </row>
    <row r="683" spans="2:33" x14ac:dyDescent="0.15">
      <c r="B683" s="5">
        <v>6</v>
      </c>
      <c r="C683" s="5">
        <v>1</v>
      </c>
      <c r="D683" s="4">
        <f t="shared" si="212"/>
        <v>0</v>
      </c>
      <c r="E683" s="4">
        <f t="shared" si="207"/>
        <v>0</v>
      </c>
      <c r="F683" s="4">
        <f>'入力シート（2事業場以降）'!AR837</f>
        <v>0</v>
      </c>
      <c r="G683" s="126">
        <f>'入力シート（2事業場以降）'!J837</f>
        <v>0</v>
      </c>
      <c r="H683" s="126">
        <f>'入力シート（2事業場以降）'!L837</f>
        <v>0</v>
      </c>
      <c r="I683" s="126">
        <f>'入力シート（2事業場以降）'!N837</f>
        <v>0</v>
      </c>
      <c r="J683" s="32">
        <f t="shared" si="217"/>
        <v>0</v>
      </c>
      <c r="K683" s="32">
        <f t="shared" si="218"/>
        <v>0</v>
      </c>
      <c r="L683" s="32">
        <f t="shared" si="209"/>
        <v>0</v>
      </c>
      <c r="M683" s="287">
        <f t="shared" si="213"/>
        <v>0</v>
      </c>
      <c r="W683" s="117" t="str">
        <f t="shared" ca="1" si="210"/>
        <v>OK</v>
      </c>
      <c r="X683" t="str">
        <f t="shared" ca="1" si="214"/>
        <v>OK</v>
      </c>
      <c r="Y683">
        <f t="shared" si="219"/>
        <v>0</v>
      </c>
      <c r="Z683">
        <f t="shared" si="215"/>
        <v>0</v>
      </c>
      <c r="AA683" t="s">
        <v>461</v>
      </c>
      <c r="AB683" t="s">
        <v>462</v>
      </c>
      <c r="AC683" t="s">
        <v>463</v>
      </c>
      <c r="AD683" t="s">
        <v>464</v>
      </c>
      <c r="AE683" t="s">
        <v>465</v>
      </c>
      <c r="AF683" t="s">
        <v>467</v>
      </c>
      <c r="AG683" t="s">
        <v>466</v>
      </c>
    </row>
    <row r="684" spans="2:33" x14ac:dyDescent="0.15">
      <c r="B684" s="5">
        <v>6</v>
      </c>
      <c r="C684" s="5">
        <v>2</v>
      </c>
      <c r="D684" s="4">
        <f t="shared" si="212"/>
        <v>0</v>
      </c>
      <c r="E684" s="4">
        <f t="shared" si="207"/>
        <v>0</v>
      </c>
      <c r="F684" s="4">
        <f>'入力シート（2事業場以降）'!AR839</f>
        <v>0</v>
      </c>
      <c r="G684" s="126">
        <f>'入力シート（2事業場以降）'!J839</f>
        <v>0</v>
      </c>
      <c r="H684" s="126">
        <f>'入力シート（2事業場以降）'!L839</f>
        <v>0</v>
      </c>
      <c r="I684" s="126">
        <f>'入力シート（2事業場以降）'!N839</f>
        <v>0</v>
      </c>
      <c r="J684" s="32">
        <f t="shared" si="217"/>
        <v>0</v>
      </c>
      <c r="K684" s="32">
        <f t="shared" si="218"/>
        <v>0</v>
      </c>
      <c r="L684" s="32">
        <f t="shared" si="209"/>
        <v>0</v>
      </c>
      <c r="M684" s="287">
        <f t="shared" si="213"/>
        <v>0</v>
      </c>
      <c r="W684" s="117" t="str">
        <f t="shared" ca="1" si="210"/>
        <v>OK</v>
      </c>
      <c r="X684" t="str">
        <f t="shared" ca="1" si="214"/>
        <v>OK</v>
      </c>
      <c r="Y684">
        <f t="shared" si="219"/>
        <v>0</v>
      </c>
      <c r="Z684">
        <f t="shared" si="215"/>
        <v>0</v>
      </c>
      <c r="AA684" s="36"/>
      <c r="AB684" t="s">
        <v>462</v>
      </c>
      <c r="AC684" t="s">
        <v>463</v>
      </c>
      <c r="AD684" t="s">
        <v>464</v>
      </c>
      <c r="AE684" t="s">
        <v>465</v>
      </c>
      <c r="AF684" t="s">
        <v>467</v>
      </c>
      <c r="AG684" t="s">
        <v>466</v>
      </c>
    </row>
    <row r="685" spans="2:33" x14ac:dyDescent="0.15">
      <c r="B685" s="5">
        <v>6</v>
      </c>
      <c r="C685" s="5">
        <v>3</v>
      </c>
      <c r="D685" s="4">
        <f t="shared" si="212"/>
        <v>0</v>
      </c>
      <c r="E685" s="4">
        <f t="shared" si="207"/>
        <v>0</v>
      </c>
      <c r="F685" s="4">
        <f>'入力シート（2事業場以降）'!AR841</f>
        <v>0</v>
      </c>
      <c r="G685" s="126">
        <f>'入力シート（2事業場以降）'!J841</f>
        <v>0</v>
      </c>
      <c r="H685" s="126">
        <f>'入力シート（2事業場以降）'!L841</f>
        <v>0</v>
      </c>
      <c r="I685" s="126">
        <f>'入力シート（2事業場以降）'!N841</f>
        <v>0</v>
      </c>
      <c r="J685" s="32">
        <f t="shared" si="217"/>
        <v>0</v>
      </c>
      <c r="K685" s="32">
        <f t="shared" si="218"/>
        <v>0</v>
      </c>
      <c r="L685" s="32">
        <f t="shared" si="209"/>
        <v>0</v>
      </c>
      <c r="M685" s="287">
        <f t="shared" si="213"/>
        <v>0</v>
      </c>
      <c r="W685" s="117" t="str">
        <f t="shared" ca="1" si="210"/>
        <v>OK</v>
      </c>
      <c r="X685" t="str">
        <f t="shared" ca="1" si="214"/>
        <v>OK</v>
      </c>
      <c r="Y685">
        <f t="shared" si="219"/>
        <v>0</v>
      </c>
      <c r="Z685">
        <f t="shared" si="215"/>
        <v>0</v>
      </c>
      <c r="AA685" s="36"/>
      <c r="AB685" t="s">
        <v>462</v>
      </c>
      <c r="AC685" t="s">
        <v>463</v>
      </c>
      <c r="AD685" t="s">
        <v>464</v>
      </c>
      <c r="AE685" t="s">
        <v>465</v>
      </c>
      <c r="AF685" t="s">
        <v>467</v>
      </c>
      <c r="AG685" t="s">
        <v>466</v>
      </c>
    </row>
    <row r="686" spans="2:33" x14ac:dyDescent="0.15">
      <c r="B686" s="5">
        <v>7</v>
      </c>
      <c r="C686" s="5">
        <v>1</v>
      </c>
      <c r="D686" s="4">
        <f t="shared" si="212"/>
        <v>0</v>
      </c>
      <c r="E686" s="4">
        <f t="shared" si="207"/>
        <v>0</v>
      </c>
      <c r="F686" s="4">
        <f>'入力シート（2事業場以降）'!AR844</f>
        <v>0</v>
      </c>
      <c r="G686" s="126">
        <f>'入力シート（2事業場以降）'!J844</f>
        <v>0</v>
      </c>
      <c r="H686" s="126">
        <f>'入力シート（2事業場以降）'!L844</f>
        <v>0</v>
      </c>
      <c r="I686" s="126">
        <f>'入力シート（2事業場以降）'!N844</f>
        <v>0</v>
      </c>
      <c r="J686" s="32">
        <f t="shared" si="217"/>
        <v>0</v>
      </c>
      <c r="K686" s="32">
        <f t="shared" si="218"/>
        <v>0</v>
      </c>
      <c r="L686" s="32">
        <f t="shared" si="209"/>
        <v>0</v>
      </c>
      <c r="M686" s="287">
        <f t="shared" si="213"/>
        <v>0</v>
      </c>
      <c r="W686" s="117" t="str">
        <f t="shared" ca="1" si="210"/>
        <v>OK</v>
      </c>
      <c r="X686" t="str">
        <f t="shared" ca="1" si="214"/>
        <v>OK</v>
      </c>
      <c r="Y686">
        <f t="shared" si="219"/>
        <v>0</v>
      </c>
      <c r="Z686">
        <f t="shared" si="215"/>
        <v>0</v>
      </c>
      <c r="AA686" t="s">
        <v>461</v>
      </c>
      <c r="AB686" t="s">
        <v>462</v>
      </c>
      <c r="AC686" t="s">
        <v>463</v>
      </c>
      <c r="AD686" t="s">
        <v>464</v>
      </c>
      <c r="AE686" t="s">
        <v>465</v>
      </c>
      <c r="AF686" t="s">
        <v>467</v>
      </c>
      <c r="AG686" t="s">
        <v>466</v>
      </c>
    </row>
    <row r="687" spans="2:33" x14ac:dyDescent="0.15">
      <c r="B687" s="5">
        <v>7</v>
      </c>
      <c r="C687" s="5">
        <v>2</v>
      </c>
      <c r="D687" s="4">
        <f t="shared" si="212"/>
        <v>0</v>
      </c>
      <c r="E687" s="4">
        <f t="shared" si="207"/>
        <v>0</v>
      </c>
      <c r="F687" s="4">
        <f>'入力シート（2事業場以降）'!AR846</f>
        <v>0</v>
      </c>
      <c r="G687" s="126">
        <f>'入力シート（2事業場以降）'!J846</f>
        <v>0</v>
      </c>
      <c r="H687" s="126">
        <f>'入力シート（2事業場以降）'!L846</f>
        <v>0</v>
      </c>
      <c r="I687" s="126">
        <f>'入力シート（2事業場以降）'!N846</f>
        <v>0</v>
      </c>
      <c r="J687" s="32">
        <f t="shared" si="217"/>
        <v>0</v>
      </c>
      <c r="K687" s="32">
        <f t="shared" si="218"/>
        <v>0</v>
      </c>
      <c r="L687" s="32">
        <f t="shared" si="209"/>
        <v>0</v>
      </c>
      <c r="M687" s="287">
        <f t="shared" si="213"/>
        <v>0</v>
      </c>
      <c r="W687" s="117" t="str">
        <f t="shared" ca="1" si="210"/>
        <v>OK</v>
      </c>
      <c r="X687" t="str">
        <f t="shared" ca="1" si="214"/>
        <v>OK</v>
      </c>
      <c r="Y687">
        <f t="shared" si="219"/>
        <v>0</v>
      </c>
      <c r="Z687">
        <f t="shared" si="215"/>
        <v>0</v>
      </c>
      <c r="AA687" s="36"/>
      <c r="AB687" t="s">
        <v>462</v>
      </c>
      <c r="AC687" t="s">
        <v>463</v>
      </c>
      <c r="AD687" t="s">
        <v>464</v>
      </c>
      <c r="AE687" t="s">
        <v>465</v>
      </c>
      <c r="AF687" t="s">
        <v>467</v>
      </c>
      <c r="AG687" t="s">
        <v>466</v>
      </c>
    </row>
    <row r="688" spans="2:33" x14ac:dyDescent="0.15">
      <c r="B688" s="5">
        <v>7</v>
      </c>
      <c r="C688" s="5">
        <v>3</v>
      </c>
      <c r="D688" s="4">
        <f t="shared" si="212"/>
        <v>0</v>
      </c>
      <c r="E688" s="4">
        <f t="shared" si="207"/>
        <v>0</v>
      </c>
      <c r="F688" s="4">
        <f>'入力シート（2事業場以降）'!AR848</f>
        <v>0</v>
      </c>
      <c r="G688" s="126">
        <f>'入力シート（2事業場以降）'!J848</f>
        <v>0</v>
      </c>
      <c r="H688" s="126">
        <f>'入力シート（2事業場以降）'!L848</f>
        <v>0</v>
      </c>
      <c r="I688" s="126">
        <f>'入力シート（2事業場以降）'!N848</f>
        <v>0</v>
      </c>
      <c r="J688" s="32">
        <f t="shared" si="217"/>
        <v>0</v>
      </c>
      <c r="K688" s="32">
        <f t="shared" si="218"/>
        <v>0</v>
      </c>
      <c r="L688" s="32">
        <f t="shared" si="209"/>
        <v>0</v>
      </c>
      <c r="M688" s="287">
        <f t="shared" si="213"/>
        <v>0</v>
      </c>
      <c r="W688" s="117" t="str">
        <f t="shared" ca="1" si="210"/>
        <v>OK</v>
      </c>
      <c r="X688" t="str">
        <f t="shared" ca="1" si="214"/>
        <v>OK</v>
      </c>
      <c r="Y688">
        <f t="shared" si="219"/>
        <v>0</v>
      </c>
      <c r="Z688">
        <f t="shared" si="215"/>
        <v>0</v>
      </c>
      <c r="AA688" s="36"/>
      <c r="AB688" t="s">
        <v>462</v>
      </c>
      <c r="AC688" t="s">
        <v>463</v>
      </c>
      <c r="AD688" t="s">
        <v>464</v>
      </c>
      <c r="AE688" t="s">
        <v>465</v>
      </c>
      <c r="AF688" t="s">
        <v>467</v>
      </c>
      <c r="AG688" t="s">
        <v>466</v>
      </c>
    </row>
    <row r="689" spans="2:33" x14ac:dyDescent="0.15">
      <c r="B689" s="5">
        <v>8</v>
      </c>
      <c r="C689" s="5">
        <v>1</v>
      </c>
      <c r="D689" s="4">
        <f t="shared" si="212"/>
        <v>0</v>
      </c>
      <c r="E689" s="4">
        <f t="shared" si="207"/>
        <v>0</v>
      </c>
      <c r="F689" s="4">
        <f>'入力シート（2事業場以降）'!AR851</f>
        <v>0</v>
      </c>
      <c r="G689" s="126">
        <f>'入力シート（2事業場以降）'!J851</f>
        <v>0</v>
      </c>
      <c r="H689" s="126">
        <f>'入力シート（2事業場以降）'!L851</f>
        <v>0</v>
      </c>
      <c r="I689" s="126">
        <f>'入力シート（2事業場以降）'!N851</f>
        <v>0</v>
      </c>
      <c r="J689" s="32">
        <f t="shared" si="217"/>
        <v>0</v>
      </c>
      <c r="K689" s="32">
        <f t="shared" si="218"/>
        <v>0</v>
      </c>
      <c r="L689" s="32">
        <f t="shared" si="209"/>
        <v>0</v>
      </c>
      <c r="M689" s="287">
        <f t="shared" si="213"/>
        <v>0</v>
      </c>
      <c r="W689" s="117" t="str">
        <f t="shared" ca="1" si="210"/>
        <v>OK</v>
      </c>
      <c r="X689" t="str">
        <f t="shared" ca="1" si="214"/>
        <v>OK</v>
      </c>
      <c r="Y689">
        <f t="shared" si="219"/>
        <v>0</v>
      </c>
      <c r="Z689">
        <f t="shared" si="215"/>
        <v>0</v>
      </c>
      <c r="AA689" t="s">
        <v>461</v>
      </c>
      <c r="AB689" t="s">
        <v>462</v>
      </c>
      <c r="AC689" t="s">
        <v>463</v>
      </c>
      <c r="AD689" t="s">
        <v>464</v>
      </c>
      <c r="AE689" t="s">
        <v>465</v>
      </c>
      <c r="AF689" t="s">
        <v>467</v>
      </c>
      <c r="AG689" t="s">
        <v>466</v>
      </c>
    </row>
    <row r="690" spans="2:33" x14ac:dyDescent="0.15">
      <c r="B690" s="5">
        <v>8</v>
      </c>
      <c r="C690" s="5">
        <v>2</v>
      </c>
      <c r="D690" s="4">
        <f t="shared" si="212"/>
        <v>0</v>
      </c>
      <c r="E690" s="4">
        <f t="shared" si="207"/>
        <v>0</v>
      </c>
      <c r="F690" s="4">
        <f>'入力シート（2事業場以降）'!AR853</f>
        <v>0</v>
      </c>
      <c r="G690" s="126">
        <f>'入力シート（2事業場以降）'!J853</f>
        <v>0</v>
      </c>
      <c r="H690" s="126">
        <f>'入力シート（2事業場以降）'!L853</f>
        <v>0</v>
      </c>
      <c r="I690" s="126">
        <f>'入力シート（2事業場以降）'!N853</f>
        <v>0</v>
      </c>
      <c r="J690" s="32">
        <f t="shared" si="217"/>
        <v>0</v>
      </c>
      <c r="K690" s="32">
        <f t="shared" si="218"/>
        <v>0</v>
      </c>
      <c r="L690" s="32">
        <f t="shared" si="209"/>
        <v>0</v>
      </c>
      <c r="M690" s="287">
        <f t="shared" si="213"/>
        <v>0</v>
      </c>
      <c r="W690" s="117" t="str">
        <f t="shared" ca="1" si="210"/>
        <v>OK</v>
      </c>
      <c r="X690" t="str">
        <f t="shared" ca="1" si="214"/>
        <v>OK</v>
      </c>
      <c r="Y690">
        <f t="shared" si="219"/>
        <v>0</v>
      </c>
      <c r="Z690">
        <f t="shared" si="215"/>
        <v>0</v>
      </c>
      <c r="AA690" s="36"/>
      <c r="AB690" t="s">
        <v>462</v>
      </c>
      <c r="AC690" t="s">
        <v>463</v>
      </c>
      <c r="AD690" t="s">
        <v>464</v>
      </c>
      <c r="AE690" t="s">
        <v>465</v>
      </c>
      <c r="AF690" t="s">
        <v>467</v>
      </c>
      <c r="AG690" t="s">
        <v>466</v>
      </c>
    </row>
    <row r="691" spans="2:33" x14ac:dyDescent="0.15">
      <c r="B691" s="5">
        <v>8</v>
      </c>
      <c r="C691" s="5">
        <v>3</v>
      </c>
      <c r="D691" s="4">
        <f t="shared" si="212"/>
        <v>0</v>
      </c>
      <c r="E691" s="4">
        <f t="shared" si="207"/>
        <v>0</v>
      </c>
      <c r="F691" s="4">
        <f>'入力シート（2事業場以降）'!AR855</f>
        <v>0</v>
      </c>
      <c r="G691" s="126">
        <f>'入力シート（2事業場以降）'!J855</f>
        <v>0</v>
      </c>
      <c r="H691" s="126">
        <f>'入力シート（2事業場以降）'!L855</f>
        <v>0</v>
      </c>
      <c r="I691" s="126">
        <f>'入力シート（2事業場以降）'!N855</f>
        <v>0</v>
      </c>
      <c r="J691" s="32">
        <f t="shared" si="217"/>
        <v>0</v>
      </c>
      <c r="K691" s="32">
        <f t="shared" si="218"/>
        <v>0</v>
      </c>
      <c r="L691" s="32">
        <f t="shared" si="209"/>
        <v>0</v>
      </c>
      <c r="M691" s="287">
        <f t="shared" si="213"/>
        <v>0</v>
      </c>
      <c r="W691" s="117" t="str">
        <f t="shared" ca="1" si="210"/>
        <v>OK</v>
      </c>
      <c r="X691" t="str">
        <f t="shared" ca="1" si="214"/>
        <v>OK</v>
      </c>
      <c r="Y691">
        <f t="shared" si="219"/>
        <v>0</v>
      </c>
      <c r="Z691">
        <f t="shared" si="215"/>
        <v>0</v>
      </c>
      <c r="AA691" s="36"/>
      <c r="AB691" t="s">
        <v>462</v>
      </c>
      <c r="AC691" t="s">
        <v>463</v>
      </c>
      <c r="AD691" t="s">
        <v>464</v>
      </c>
      <c r="AE691" t="s">
        <v>465</v>
      </c>
      <c r="AF691" t="s">
        <v>467</v>
      </c>
      <c r="AG691" t="s">
        <v>466</v>
      </c>
    </row>
    <row r="692" spans="2:33" x14ac:dyDescent="0.15">
      <c r="B692" s="5">
        <v>9</v>
      </c>
      <c r="C692" s="5">
        <v>1</v>
      </c>
      <c r="D692" s="4">
        <f t="shared" si="212"/>
        <v>0</v>
      </c>
      <c r="E692" s="4">
        <f t="shared" si="207"/>
        <v>0</v>
      </c>
      <c r="F692" s="4">
        <f>'入力シート（2事業場以降）'!AR858</f>
        <v>0</v>
      </c>
      <c r="G692" s="126">
        <f>'入力シート（2事業場以降）'!J858</f>
        <v>0</v>
      </c>
      <c r="H692" s="126">
        <f>'入力シート（2事業場以降）'!L858</f>
        <v>0</v>
      </c>
      <c r="I692" s="126">
        <f>'入力シート（2事業場以降）'!N858</f>
        <v>0</v>
      </c>
      <c r="J692" s="32">
        <f t="shared" si="217"/>
        <v>0</v>
      </c>
      <c r="K692" s="32">
        <f t="shared" si="218"/>
        <v>0</v>
      </c>
      <c r="L692" s="32">
        <f t="shared" si="209"/>
        <v>0</v>
      </c>
      <c r="M692" s="287">
        <f t="shared" si="213"/>
        <v>0</v>
      </c>
      <c r="W692" s="117" t="str">
        <f t="shared" ca="1" si="210"/>
        <v>OK</v>
      </c>
      <c r="X692" t="str">
        <f t="shared" ca="1" si="214"/>
        <v>OK</v>
      </c>
      <c r="Y692">
        <f t="shared" si="219"/>
        <v>0</v>
      </c>
      <c r="Z692">
        <f t="shared" si="215"/>
        <v>0</v>
      </c>
      <c r="AA692" t="s">
        <v>461</v>
      </c>
      <c r="AB692" t="s">
        <v>462</v>
      </c>
      <c r="AC692" t="s">
        <v>463</v>
      </c>
      <c r="AD692" t="s">
        <v>464</v>
      </c>
      <c r="AE692" t="s">
        <v>465</v>
      </c>
      <c r="AF692" t="s">
        <v>467</v>
      </c>
      <c r="AG692" t="s">
        <v>466</v>
      </c>
    </row>
    <row r="693" spans="2:33" x14ac:dyDescent="0.15">
      <c r="B693" s="5">
        <v>9</v>
      </c>
      <c r="C693" s="5">
        <v>2</v>
      </c>
      <c r="D693" s="4">
        <f t="shared" si="212"/>
        <v>0</v>
      </c>
      <c r="E693" s="4">
        <f t="shared" si="207"/>
        <v>0</v>
      </c>
      <c r="F693" s="4">
        <f>'入力シート（2事業場以降）'!AR860</f>
        <v>0</v>
      </c>
      <c r="G693" s="126">
        <f>'入力シート（2事業場以降）'!J860</f>
        <v>0</v>
      </c>
      <c r="H693" s="126">
        <f>'入力シート（2事業場以降）'!L860</f>
        <v>0</v>
      </c>
      <c r="I693" s="126">
        <f>'入力シート（2事業場以降）'!N860</f>
        <v>0</v>
      </c>
      <c r="J693" s="32">
        <f t="shared" si="217"/>
        <v>0</v>
      </c>
      <c r="K693" s="32">
        <f t="shared" si="218"/>
        <v>0</v>
      </c>
      <c r="L693" s="32">
        <f t="shared" si="209"/>
        <v>0</v>
      </c>
      <c r="M693" s="287">
        <f t="shared" si="213"/>
        <v>0</v>
      </c>
      <c r="W693" s="117" t="str">
        <f t="shared" ca="1" si="210"/>
        <v>OK</v>
      </c>
      <c r="X693" t="str">
        <f t="shared" ca="1" si="214"/>
        <v>OK</v>
      </c>
      <c r="Y693">
        <f t="shared" si="219"/>
        <v>0</v>
      </c>
      <c r="Z693">
        <f t="shared" si="215"/>
        <v>0</v>
      </c>
      <c r="AA693" s="36"/>
      <c r="AB693" t="s">
        <v>462</v>
      </c>
      <c r="AC693" t="s">
        <v>463</v>
      </c>
      <c r="AD693" t="s">
        <v>464</v>
      </c>
      <c r="AE693" t="s">
        <v>465</v>
      </c>
      <c r="AF693" t="s">
        <v>467</v>
      </c>
      <c r="AG693" t="s">
        <v>466</v>
      </c>
    </row>
    <row r="694" spans="2:33" x14ac:dyDescent="0.15">
      <c r="B694" s="5">
        <v>9</v>
      </c>
      <c r="C694" s="5">
        <v>3</v>
      </c>
      <c r="D694" s="4">
        <f t="shared" si="212"/>
        <v>0</v>
      </c>
      <c r="E694" s="4">
        <f t="shared" si="207"/>
        <v>0</v>
      </c>
      <c r="F694" s="4">
        <f>'入力シート（2事業場以降）'!AR862</f>
        <v>0</v>
      </c>
      <c r="G694" s="126">
        <f>'入力シート（2事業場以降）'!J862</f>
        <v>0</v>
      </c>
      <c r="H694" s="126">
        <f>'入力シート（2事業場以降）'!L862</f>
        <v>0</v>
      </c>
      <c r="I694" s="126">
        <f>'入力シート（2事業場以降）'!N862</f>
        <v>0</v>
      </c>
      <c r="J694" s="32">
        <f t="shared" si="217"/>
        <v>0</v>
      </c>
      <c r="K694" s="32">
        <f t="shared" si="218"/>
        <v>0</v>
      </c>
      <c r="L694" s="32">
        <f t="shared" si="209"/>
        <v>0</v>
      </c>
      <c r="M694" s="287">
        <f t="shared" si="213"/>
        <v>0</v>
      </c>
      <c r="W694" s="117" t="str">
        <f t="shared" ca="1" si="210"/>
        <v>OK</v>
      </c>
      <c r="X694" t="str">
        <f t="shared" ca="1" si="214"/>
        <v>OK</v>
      </c>
      <c r="Y694">
        <f t="shared" si="219"/>
        <v>0</v>
      </c>
      <c r="Z694">
        <f t="shared" si="215"/>
        <v>0</v>
      </c>
      <c r="AA694" s="36"/>
      <c r="AB694" t="s">
        <v>462</v>
      </c>
      <c r="AC694" t="s">
        <v>463</v>
      </c>
      <c r="AD694" t="s">
        <v>464</v>
      </c>
      <c r="AE694" t="s">
        <v>465</v>
      </c>
      <c r="AF694" t="s">
        <v>467</v>
      </c>
      <c r="AG694" t="s">
        <v>466</v>
      </c>
    </row>
    <row r="695" spans="2:33" x14ac:dyDescent="0.15">
      <c r="B695" s="5">
        <v>10</v>
      </c>
      <c r="C695" s="5">
        <v>1</v>
      </c>
      <c r="D695" s="4">
        <f t="shared" si="212"/>
        <v>0</v>
      </c>
      <c r="E695" s="4">
        <f t="shared" si="207"/>
        <v>0</v>
      </c>
      <c r="F695" s="4">
        <f>'入力シート（2事業場以降）'!AR865</f>
        <v>0</v>
      </c>
      <c r="G695" s="126">
        <f>'入力シート（2事業場以降）'!J865</f>
        <v>0</v>
      </c>
      <c r="H695" s="126">
        <f>'入力シート（2事業場以降）'!L865</f>
        <v>0</v>
      </c>
      <c r="I695" s="126">
        <f>'入力シート（2事業場以降）'!N865</f>
        <v>0</v>
      </c>
      <c r="J695" s="32">
        <f t="shared" si="217"/>
        <v>0</v>
      </c>
      <c r="K695" s="32">
        <f t="shared" si="218"/>
        <v>0</v>
      </c>
      <c r="L695" s="32">
        <f t="shared" si="209"/>
        <v>0</v>
      </c>
      <c r="M695" s="287">
        <f t="shared" si="213"/>
        <v>0</v>
      </c>
      <c r="W695" s="117" t="str">
        <f t="shared" ca="1" si="210"/>
        <v>OK</v>
      </c>
      <c r="X695" t="str">
        <f t="shared" ca="1" si="214"/>
        <v>OK</v>
      </c>
      <c r="Y695">
        <f t="shared" si="219"/>
        <v>0</v>
      </c>
      <c r="Z695">
        <f t="shared" si="215"/>
        <v>0</v>
      </c>
      <c r="AA695" t="s">
        <v>461</v>
      </c>
      <c r="AB695" t="s">
        <v>462</v>
      </c>
      <c r="AC695" t="s">
        <v>463</v>
      </c>
      <c r="AD695" t="s">
        <v>464</v>
      </c>
      <c r="AE695" t="s">
        <v>465</v>
      </c>
      <c r="AF695" t="s">
        <v>467</v>
      </c>
      <c r="AG695" t="s">
        <v>466</v>
      </c>
    </row>
    <row r="696" spans="2:33" x14ac:dyDescent="0.15">
      <c r="B696" s="5">
        <v>10</v>
      </c>
      <c r="C696" s="5">
        <v>2</v>
      </c>
      <c r="D696" s="4">
        <f t="shared" si="212"/>
        <v>0</v>
      </c>
      <c r="E696" s="4">
        <f t="shared" si="207"/>
        <v>0</v>
      </c>
      <c r="F696" s="4">
        <f>'入力シート（2事業場以降）'!AR867</f>
        <v>0</v>
      </c>
      <c r="G696" s="126">
        <f>'入力シート（2事業場以降）'!J867</f>
        <v>0</v>
      </c>
      <c r="H696" s="126">
        <f>'入力シート（2事業場以降）'!L867</f>
        <v>0</v>
      </c>
      <c r="I696" s="126">
        <f>'入力シート（2事業場以降）'!N867</f>
        <v>0</v>
      </c>
      <c r="J696" s="32">
        <f t="shared" si="217"/>
        <v>0</v>
      </c>
      <c r="K696" s="32">
        <f t="shared" si="218"/>
        <v>0</v>
      </c>
      <c r="L696" s="32">
        <f t="shared" si="209"/>
        <v>0</v>
      </c>
      <c r="M696" s="287">
        <f t="shared" si="213"/>
        <v>0</v>
      </c>
      <c r="W696" s="117" t="str">
        <f t="shared" ca="1" si="210"/>
        <v>OK</v>
      </c>
      <c r="X696" t="str">
        <f t="shared" ca="1" si="214"/>
        <v>OK</v>
      </c>
      <c r="Y696">
        <f t="shared" si="219"/>
        <v>0</v>
      </c>
      <c r="Z696">
        <f t="shared" si="215"/>
        <v>0</v>
      </c>
      <c r="AA696" s="36"/>
      <c r="AB696" t="s">
        <v>462</v>
      </c>
      <c r="AC696" t="s">
        <v>463</v>
      </c>
      <c r="AD696" t="s">
        <v>464</v>
      </c>
      <c r="AE696" t="s">
        <v>465</v>
      </c>
      <c r="AF696" t="s">
        <v>467</v>
      </c>
      <c r="AG696" t="s">
        <v>466</v>
      </c>
    </row>
    <row r="697" spans="2:33" x14ac:dyDescent="0.15">
      <c r="B697" s="5">
        <v>10</v>
      </c>
      <c r="C697" s="5">
        <v>3</v>
      </c>
      <c r="D697" s="4">
        <f t="shared" si="212"/>
        <v>0</v>
      </c>
      <c r="E697" s="4">
        <f t="shared" si="207"/>
        <v>0</v>
      </c>
      <c r="F697" s="4">
        <f>'入力シート（2事業場以降）'!AR869</f>
        <v>0</v>
      </c>
      <c r="G697" s="126">
        <f>'入力シート（2事業場以降）'!J869</f>
        <v>0</v>
      </c>
      <c r="H697" s="126">
        <f>'入力シート（2事業場以降）'!L869</f>
        <v>0</v>
      </c>
      <c r="I697" s="126">
        <f>'入力シート（2事業場以降）'!N869</f>
        <v>0</v>
      </c>
      <c r="J697" s="32">
        <f t="shared" si="217"/>
        <v>0</v>
      </c>
      <c r="K697" s="32">
        <f t="shared" si="218"/>
        <v>0</v>
      </c>
      <c r="L697" s="32">
        <f t="shared" si="209"/>
        <v>0</v>
      </c>
      <c r="M697" s="287">
        <f t="shared" si="213"/>
        <v>0</v>
      </c>
      <c r="W697" s="117" t="str">
        <f t="shared" ca="1" si="210"/>
        <v>OK</v>
      </c>
      <c r="X697" t="str">
        <f t="shared" ca="1" si="214"/>
        <v>OK</v>
      </c>
      <c r="Y697">
        <f t="shared" si="219"/>
        <v>0</v>
      </c>
      <c r="Z697">
        <f t="shared" si="215"/>
        <v>0</v>
      </c>
      <c r="AA697" s="36"/>
      <c r="AB697" t="s">
        <v>462</v>
      </c>
      <c r="AC697" t="s">
        <v>463</v>
      </c>
      <c r="AD697" t="s">
        <v>464</v>
      </c>
      <c r="AE697" t="s">
        <v>465</v>
      </c>
      <c r="AF697" t="s">
        <v>467</v>
      </c>
      <c r="AG697" t="s">
        <v>466</v>
      </c>
    </row>
    <row r="698" spans="2:33" x14ac:dyDescent="0.15">
      <c r="B698" s="5">
        <v>11</v>
      </c>
      <c r="C698" s="5">
        <v>1</v>
      </c>
      <c r="D698" s="4">
        <f t="shared" si="212"/>
        <v>0</v>
      </c>
      <c r="E698" s="4">
        <f t="shared" si="207"/>
        <v>0</v>
      </c>
      <c r="F698" s="4">
        <f>'入力シート（2事業場以降）'!AR872</f>
        <v>0</v>
      </c>
      <c r="G698" s="126">
        <f>'入力シート（2事業場以降）'!J872</f>
        <v>0</v>
      </c>
      <c r="H698" s="126">
        <f>'入力シート（2事業場以降）'!L872</f>
        <v>0</v>
      </c>
      <c r="I698" s="126">
        <f>'入力シート（2事業場以降）'!N872</f>
        <v>0</v>
      </c>
      <c r="J698" s="32">
        <f t="shared" ref="J698:J761" si="220">IF(E698=1,IF(F698=2,K698+L698,G698),0)</f>
        <v>0</v>
      </c>
      <c r="K698" s="32">
        <f t="shared" ref="K698:K761" si="221">IF(E698=1,H698,0)</f>
        <v>0</v>
      </c>
      <c r="L698" s="32">
        <f t="shared" si="209"/>
        <v>0</v>
      </c>
      <c r="M698" s="287">
        <f t="shared" si="213"/>
        <v>0</v>
      </c>
      <c r="W698" s="117" t="str">
        <f t="shared" ca="1" si="210"/>
        <v>OK</v>
      </c>
      <c r="X698" t="str">
        <f t="shared" ca="1" si="214"/>
        <v>OK</v>
      </c>
      <c r="Y698">
        <f t="shared" si="219"/>
        <v>0</v>
      </c>
      <c r="Z698">
        <f t="shared" si="215"/>
        <v>0</v>
      </c>
      <c r="AA698" t="s">
        <v>461</v>
      </c>
      <c r="AB698" t="s">
        <v>462</v>
      </c>
      <c r="AC698" t="s">
        <v>463</v>
      </c>
      <c r="AD698" t="s">
        <v>464</v>
      </c>
      <c r="AE698" t="s">
        <v>465</v>
      </c>
      <c r="AF698" t="s">
        <v>467</v>
      </c>
      <c r="AG698" t="s">
        <v>466</v>
      </c>
    </row>
    <row r="699" spans="2:33" x14ac:dyDescent="0.15">
      <c r="B699" s="5">
        <v>11</v>
      </c>
      <c r="C699" s="5">
        <v>2</v>
      </c>
      <c r="D699" s="4">
        <f t="shared" si="212"/>
        <v>0</v>
      </c>
      <c r="E699" s="4">
        <f t="shared" si="207"/>
        <v>0</v>
      </c>
      <c r="F699" s="4">
        <f>'入力シート（2事業場以降）'!AR874</f>
        <v>0</v>
      </c>
      <c r="G699" s="126">
        <f>'入力シート（2事業場以降）'!J874</f>
        <v>0</v>
      </c>
      <c r="H699" s="126">
        <f>'入力シート（2事業場以降）'!L874</f>
        <v>0</v>
      </c>
      <c r="I699" s="126">
        <f>'入力シート（2事業場以降）'!N874</f>
        <v>0</v>
      </c>
      <c r="J699" s="32">
        <f t="shared" si="220"/>
        <v>0</v>
      </c>
      <c r="K699" s="32">
        <f t="shared" si="221"/>
        <v>0</v>
      </c>
      <c r="L699" s="32">
        <f t="shared" si="209"/>
        <v>0</v>
      </c>
      <c r="M699" s="287">
        <f t="shared" si="213"/>
        <v>0</v>
      </c>
      <c r="W699" s="117" t="str">
        <f t="shared" ca="1" si="210"/>
        <v>OK</v>
      </c>
      <c r="X699" t="str">
        <f t="shared" ca="1" si="214"/>
        <v>OK</v>
      </c>
      <c r="Y699">
        <f t="shared" si="219"/>
        <v>0</v>
      </c>
      <c r="Z699">
        <f t="shared" si="215"/>
        <v>0</v>
      </c>
      <c r="AA699" s="36"/>
      <c r="AB699" t="s">
        <v>462</v>
      </c>
      <c r="AC699" t="s">
        <v>463</v>
      </c>
      <c r="AD699" t="s">
        <v>464</v>
      </c>
      <c r="AE699" t="s">
        <v>465</v>
      </c>
      <c r="AF699" t="s">
        <v>467</v>
      </c>
      <c r="AG699" t="s">
        <v>466</v>
      </c>
    </row>
    <row r="700" spans="2:33" x14ac:dyDescent="0.15">
      <c r="B700" s="5">
        <v>11</v>
      </c>
      <c r="C700" s="5">
        <v>3</v>
      </c>
      <c r="D700" s="4">
        <f t="shared" si="212"/>
        <v>0</v>
      </c>
      <c r="E700" s="4">
        <f t="shared" si="207"/>
        <v>0</v>
      </c>
      <c r="F700" s="4">
        <f>'入力シート（2事業場以降）'!AR876</f>
        <v>0</v>
      </c>
      <c r="G700" s="126">
        <f>'入力シート（2事業場以降）'!J876</f>
        <v>0</v>
      </c>
      <c r="H700" s="126">
        <f>'入力シート（2事業場以降）'!L876</f>
        <v>0</v>
      </c>
      <c r="I700" s="126">
        <f>'入力シート（2事業場以降）'!N876</f>
        <v>0</v>
      </c>
      <c r="J700" s="32">
        <f t="shared" si="220"/>
        <v>0</v>
      </c>
      <c r="K700" s="32">
        <f t="shared" si="221"/>
        <v>0</v>
      </c>
      <c r="L700" s="32">
        <f t="shared" ref="L700:L731" si="222">IF(OR(P546="①",P546="②",E700=0),0,I700)</f>
        <v>0</v>
      </c>
      <c r="M700" s="287">
        <f t="shared" si="213"/>
        <v>0</v>
      </c>
      <c r="W700" s="117" t="str">
        <f t="shared" ref="W700:W731" ca="1" si="223">IF(OR(X700=$V$1,X700=""),$V$1,"NG")</f>
        <v>OK</v>
      </c>
      <c r="X700" t="str">
        <f t="shared" ca="1" si="214"/>
        <v>OK</v>
      </c>
      <c r="Y700">
        <f t="shared" ref="Y700:Y731" si="224">IF(D700=1,IF(OR(E700=0,AND(B700=B699,E699=0)),1,IF(E700=1,IF(F700=0,2,IF(AND(F700=1,J700=0,K700=0),3,IF(AND(F700=1,J700=0),4,IF(K700=0,5,0)))))),0)</f>
        <v>0</v>
      </c>
      <c r="Z700">
        <f t="shared" si="215"/>
        <v>0</v>
      </c>
      <c r="AA700" s="36"/>
      <c r="AB700" t="s">
        <v>462</v>
      </c>
      <c r="AC700" t="s">
        <v>463</v>
      </c>
      <c r="AD700" t="s">
        <v>464</v>
      </c>
      <c r="AE700" t="s">
        <v>465</v>
      </c>
      <c r="AF700" t="s">
        <v>467</v>
      </c>
      <c r="AG700" t="s">
        <v>466</v>
      </c>
    </row>
    <row r="701" spans="2:33" x14ac:dyDescent="0.15">
      <c r="B701" s="5">
        <v>12</v>
      </c>
      <c r="C701" s="5">
        <v>1</v>
      </c>
      <c r="D701" s="4">
        <f t="shared" ref="D701:D732" si="225">IF(B701&lt;=$G$60,1,0)</f>
        <v>0</v>
      </c>
      <c r="E701" s="4">
        <f t="shared" ref="E701:E732" si="226">IF(AND(D701=1,Y547=0,Z547=0),1,0)</f>
        <v>0</v>
      </c>
      <c r="F701" s="4">
        <f>'入力シート（2事業場以降）'!AR879</f>
        <v>0</v>
      </c>
      <c r="G701" s="126">
        <f>'入力シート（2事業場以降）'!J879</f>
        <v>0</v>
      </c>
      <c r="H701" s="126">
        <f>'入力シート（2事業場以降）'!L879</f>
        <v>0</v>
      </c>
      <c r="I701" s="126">
        <f>'入力シート（2事業場以降）'!N879</f>
        <v>0</v>
      </c>
      <c r="J701" s="32">
        <f t="shared" si="220"/>
        <v>0</v>
      </c>
      <c r="K701" s="32">
        <f t="shared" si="221"/>
        <v>0</v>
      </c>
      <c r="L701" s="32">
        <f t="shared" si="222"/>
        <v>0</v>
      </c>
      <c r="M701" s="287">
        <f t="shared" si="213"/>
        <v>0</v>
      </c>
      <c r="W701" s="117" t="str">
        <f t="shared" ca="1" si="223"/>
        <v>OK</v>
      </c>
      <c r="X701" t="str">
        <f t="shared" ca="1" si="214"/>
        <v>OK</v>
      </c>
      <c r="Y701">
        <f t="shared" si="224"/>
        <v>0</v>
      </c>
      <c r="Z701">
        <f t="shared" si="215"/>
        <v>0</v>
      </c>
      <c r="AA701" t="s">
        <v>461</v>
      </c>
      <c r="AB701" t="s">
        <v>462</v>
      </c>
      <c r="AC701" t="s">
        <v>463</v>
      </c>
      <c r="AD701" t="s">
        <v>464</v>
      </c>
      <c r="AE701" t="s">
        <v>465</v>
      </c>
      <c r="AF701" t="s">
        <v>467</v>
      </c>
      <c r="AG701" t="s">
        <v>466</v>
      </c>
    </row>
    <row r="702" spans="2:33" x14ac:dyDescent="0.15">
      <c r="B702" s="5">
        <v>12</v>
      </c>
      <c r="C702" s="5">
        <v>2</v>
      </c>
      <c r="D702" s="4">
        <f t="shared" si="225"/>
        <v>0</v>
      </c>
      <c r="E702" s="4">
        <f t="shared" si="226"/>
        <v>0</v>
      </c>
      <c r="F702" s="4">
        <f>'入力シート（2事業場以降）'!AR881</f>
        <v>0</v>
      </c>
      <c r="G702" s="126">
        <f>'入力シート（2事業場以降）'!J881</f>
        <v>0</v>
      </c>
      <c r="H702" s="126">
        <f>'入力シート（2事業場以降）'!L881</f>
        <v>0</v>
      </c>
      <c r="I702" s="126">
        <f>'入力シート（2事業場以降）'!N881</f>
        <v>0</v>
      </c>
      <c r="J702" s="32">
        <f t="shared" si="220"/>
        <v>0</v>
      </c>
      <c r="K702" s="32">
        <f t="shared" si="221"/>
        <v>0</v>
      </c>
      <c r="L702" s="32">
        <f t="shared" si="222"/>
        <v>0</v>
      </c>
      <c r="M702" s="287">
        <f t="shared" si="213"/>
        <v>0</v>
      </c>
      <c r="W702" s="117" t="str">
        <f t="shared" ca="1" si="223"/>
        <v>OK</v>
      </c>
      <c r="X702" t="str">
        <f t="shared" ca="1" si="214"/>
        <v>OK</v>
      </c>
      <c r="Y702">
        <f t="shared" si="224"/>
        <v>0</v>
      </c>
      <c r="Z702">
        <f t="shared" si="215"/>
        <v>0</v>
      </c>
      <c r="AA702" s="36"/>
      <c r="AB702" t="s">
        <v>462</v>
      </c>
      <c r="AC702" t="s">
        <v>463</v>
      </c>
      <c r="AD702" t="s">
        <v>464</v>
      </c>
      <c r="AE702" t="s">
        <v>465</v>
      </c>
      <c r="AF702" t="s">
        <v>467</v>
      </c>
      <c r="AG702" t="s">
        <v>466</v>
      </c>
    </row>
    <row r="703" spans="2:33" x14ac:dyDescent="0.15">
      <c r="B703" s="5">
        <v>12</v>
      </c>
      <c r="C703" s="5">
        <v>3</v>
      </c>
      <c r="D703" s="4">
        <f t="shared" si="225"/>
        <v>0</v>
      </c>
      <c r="E703" s="4">
        <f t="shared" si="226"/>
        <v>0</v>
      </c>
      <c r="F703" s="4">
        <f>'入力シート（2事業場以降）'!AR883</f>
        <v>0</v>
      </c>
      <c r="G703" s="126">
        <f>'入力シート（2事業場以降）'!J883</f>
        <v>0</v>
      </c>
      <c r="H703" s="126">
        <f>'入力シート（2事業場以降）'!L883</f>
        <v>0</v>
      </c>
      <c r="I703" s="126">
        <f>'入力シート（2事業場以降）'!N883</f>
        <v>0</v>
      </c>
      <c r="J703" s="32">
        <f t="shared" si="220"/>
        <v>0</v>
      </c>
      <c r="K703" s="32">
        <f t="shared" si="221"/>
        <v>0</v>
      </c>
      <c r="L703" s="32">
        <f t="shared" si="222"/>
        <v>0</v>
      </c>
      <c r="M703" s="287">
        <f t="shared" si="213"/>
        <v>0</v>
      </c>
      <c r="W703" s="117" t="str">
        <f t="shared" ca="1" si="223"/>
        <v>OK</v>
      </c>
      <c r="X703" t="str">
        <f t="shared" ca="1" si="214"/>
        <v>OK</v>
      </c>
      <c r="Y703">
        <f t="shared" si="224"/>
        <v>0</v>
      </c>
      <c r="Z703">
        <f t="shared" si="215"/>
        <v>0</v>
      </c>
      <c r="AA703" s="36"/>
      <c r="AB703" t="s">
        <v>462</v>
      </c>
      <c r="AC703" t="s">
        <v>463</v>
      </c>
      <c r="AD703" t="s">
        <v>464</v>
      </c>
      <c r="AE703" t="s">
        <v>465</v>
      </c>
      <c r="AF703" t="s">
        <v>467</v>
      </c>
      <c r="AG703" t="s">
        <v>466</v>
      </c>
    </row>
    <row r="704" spans="2:33" x14ac:dyDescent="0.15">
      <c r="B704" s="5">
        <v>13</v>
      </c>
      <c r="C704" s="5">
        <v>1</v>
      </c>
      <c r="D704" s="4">
        <f t="shared" si="225"/>
        <v>0</v>
      </c>
      <c r="E704" s="4">
        <f t="shared" si="226"/>
        <v>0</v>
      </c>
      <c r="F704" s="4">
        <f>'入力シート（2事業場以降）'!AR886</f>
        <v>0</v>
      </c>
      <c r="G704" s="126">
        <f>'入力シート（2事業場以降）'!J886</f>
        <v>0</v>
      </c>
      <c r="H704" s="126">
        <f>'入力シート（2事業場以降）'!L886</f>
        <v>0</v>
      </c>
      <c r="I704" s="126">
        <f>'入力シート（2事業場以降）'!N886</f>
        <v>0</v>
      </c>
      <c r="J704" s="32">
        <f t="shared" si="220"/>
        <v>0</v>
      </c>
      <c r="K704" s="32">
        <f t="shared" si="221"/>
        <v>0</v>
      </c>
      <c r="L704" s="32">
        <f t="shared" si="222"/>
        <v>0</v>
      </c>
      <c r="M704" s="287">
        <f t="shared" si="213"/>
        <v>0</v>
      </c>
      <c r="W704" s="117" t="str">
        <f t="shared" ca="1" si="223"/>
        <v>OK</v>
      </c>
      <c r="X704" t="str">
        <f t="shared" ca="1" si="214"/>
        <v>OK</v>
      </c>
      <c r="Y704">
        <f t="shared" si="224"/>
        <v>0</v>
      </c>
      <c r="Z704">
        <f t="shared" si="215"/>
        <v>0</v>
      </c>
      <c r="AA704" t="s">
        <v>461</v>
      </c>
      <c r="AB704" t="s">
        <v>462</v>
      </c>
      <c r="AC704" t="s">
        <v>463</v>
      </c>
      <c r="AD704" t="s">
        <v>464</v>
      </c>
      <c r="AE704" t="s">
        <v>465</v>
      </c>
      <c r="AF704" t="s">
        <v>467</v>
      </c>
      <c r="AG704" t="s">
        <v>466</v>
      </c>
    </row>
    <row r="705" spans="2:33" x14ac:dyDescent="0.15">
      <c r="B705" s="5">
        <v>13</v>
      </c>
      <c r="C705" s="5">
        <v>2</v>
      </c>
      <c r="D705" s="4">
        <f t="shared" si="225"/>
        <v>0</v>
      </c>
      <c r="E705" s="4">
        <f t="shared" si="226"/>
        <v>0</v>
      </c>
      <c r="F705" s="4">
        <f>'入力シート（2事業場以降）'!AR888</f>
        <v>0</v>
      </c>
      <c r="G705" s="126">
        <f>'入力シート（2事業場以降）'!J888</f>
        <v>0</v>
      </c>
      <c r="H705" s="126">
        <f>'入力シート（2事業場以降）'!L888</f>
        <v>0</v>
      </c>
      <c r="I705" s="126">
        <f>'入力シート（2事業場以降）'!N888</f>
        <v>0</v>
      </c>
      <c r="J705" s="32">
        <f t="shared" si="220"/>
        <v>0</v>
      </c>
      <c r="K705" s="32">
        <f t="shared" si="221"/>
        <v>0</v>
      </c>
      <c r="L705" s="32">
        <f t="shared" si="222"/>
        <v>0</v>
      </c>
      <c r="M705" s="287">
        <f t="shared" si="213"/>
        <v>0</v>
      </c>
      <c r="W705" s="117" t="str">
        <f t="shared" ca="1" si="223"/>
        <v>OK</v>
      </c>
      <c r="X705" t="str">
        <f t="shared" ca="1" si="214"/>
        <v>OK</v>
      </c>
      <c r="Y705">
        <f t="shared" si="224"/>
        <v>0</v>
      </c>
      <c r="Z705">
        <f t="shared" si="215"/>
        <v>0</v>
      </c>
      <c r="AA705" s="36"/>
      <c r="AB705" t="s">
        <v>462</v>
      </c>
      <c r="AC705" t="s">
        <v>463</v>
      </c>
      <c r="AD705" t="s">
        <v>464</v>
      </c>
      <c r="AE705" t="s">
        <v>465</v>
      </c>
      <c r="AF705" t="s">
        <v>467</v>
      </c>
      <c r="AG705" t="s">
        <v>466</v>
      </c>
    </row>
    <row r="706" spans="2:33" x14ac:dyDescent="0.15">
      <c r="B706" s="5">
        <v>13</v>
      </c>
      <c r="C706" s="5">
        <v>3</v>
      </c>
      <c r="D706" s="4">
        <f t="shared" si="225"/>
        <v>0</v>
      </c>
      <c r="E706" s="4">
        <f t="shared" si="226"/>
        <v>0</v>
      </c>
      <c r="F706" s="4">
        <f>'入力シート（2事業場以降）'!AR890</f>
        <v>0</v>
      </c>
      <c r="G706" s="126">
        <f>'入力シート（2事業場以降）'!J890</f>
        <v>0</v>
      </c>
      <c r="H706" s="126">
        <f>'入力シート（2事業場以降）'!L890</f>
        <v>0</v>
      </c>
      <c r="I706" s="126">
        <f>'入力シート（2事業場以降）'!N890</f>
        <v>0</v>
      </c>
      <c r="J706" s="32">
        <f t="shared" si="220"/>
        <v>0</v>
      </c>
      <c r="K706" s="32">
        <f t="shared" si="221"/>
        <v>0</v>
      </c>
      <c r="L706" s="32">
        <f t="shared" si="222"/>
        <v>0</v>
      </c>
      <c r="M706" s="287">
        <f t="shared" si="213"/>
        <v>0</v>
      </c>
      <c r="W706" s="117" t="str">
        <f t="shared" ca="1" si="223"/>
        <v>OK</v>
      </c>
      <c r="X706" t="str">
        <f t="shared" ca="1" si="214"/>
        <v>OK</v>
      </c>
      <c r="Y706">
        <f t="shared" si="224"/>
        <v>0</v>
      </c>
      <c r="Z706">
        <f t="shared" si="215"/>
        <v>0</v>
      </c>
      <c r="AA706" s="36"/>
      <c r="AB706" t="s">
        <v>462</v>
      </c>
      <c r="AC706" t="s">
        <v>463</v>
      </c>
      <c r="AD706" t="s">
        <v>464</v>
      </c>
      <c r="AE706" t="s">
        <v>465</v>
      </c>
      <c r="AF706" t="s">
        <v>467</v>
      </c>
      <c r="AG706" t="s">
        <v>466</v>
      </c>
    </row>
    <row r="707" spans="2:33" x14ac:dyDescent="0.15">
      <c r="B707" s="5">
        <v>14</v>
      </c>
      <c r="C707" s="5">
        <v>1</v>
      </c>
      <c r="D707" s="4">
        <f t="shared" si="225"/>
        <v>0</v>
      </c>
      <c r="E707" s="4">
        <f t="shared" si="226"/>
        <v>0</v>
      </c>
      <c r="F707" s="4">
        <f>'入力シート（2事業場以降）'!AR893</f>
        <v>0</v>
      </c>
      <c r="G707" s="126">
        <f>'入力シート（2事業場以降）'!J893</f>
        <v>0</v>
      </c>
      <c r="H707" s="126">
        <f>'入力シート（2事業場以降）'!L893</f>
        <v>0</v>
      </c>
      <c r="I707" s="126">
        <f>'入力シート（2事業場以降）'!N893</f>
        <v>0</v>
      </c>
      <c r="J707" s="32">
        <f t="shared" si="220"/>
        <v>0</v>
      </c>
      <c r="K707" s="32">
        <f t="shared" si="221"/>
        <v>0</v>
      </c>
      <c r="L707" s="32">
        <f t="shared" si="222"/>
        <v>0</v>
      </c>
      <c r="M707" s="287">
        <f t="shared" si="213"/>
        <v>0</v>
      </c>
      <c r="W707" s="117" t="str">
        <f t="shared" ca="1" si="223"/>
        <v>OK</v>
      </c>
      <c r="X707" t="str">
        <f t="shared" ca="1" si="214"/>
        <v>OK</v>
      </c>
      <c r="Y707">
        <f t="shared" si="224"/>
        <v>0</v>
      </c>
      <c r="Z707">
        <f t="shared" si="215"/>
        <v>0</v>
      </c>
      <c r="AA707" t="s">
        <v>461</v>
      </c>
      <c r="AB707" t="s">
        <v>462</v>
      </c>
      <c r="AC707" t="s">
        <v>463</v>
      </c>
      <c r="AD707" t="s">
        <v>464</v>
      </c>
      <c r="AE707" t="s">
        <v>465</v>
      </c>
      <c r="AF707" t="s">
        <v>467</v>
      </c>
      <c r="AG707" t="s">
        <v>466</v>
      </c>
    </row>
    <row r="708" spans="2:33" x14ac:dyDescent="0.15">
      <c r="B708" s="5">
        <v>14</v>
      </c>
      <c r="C708" s="5">
        <v>2</v>
      </c>
      <c r="D708" s="4">
        <f t="shared" si="225"/>
        <v>0</v>
      </c>
      <c r="E708" s="4">
        <f t="shared" si="226"/>
        <v>0</v>
      </c>
      <c r="F708" s="4">
        <f>'入力シート（2事業場以降）'!AR895</f>
        <v>0</v>
      </c>
      <c r="G708" s="126">
        <f>'入力シート（2事業場以降）'!J895</f>
        <v>0</v>
      </c>
      <c r="H708" s="126">
        <f>'入力シート（2事業場以降）'!L895</f>
        <v>0</v>
      </c>
      <c r="I708" s="126">
        <f>'入力シート（2事業場以降）'!N895</f>
        <v>0</v>
      </c>
      <c r="J708" s="32">
        <f t="shared" si="220"/>
        <v>0</v>
      </c>
      <c r="K708" s="32">
        <f t="shared" si="221"/>
        <v>0</v>
      </c>
      <c r="L708" s="32">
        <f t="shared" si="222"/>
        <v>0</v>
      </c>
      <c r="M708" s="287">
        <f t="shared" si="213"/>
        <v>0</v>
      </c>
      <c r="W708" s="117" t="str">
        <f t="shared" ca="1" si="223"/>
        <v>OK</v>
      </c>
      <c r="X708" t="str">
        <f t="shared" ca="1" si="214"/>
        <v>OK</v>
      </c>
      <c r="Y708">
        <f t="shared" si="224"/>
        <v>0</v>
      </c>
      <c r="Z708">
        <f t="shared" si="215"/>
        <v>0</v>
      </c>
      <c r="AA708" s="36"/>
      <c r="AB708" t="s">
        <v>462</v>
      </c>
      <c r="AC708" t="s">
        <v>463</v>
      </c>
      <c r="AD708" t="s">
        <v>464</v>
      </c>
      <c r="AE708" t="s">
        <v>465</v>
      </c>
      <c r="AF708" t="s">
        <v>467</v>
      </c>
      <c r="AG708" t="s">
        <v>466</v>
      </c>
    </row>
    <row r="709" spans="2:33" x14ac:dyDescent="0.15">
      <c r="B709" s="5">
        <v>14</v>
      </c>
      <c r="C709" s="5">
        <v>3</v>
      </c>
      <c r="D709" s="4">
        <f t="shared" si="225"/>
        <v>0</v>
      </c>
      <c r="E709" s="4">
        <f t="shared" si="226"/>
        <v>0</v>
      </c>
      <c r="F709" s="4">
        <f>'入力シート（2事業場以降）'!AR897</f>
        <v>0</v>
      </c>
      <c r="G709" s="126">
        <f>'入力シート（2事業場以降）'!J897</f>
        <v>0</v>
      </c>
      <c r="H709" s="126">
        <f>'入力シート（2事業場以降）'!L897</f>
        <v>0</v>
      </c>
      <c r="I709" s="126">
        <f>'入力シート（2事業場以降）'!N897</f>
        <v>0</v>
      </c>
      <c r="J709" s="32">
        <f t="shared" si="220"/>
        <v>0</v>
      </c>
      <c r="K709" s="32">
        <f t="shared" si="221"/>
        <v>0</v>
      </c>
      <c r="L709" s="32">
        <f t="shared" si="222"/>
        <v>0</v>
      </c>
      <c r="M709" s="287">
        <f t="shared" si="213"/>
        <v>0</v>
      </c>
      <c r="W709" s="117" t="str">
        <f t="shared" ca="1" si="223"/>
        <v>OK</v>
      </c>
      <c r="X709" t="str">
        <f t="shared" ca="1" si="214"/>
        <v>OK</v>
      </c>
      <c r="Y709">
        <f t="shared" si="224"/>
        <v>0</v>
      </c>
      <c r="Z709">
        <f t="shared" si="215"/>
        <v>0</v>
      </c>
      <c r="AA709" s="36"/>
      <c r="AB709" t="s">
        <v>462</v>
      </c>
      <c r="AC709" t="s">
        <v>463</v>
      </c>
      <c r="AD709" t="s">
        <v>464</v>
      </c>
      <c r="AE709" t="s">
        <v>465</v>
      </c>
      <c r="AF709" t="s">
        <v>467</v>
      </c>
      <c r="AG709" t="s">
        <v>466</v>
      </c>
    </row>
    <row r="710" spans="2:33" x14ac:dyDescent="0.15">
      <c r="B710" s="5">
        <v>15</v>
      </c>
      <c r="C710" s="5">
        <v>1</v>
      </c>
      <c r="D710" s="4">
        <f t="shared" si="225"/>
        <v>0</v>
      </c>
      <c r="E710" s="4">
        <f t="shared" si="226"/>
        <v>0</v>
      </c>
      <c r="F710" s="4">
        <f>'入力シート（2事業場以降）'!AR900</f>
        <v>0</v>
      </c>
      <c r="G710" s="126">
        <f>'入力シート（2事業場以降）'!J900</f>
        <v>0</v>
      </c>
      <c r="H710" s="126">
        <f>'入力シート（2事業場以降）'!L900</f>
        <v>0</v>
      </c>
      <c r="I710" s="126">
        <f>'入力シート（2事業場以降）'!N900</f>
        <v>0</v>
      </c>
      <c r="J710" s="32">
        <f t="shared" si="220"/>
        <v>0</v>
      </c>
      <c r="K710" s="32">
        <f t="shared" si="221"/>
        <v>0</v>
      </c>
      <c r="L710" s="32">
        <f t="shared" si="222"/>
        <v>0</v>
      </c>
      <c r="M710" s="287">
        <f t="shared" si="213"/>
        <v>0</v>
      </c>
      <c r="W710" s="117" t="str">
        <f t="shared" ca="1" si="223"/>
        <v>OK</v>
      </c>
      <c r="X710" t="str">
        <f t="shared" ca="1" si="214"/>
        <v>OK</v>
      </c>
      <c r="Y710">
        <f t="shared" si="224"/>
        <v>0</v>
      </c>
      <c r="Z710">
        <f t="shared" si="215"/>
        <v>0</v>
      </c>
      <c r="AA710" t="s">
        <v>461</v>
      </c>
      <c r="AB710" t="s">
        <v>462</v>
      </c>
      <c r="AC710" t="s">
        <v>463</v>
      </c>
      <c r="AD710" t="s">
        <v>464</v>
      </c>
      <c r="AE710" t="s">
        <v>465</v>
      </c>
      <c r="AF710" t="s">
        <v>467</v>
      </c>
      <c r="AG710" t="s">
        <v>466</v>
      </c>
    </row>
    <row r="711" spans="2:33" x14ac:dyDescent="0.15">
      <c r="B711" s="5">
        <v>15</v>
      </c>
      <c r="C711" s="5">
        <v>2</v>
      </c>
      <c r="D711" s="4">
        <f t="shared" si="225"/>
        <v>0</v>
      </c>
      <c r="E711" s="4">
        <f t="shared" si="226"/>
        <v>0</v>
      </c>
      <c r="F711" s="4">
        <f>'入力シート（2事業場以降）'!AR902</f>
        <v>0</v>
      </c>
      <c r="G711" s="126">
        <f>'入力シート（2事業場以降）'!J902</f>
        <v>0</v>
      </c>
      <c r="H711" s="126">
        <f>'入力シート（2事業場以降）'!L902</f>
        <v>0</v>
      </c>
      <c r="I711" s="126">
        <f>'入力シート（2事業場以降）'!N902</f>
        <v>0</v>
      </c>
      <c r="J711" s="32">
        <f t="shared" si="220"/>
        <v>0</v>
      </c>
      <c r="K711" s="32">
        <f t="shared" si="221"/>
        <v>0</v>
      </c>
      <c r="L711" s="32">
        <f t="shared" si="222"/>
        <v>0</v>
      </c>
      <c r="M711" s="287">
        <f t="shared" si="213"/>
        <v>0</v>
      </c>
      <c r="W711" s="117" t="str">
        <f t="shared" ca="1" si="223"/>
        <v>OK</v>
      </c>
      <c r="X711" t="str">
        <f t="shared" ca="1" si="214"/>
        <v>OK</v>
      </c>
      <c r="Y711">
        <f t="shared" si="224"/>
        <v>0</v>
      </c>
      <c r="Z711">
        <f t="shared" si="215"/>
        <v>0</v>
      </c>
      <c r="AA711" s="36"/>
      <c r="AB711" t="s">
        <v>462</v>
      </c>
      <c r="AC711" t="s">
        <v>463</v>
      </c>
      <c r="AD711" t="s">
        <v>464</v>
      </c>
      <c r="AE711" t="s">
        <v>465</v>
      </c>
      <c r="AF711" t="s">
        <v>467</v>
      </c>
      <c r="AG711" t="s">
        <v>466</v>
      </c>
    </row>
    <row r="712" spans="2:33" x14ac:dyDescent="0.15">
      <c r="B712" s="5">
        <v>15</v>
      </c>
      <c r="C712" s="5">
        <v>3</v>
      </c>
      <c r="D712" s="4">
        <f t="shared" si="225"/>
        <v>0</v>
      </c>
      <c r="E712" s="4">
        <f t="shared" si="226"/>
        <v>0</v>
      </c>
      <c r="F712" s="4">
        <f>'入力シート（2事業場以降）'!AR904</f>
        <v>0</v>
      </c>
      <c r="G712" s="126">
        <f>'入力シート（2事業場以降）'!J904</f>
        <v>0</v>
      </c>
      <c r="H712" s="126">
        <f>'入力シート（2事業場以降）'!L904</f>
        <v>0</v>
      </c>
      <c r="I712" s="126">
        <f>'入力シート（2事業場以降）'!N904</f>
        <v>0</v>
      </c>
      <c r="J712" s="32">
        <f t="shared" si="220"/>
        <v>0</v>
      </c>
      <c r="K712" s="32">
        <f t="shared" si="221"/>
        <v>0</v>
      </c>
      <c r="L712" s="32">
        <f t="shared" si="222"/>
        <v>0</v>
      </c>
      <c r="M712" s="287">
        <f t="shared" si="213"/>
        <v>0</v>
      </c>
      <c r="W712" s="117" t="str">
        <f t="shared" ca="1" si="223"/>
        <v>OK</v>
      </c>
      <c r="X712" t="str">
        <f t="shared" ca="1" si="214"/>
        <v>OK</v>
      </c>
      <c r="Y712">
        <f t="shared" si="224"/>
        <v>0</v>
      </c>
      <c r="Z712">
        <f t="shared" si="215"/>
        <v>0</v>
      </c>
      <c r="AA712" s="36"/>
      <c r="AB712" t="s">
        <v>462</v>
      </c>
      <c r="AC712" t="s">
        <v>463</v>
      </c>
      <c r="AD712" t="s">
        <v>464</v>
      </c>
      <c r="AE712" t="s">
        <v>465</v>
      </c>
      <c r="AF712" t="s">
        <v>467</v>
      </c>
      <c r="AG712" t="s">
        <v>466</v>
      </c>
    </row>
    <row r="713" spans="2:33" x14ac:dyDescent="0.15">
      <c r="B713" s="5">
        <v>16</v>
      </c>
      <c r="C713" s="5">
        <v>1</v>
      </c>
      <c r="D713" s="4">
        <f t="shared" si="225"/>
        <v>0</v>
      </c>
      <c r="E713" s="4">
        <f t="shared" si="226"/>
        <v>0</v>
      </c>
      <c r="F713" s="4">
        <f>'入力シート（2事業場以降）'!AR907</f>
        <v>0</v>
      </c>
      <c r="G713" s="126">
        <f>'入力シート（2事業場以降）'!J907</f>
        <v>0</v>
      </c>
      <c r="H713" s="126">
        <f>'入力シート（2事業場以降）'!L907</f>
        <v>0</v>
      </c>
      <c r="I713" s="126">
        <f>'入力シート（2事業場以降）'!N907</f>
        <v>0</v>
      </c>
      <c r="J713" s="32">
        <f t="shared" si="220"/>
        <v>0</v>
      </c>
      <c r="K713" s="32">
        <f t="shared" si="221"/>
        <v>0</v>
      </c>
      <c r="L713" s="32">
        <f t="shared" si="222"/>
        <v>0</v>
      </c>
      <c r="M713" s="287">
        <f t="shared" si="213"/>
        <v>0</v>
      </c>
      <c r="W713" s="117" t="str">
        <f t="shared" ca="1" si="223"/>
        <v>OK</v>
      </c>
      <c r="X713" t="str">
        <f t="shared" ca="1" si="214"/>
        <v>OK</v>
      </c>
      <c r="Y713">
        <f t="shared" si="224"/>
        <v>0</v>
      </c>
      <c r="Z713">
        <f t="shared" si="215"/>
        <v>0</v>
      </c>
      <c r="AA713" t="s">
        <v>461</v>
      </c>
      <c r="AB713" t="s">
        <v>462</v>
      </c>
      <c r="AC713" t="s">
        <v>463</v>
      </c>
      <c r="AD713" t="s">
        <v>464</v>
      </c>
      <c r="AE713" t="s">
        <v>465</v>
      </c>
      <c r="AF713" t="s">
        <v>467</v>
      </c>
      <c r="AG713" t="s">
        <v>466</v>
      </c>
    </row>
    <row r="714" spans="2:33" x14ac:dyDescent="0.15">
      <c r="B714" s="5">
        <v>16</v>
      </c>
      <c r="C714" s="5">
        <v>2</v>
      </c>
      <c r="D714" s="4">
        <f t="shared" si="225"/>
        <v>0</v>
      </c>
      <c r="E714" s="4">
        <f t="shared" si="226"/>
        <v>0</v>
      </c>
      <c r="F714" s="4">
        <f>'入力シート（2事業場以降）'!AR909</f>
        <v>0</v>
      </c>
      <c r="G714" s="126">
        <f>'入力シート（2事業場以降）'!J909</f>
        <v>0</v>
      </c>
      <c r="H714" s="126">
        <f>'入力シート（2事業場以降）'!L909</f>
        <v>0</v>
      </c>
      <c r="I714" s="126">
        <f>'入力シート（2事業場以降）'!N909</f>
        <v>0</v>
      </c>
      <c r="J714" s="32">
        <f t="shared" si="220"/>
        <v>0</v>
      </c>
      <c r="K714" s="32">
        <f t="shared" si="221"/>
        <v>0</v>
      </c>
      <c r="L714" s="32">
        <f t="shared" si="222"/>
        <v>0</v>
      </c>
      <c r="M714" s="287">
        <f t="shared" si="213"/>
        <v>0</v>
      </c>
      <c r="W714" s="117" t="str">
        <f t="shared" ca="1" si="223"/>
        <v>OK</v>
      </c>
      <c r="X714" t="str">
        <f t="shared" ca="1" si="214"/>
        <v>OK</v>
      </c>
      <c r="Y714">
        <f t="shared" si="224"/>
        <v>0</v>
      </c>
      <c r="Z714">
        <f t="shared" si="215"/>
        <v>0</v>
      </c>
      <c r="AA714" s="36"/>
      <c r="AB714" t="s">
        <v>462</v>
      </c>
      <c r="AC714" t="s">
        <v>463</v>
      </c>
      <c r="AD714" t="s">
        <v>464</v>
      </c>
      <c r="AE714" t="s">
        <v>465</v>
      </c>
      <c r="AF714" t="s">
        <v>467</v>
      </c>
      <c r="AG714" t="s">
        <v>466</v>
      </c>
    </row>
    <row r="715" spans="2:33" x14ac:dyDescent="0.15">
      <c r="B715" s="5">
        <v>16</v>
      </c>
      <c r="C715" s="5">
        <v>3</v>
      </c>
      <c r="D715" s="4">
        <f t="shared" si="225"/>
        <v>0</v>
      </c>
      <c r="E715" s="4">
        <f t="shared" si="226"/>
        <v>0</v>
      </c>
      <c r="F715" s="4">
        <f>'入力シート（2事業場以降）'!AR911</f>
        <v>0</v>
      </c>
      <c r="G715" s="126">
        <f>'入力シート（2事業場以降）'!J911</f>
        <v>0</v>
      </c>
      <c r="H715" s="126">
        <f>'入力シート（2事業場以降）'!L911</f>
        <v>0</v>
      </c>
      <c r="I715" s="126">
        <f>'入力シート（2事業場以降）'!N911</f>
        <v>0</v>
      </c>
      <c r="J715" s="32">
        <f t="shared" si="220"/>
        <v>0</v>
      </c>
      <c r="K715" s="32">
        <f t="shared" si="221"/>
        <v>0</v>
      </c>
      <c r="L715" s="32">
        <f t="shared" si="222"/>
        <v>0</v>
      </c>
      <c r="M715" s="287">
        <f t="shared" si="213"/>
        <v>0</v>
      </c>
      <c r="W715" s="117" t="str">
        <f t="shared" ca="1" si="223"/>
        <v>OK</v>
      </c>
      <c r="X715" t="str">
        <f t="shared" ca="1" si="214"/>
        <v>OK</v>
      </c>
      <c r="Y715">
        <f t="shared" si="224"/>
        <v>0</v>
      </c>
      <c r="Z715">
        <f t="shared" si="215"/>
        <v>0</v>
      </c>
      <c r="AA715" s="36"/>
      <c r="AB715" t="s">
        <v>462</v>
      </c>
      <c r="AC715" t="s">
        <v>463</v>
      </c>
      <c r="AD715" t="s">
        <v>464</v>
      </c>
      <c r="AE715" t="s">
        <v>465</v>
      </c>
      <c r="AF715" t="s">
        <v>467</v>
      </c>
      <c r="AG715" t="s">
        <v>466</v>
      </c>
    </row>
    <row r="716" spans="2:33" x14ac:dyDescent="0.15">
      <c r="B716" s="5">
        <v>17</v>
      </c>
      <c r="C716" s="5">
        <v>1</v>
      </c>
      <c r="D716" s="4">
        <f t="shared" si="225"/>
        <v>0</v>
      </c>
      <c r="E716" s="4">
        <f t="shared" si="226"/>
        <v>0</v>
      </c>
      <c r="F716" s="4">
        <f>'入力シート（2事業場以降）'!AR914</f>
        <v>0</v>
      </c>
      <c r="G716" s="126">
        <f>'入力シート（2事業場以降）'!J914</f>
        <v>0</v>
      </c>
      <c r="H716" s="126">
        <f>'入力シート（2事業場以降）'!L914</f>
        <v>0</v>
      </c>
      <c r="I716" s="126">
        <f>'入力シート（2事業場以降）'!N914</f>
        <v>0</v>
      </c>
      <c r="J716" s="32">
        <f t="shared" si="220"/>
        <v>0</v>
      </c>
      <c r="K716" s="32">
        <f t="shared" si="221"/>
        <v>0</v>
      </c>
      <c r="L716" s="32">
        <f t="shared" si="222"/>
        <v>0</v>
      </c>
      <c r="M716" s="287">
        <f t="shared" si="213"/>
        <v>0</v>
      </c>
      <c r="W716" s="117" t="str">
        <f t="shared" ca="1" si="223"/>
        <v>OK</v>
      </c>
      <c r="X716" t="str">
        <f t="shared" ca="1" si="214"/>
        <v>OK</v>
      </c>
      <c r="Y716">
        <f t="shared" si="224"/>
        <v>0</v>
      </c>
      <c r="Z716">
        <f t="shared" si="215"/>
        <v>0</v>
      </c>
      <c r="AA716" t="s">
        <v>461</v>
      </c>
      <c r="AB716" t="s">
        <v>462</v>
      </c>
      <c r="AC716" t="s">
        <v>463</v>
      </c>
      <c r="AD716" t="s">
        <v>464</v>
      </c>
      <c r="AE716" t="s">
        <v>465</v>
      </c>
      <c r="AF716" t="s">
        <v>467</v>
      </c>
      <c r="AG716" t="s">
        <v>466</v>
      </c>
    </row>
    <row r="717" spans="2:33" x14ac:dyDescent="0.15">
      <c r="B717" s="5">
        <v>17</v>
      </c>
      <c r="C717" s="5">
        <v>2</v>
      </c>
      <c r="D717" s="4">
        <f t="shared" si="225"/>
        <v>0</v>
      </c>
      <c r="E717" s="4">
        <f t="shared" si="226"/>
        <v>0</v>
      </c>
      <c r="F717" s="4">
        <f>'入力シート（2事業場以降）'!AR916</f>
        <v>0</v>
      </c>
      <c r="G717" s="126">
        <f>'入力シート（2事業場以降）'!J916</f>
        <v>0</v>
      </c>
      <c r="H717" s="126">
        <f>'入力シート（2事業場以降）'!L916</f>
        <v>0</v>
      </c>
      <c r="I717" s="126">
        <f>'入力シート（2事業場以降）'!N916</f>
        <v>0</v>
      </c>
      <c r="J717" s="32">
        <f t="shared" si="220"/>
        <v>0</v>
      </c>
      <c r="K717" s="32">
        <f t="shared" si="221"/>
        <v>0</v>
      </c>
      <c r="L717" s="32">
        <f t="shared" si="222"/>
        <v>0</v>
      </c>
      <c r="M717" s="287">
        <f t="shared" si="213"/>
        <v>0</v>
      </c>
      <c r="W717" s="117" t="str">
        <f t="shared" ca="1" si="223"/>
        <v>OK</v>
      </c>
      <c r="X717" t="str">
        <f t="shared" ca="1" si="214"/>
        <v>OK</v>
      </c>
      <c r="Y717">
        <f t="shared" si="224"/>
        <v>0</v>
      </c>
      <c r="Z717">
        <f t="shared" si="215"/>
        <v>0</v>
      </c>
      <c r="AA717" s="36"/>
      <c r="AB717" t="s">
        <v>462</v>
      </c>
      <c r="AC717" t="s">
        <v>463</v>
      </c>
      <c r="AD717" t="s">
        <v>464</v>
      </c>
      <c r="AE717" t="s">
        <v>465</v>
      </c>
      <c r="AF717" t="s">
        <v>467</v>
      </c>
      <c r="AG717" t="s">
        <v>466</v>
      </c>
    </row>
    <row r="718" spans="2:33" x14ac:dyDescent="0.15">
      <c r="B718" s="5">
        <v>17</v>
      </c>
      <c r="C718" s="5">
        <v>3</v>
      </c>
      <c r="D718" s="4">
        <f t="shared" si="225"/>
        <v>0</v>
      </c>
      <c r="E718" s="4">
        <f t="shared" si="226"/>
        <v>0</v>
      </c>
      <c r="F718" s="4">
        <f>'入力シート（2事業場以降）'!AR918</f>
        <v>0</v>
      </c>
      <c r="G718" s="126">
        <f>'入力シート（2事業場以降）'!J918</f>
        <v>0</v>
      </c>
      <c r="H718" s="126">
        <f>'入力シート（2事業場以降）'!L918</f>
        <v>0</v>
      </c>
      <c r="I718" s="126">
        <f>'入力シート（2事業場以降）'!N918</f>
        <v>0</v>
      </c>
      <c r="J718" s="32">
        <f t="shared" si="220"/>
        <v>0</v>
      </c>
      <c r="K718" s="32">
        <f t="shared" si="221"/>
        <v>0</v>
      </c>
      <c r="L718" s="32">
        <f t="shared" si="222"/>
        <v>0</v>
      </c>
      <c r="M718" s="287">
        <f t="shared" si="213"/>
        <v>0</v>
      </c>
      <c r="W718" s="117" t="str">
        <f t="shared" ca="1" si="223"/>
        <v>OK</v>
      </c>
      <c r="X718" t="str">
        <f t="shared" ca="1" si="214"/>
        <v>OK</v>
      </c>
      <c r="Y718">
        <f t="shared" si="224"/>
        <v>0</v>
      </c>
      <c r="Z718">
        <f t="shared" si="215"/>
        <v>0</v>
      </c>
      <c r="AA718" s="36"/>
      <c r="AB718" t="s">
        <v>462</v>
      </c>
      <c r="AC718" t="s">
        <v>463</v>
      </c>
      <c r="AD718" t="s">
        <v>464</v>
      </c>
      <c r="AE718" t="s">
        <v>465</v>
      </c>
      <c r="AF718" t="s">
        <v>467</v>
      </c>
      <c r="AG718" t="s">
        <v>466</v>
      </c>
    </row>
    <row r="719" spans="2:33" x14ac:dyDescent="0.15">
      <c r="B719" s="5">
        <v>18</v>
      </c>
      <c r="C719" s="5">
        <v>1</v>
      </c>
      <c r="D719" s="4">
        <f t="shared" si="225"/>
        <v>0</v>
      </c>
      <c r="E719" s="4">
        <f t="shared" si="226"/>
        <v>0</v>
      </c>
      <c r="F719" s="4">
        <f>'入力シート（2事業場以降）'!AR921</f>
        <v>0</v>
      </c>
      <c r="G719" s="126">
        <f>'入力シート（2事業場以降）'!J921</f>
        <v>0</v>
      </c>
      <c r="H719" s="126">
        <f>'入力シート（2事業場以降）'!L921</f>
        <v>0</v>
      </c>
      <c r="I719" s="126">
        <f>'入力シート（2事業場以降）'!N921</f>
        <v>0</v>
      </c>
      <c r="J719" s="32">
        <f t="shared" si="220"/>
        <v>0</v>
      </c>
      <c r="K719" s="32">
        <f t="shared" si="221"/>
        <v>0</v>
      </c>
      <c r="L719" s="32">
        <f t="shared" si="222"/>
        <v>0</v>
      </c>
      <c r="M719" s="287">
        <f t="shared" si="213"/>
        <v>0</v>
      </c>
      <c r="W719" s="117" t="str">
        <f t="shared" ca="1" si="223"/>
        <v>OK</v>
      </c>
      <c r="X719" t="str">
        <f t="shared" ca="1" si="214"/>
        <v>OK</v>
      </c>
      <c r="Y719">
        <f t="shared" si="224"/>
        <v>0</v>
      </c>
      <c r="Z719">
        <f t="shared" si="215"/>
        <v>0</v>
      </c>
      <c r="AA719" t="s">
        <v>461</v>
      </c>
      <c r="AB719" t="s">
        <v>462</v>
      </c>
      <c r="AC719" t="s">
        <v>463</v>
      </c>
      <c r="AD719" t="s">
        <v>464</v>
      </c>
      <c r="AE719" t="s">
        <v>465</v>
      </c>
      <c r="AF719" t="s">
        <v>467</v>
      </c>
      <c r="AG719" t="s">
        <v>466</v>
      </c>
    </row>
    <row r="720" spans="2:33" x14ac:dyDescent="0.15">
      <c r="B720" s="5">
        <v>18</v>
      </c>
      <c r="C720" s="5">
        <v>2</v>
      </c>
      <c r="D720" s="4">
        <f t="shared" si="225"/>
        <v>0</v>
      </c>
      <c r="E720" s="4">
        <f t="shared" si="226"/>
        <v>0</v>
      </c>
      <c r="F720" s="4">
        <f>'入力シート（2事業場以降）'!AR923</f>
        <v>0</v>
      </c>
      <c r="G720" s="126">
        <f>'入力シート（2事業場以降）'!J923</f>
        <v>0</v>
      </c>
      <c r="H720" s="126">
        <f>'入力シート（2事業場以降）'!L923</f>
        <v>0</v>
      </c>
      <c r="I720" s="126">
        <f>'入力シート（2事業場以降）'!N923</f>
        <v>0</v>
      </c>
      <c r="J720" s="32">
        <f t="shared" si="220"/>
        <v>0</v>
      </c>
      <c r="K720" s="32">
        <f t="shared" si="221"/>
        <v>0</v>
      </c>
      <c r="L720" s="32">
        <f t="shared" si="222"/>
        <v>0</v>
      </c>
      <c r="M720" s="287">
        <f t="shared" si="213"/>
        <v>0</v>
      </c>
      <c r="W720" s="117" t="str">
        <f t="shared" ca="1" si="223"/>
        <v>OK</v>
      </c>
      <c r="X720" t="str">
        <f t="shared" ca="1" si="214"/>
        <v>OK</v>
      </c>
      <c r="Y720">
        <f t="shared" si="224"/>
        <v>0</v>
      </c>
      <c r="Z720">
        <f t="shared" si="215"/>
        <v>0</v>
      </c>
      <c r="AA720" s="36"/>
      <c r="AB720" t="s">
        <v>462</v>
      </c>
      <c r="AC720" t="s">
        <v>463</v>
      </c>
      <c r="AD720" t="s">
        <v>464</v>
      </c>
      <c r="AE720" t="s">
        <v>465</v>
      </c>
      <c r="AF720" t="s">
        <v>467</v>
      </c>
      <c r="AG720" t="s">
        <v>466</v>
      </c>
    </row>
    <row r="721" spans="2:33" x14ac:dyDescent="0.15">
      <c r="B721" s="5">
        <v>18</v>
      </c>
      <c r="C721" s="5">
        <v>3</v>
      </c>
      <c r="D721" s="4">
        <f t="shared" si="225"/>
        <v>0</v>
      </c>
      <c r="E721" s="4">
        <f t="shared" si="226"/>
        <v>0</v>
      </c>
      <c r="F721" s="4">
        <f>'入力シート（2事業場以降）'!AR925</f>
        <v>0</v>
      </c>
      <c r="G721" s="126">
        <f>'入力シート（2事業場以降）'!J925</f>
        <v>0</v>
      </c>
      <c r="H721" s="126">
        <f>'入力シート（2事業場以降）'!L925</f>
        <v>0</v>
      </c>
      <c r="I721" s="126">
        <f>'入力シート（2事業場以降）'!N925</f>
        <v>0</v>
      </c>
      <c r="J721" s="32">
        <f t="shared" si="220"/>
        <v>0</v>
      </c>
      <c r="K721" s="32">
        <f t="shared" si="221"/>
        <v>0</v>
      </c>
      <c r="L721" s="32">
        <f t="shared" si="222"/>
        <v>0</v>
      </c>
      <c r="M721" s="287">
        <f t="shared" si="213"/>
        <v>0</v>
      </c>
      <c r="W721" s="117" t="str">
        <f t="shared" ca="1" si="223"/>
        <v>OK</v>
      </c>
      <c r="X721" t="str">
        <f t="shared" ca="1" si="214"/>
        <v>OK</v>
      </c>
      <c r="Y721">
        <f t="shared" si="224"/>
        <v>0</v>
      </c>
      <c r="Z721">
        <f t="shared" si="215"/>
        <v>0</v>
      </c>
      <c r="AA721" s="36"/>
      <c r="AB721" t="s">
        <v>462</v>
      </c>
      <c r="AC721" t="s">
        <v>463</v>
      </c>
      <c r="AD721" t="s">
        <v>464</v>
      </c>
      <c r="AE721" t="s">
        <v>465</v>
      </c>
      <c r="AF721" t="s">
        <v>467</v>
      </c>
      <c r="AG721" t="s">
        <v>466</v>
      </c>
    </row>
    <row r="722" spans="2:33" x14ac:dyDescent="0.15">
      <c r="B722" s="5">
        <v>19</v>
      </c>
      <c r="C722" s="5">
        <v>1</v>
      </c>
      <c r="D722" s="4">
        <f t="shared" si="225"/>
        <v>0</v>
      </c>
      <c r="E722" s="4">
        <f t="shared" si="226"/>
        <v>0</v>
      </c>
      <c r="F722" s="4">
        <f>'入力シート（2事業場以降）'!AR928</f>
        <v>0</v>
      </c>
      <c r="G722" s="126">
        <f>'入力シート（2事業場以降）'!J928</f>
        <v>0</v>
      </c>
      <c r="H722" s="126">
        <f>'入力シート（2事業場以降）'!L928</f>
        <v>0</v>
      </c>
      <c r="I722" s="126">
        <f>'入力シート（2事業場以降）'!N928</f>
        <v>0</v>
      </c>
      <c r="J722" s="32">
        <f t="shared" si="220"/>
        <v>0</v>
      </c>
      <c r="K722" s="32">
        <f t="shared" si="221"/>
        <v>0</v>
      </c>
      <c r="L722" s="32">
        <f t="shared" si="222"/>
        <v>0</v>
      </c>
      <c r="M722" s="287">
        <f t="shared" si="213"/>
        <v>0</v>
      </c>
      <c r="W722" s="117" t="str">
        <f t="shared" ca="1" si="223"/>
        <v>OK</v>
      </c>
      <c r="X722" t="str">
        <f t="shared" ca="1" si="214"/>
        <v>OK</v>
      </c>
      <c r="Y722">
        <f t="shared" si="224"/>
        <v>0</v>
      </c>
      <c r="Z722">
        <f t="shared" si="215"/>
        <v>0</v>
      </c>
      <c r="AA722" t="s">
        <v>461</v>
      </c>
      <c r="AB722" t="s">
        <v>462</v>
      </c>
      <c r="AC722" t="s">
        <v>463</v>
      </c>
      <c r="AD722" t="s">
        <v>464</v>
      </c>
      <c r="AE722" t="s">
        <v>465</v>
      </c>
      <c r="AF722" t="s">
        <v>467</v>
      </c>
      <c r="AG722" t="s">
        <v>466</v>
      </c>
    </row>
    <row r="723" spans="2:33" x14ac:dyDescent="0.15">
      <c r="B723" s="5">
        <v>19</v>
      </c>
      <c r="C723" s="5">
        <v>2</v>
      </c>
      <c r="D723" s="4">
        <f t="shared" si="225"/>
        <v>0</v>
      </c>
      <c r="E723" s="4">
        <f t="shared" si="226"/>
        <v>0</v>
      </c>
      <c r="F723" s="4">
        <f>'入力シート（2事業場以降）'!AR930</f>
        <v>0</v>
      </c>
      <c r="G723" s="126">
        <f>'入力シート（2事業場以降）'!J930</f>
        <v>0</v>
      </c>
      <c r="H723" s="126">
        <f>'入力シート（2事業場以降）'!L930</f>
        <v>0</v>
      </c>
      <c r="I723" s="126">
        <f>'入力シート（2事業場以降）'!N930</f>
        <v>0</v>
      </c>
      <c r="J723" s="32">
        <f t="shared" si="220"/>
        <v>0</v>
      </c>
      <c r="K723" s="32">
        <f t="shared" si="221"/>
        <v>0</v>
      </c>
      <c r="L723" s="32">
        <f t="shared" si="222"/>
        <v>0</v>
      </c>
      <c r="M723" s="287">
        <f t="shared" si="213"/>
        <v>0</v>
      </c>
      <c r="W723" s="117" t="str">
        <f t="shared" ca="1" si="223"/>
        <v>OK</v>
      </c>
      <c r="X723" t="str">
        <f t="shared" ca="1" si="214"/>
        <v>OK</v>
      </c>
      <c r="Y723">
        <f t="shared" si="224"/>
        <v>0</v>
      </c>
      <c r="Z723">
        <f t="shared" si="215"/>
        <v>0</v>
      </c>
      <c r="AA723" s="36"/>
      <c r="AB723" t="s">
        <v>462</v>
      </c>
      <c r="AC723" t="s">
        <v>463</v>
      </c>
      <c r="AD723" t="s">
        <v>464</v>
      </c>
      <c r="AE723" t="s">
        <v>465</v>
      </c>
      <c r="AF723" t="s">
        <v>467</v>
      </c>
      <c r="AG723" t="s">
        <v>466</v>
      </c>
    </row>
    <row r="724" spans="2:33" x14ac:dyDescent="0.15">
      <c r="B724" s="5">
        <v>19</v>
      </c>
      <c r="C724" s="5">
        <v>3</v>
      </c>
      <c r="D724" s="4">
        <f t="shared" si="225"/>
        <v>0</v>
      </c>
      <c r="E724" s="4">
        <f t="shared" si="226"/>
        <v>0</v>
      </c>
      <c r="F724" s="4">
        <f>'入力シート（2事業場以降）'!AR932</f>
        <v>0</v>
      </c>
      <c r="G724" s="126">
        <f>'入力シート（2事業場以降）'!J932</f>
        <v>0</v>
      </c>
      <c r="H724" s="126">
        <f>'入力シート（2事業場以降）'!L932</f>
        <v>0</v>
      </c>
      <c r="I724" s="126">
        <f>'入力シート（2事業場以降）'!N932</f>
        <v>0</v>
      </c>
      <c r="J724" s="32">
        <f t="shared" si="220"/>
        <v>0</v>
      </c>
      <c r="K724" s="32">
        <f t="shared" si="221"/>
        <v>0</v>
      </c>
      <c r="L724" s="32">
        <f t="shared" si="222"/>
        <v>0</v>
      </c>
      <c r="M724" s="287">
        <f t="shared" si="213"/>
        <v>0</v>
      </c>
      <c r="W724" s="117" t="str">
        <f t="shared" ca="1" si="223"/>
        <v>OK</v>
      </c>
      <c r="X724" t="str">
        <f t="shared" ca="1" si="214"/>
        <v>OK</v>
      </c>
      <c r="Y724">
        <f t="shared" si="224"/>
        <v>0</v>
      </c>
      <c r="Z724">
        <f t="shared" si="215"/>
        <v>0</v>
      </c>
      <c r="AA724" s="36"/>
      <c r="AB724" t="s">
        <v>462</v>
      </c>
      <c r="AC724" t="s">
        <v>463</v>
      </c>
      <c r="AD724" t="s">
        <v>464</v>
      </c>
      <c r="AE724" t="s">
        <v>465</v>
      </c>
      <c r="AF724" t="s">
        <v>467</v>
      </c>
      <c r="AG724" t="s">
        <v>466</v>
      </c>
    </row>
    <row r="725" spans="2:33" x14ac:dyDescent="0.15">
      <c r="B725" s="5">
        <v>20</v>
      </c>
      <c r="C725" s="5">
        <v>1</v>
      </c>
      <c r="D725" s="4">
        <f t="shared" si="225"/>
        <v>0</v>
      </c>
      <c r="E725" s="4">
        <f t="shared" si="226"/>
        <v>0</v>
      </c>
      <c r="F725" s="4">
        <f>'入力シート（2事業場以降）'!AR935</f>
        <v>0</v>
      </c>
      <c r="G725" s="126">
        <f>'入力シート（2事業場以降）'!J935</f>
        <v>0</v>
      </c>
      <c r="H725" s="126">
        <f>'入力シート（2事業場以降）'!L935</f>
        <v>0</v>
      </c>
      <c r="I725" s="126">
        <f>'入力シート（2事業場以降）'!N935</f>
        <v>0</v>
      </c>
      <c r="J725" s="32">
        <f t="shared" si="220"/>
        <v>0</v>
      </c>
      <c r="K725" s="32">
        <f t="shared" si="221"/>
        <v>0</v>
      </c>
      <c r="L725" s="32">
        <f t="shared" si="222"/>
        <v>0</v>
      </c>
      <c r="M725" s="287">
        <f t="shared" si="213"/>
        <v>0</v>
      </c>
      <c r="W725" s="117" t="str">
        <f t="shared" ca="1" si="223"/>
        <v>OK</v>
      </c>
      <c r="X725" t="str">
        <f t="shared" ca="1" si="214"/>
        <v>OK</v>
      </c>
      <c r="Y725">
        <f t="shared" si="224"/>
        <v>0</v>
      </c>
      <c r="Z725">
        <f t="shared" si="215"/>
        <v>0</v>
      </c>
      <c r="AA725" t="s">
        <v>461</v>
      </c>
      <c r="AB725" t="s">
        <v>462</v>
      </c>
      <c r="AC725" t="s">
        <v>463</v>
      </c>
      <c r="AD725" t="s">
        <v>464</v>
      </c>
      <c r="AE725" t="s">
        <v>465</v>
      </c>
      <c r="AF725" t="s">
        <v>467</v>
      </c>
      <c r="AG725" t="s">
        <v>466</v>
      </c>
    </row>
    <row r="726" spans="2:33" x14ac:dyDescent="0.15">
      <c r="B726" s="5">
        <v>20</v>
      </c>
      <c r="C726" s="5">
        <v>2</v>
      </c>
      <c r="D726" s="4">
        <f t="shared" si="225"/>
        <v>0</v>
      </c>
      <c r="E726" s="4">
        <f t="shared" si="226"/>
        <v>0</v>
      </c>
      <c r="F726" s="4">
        <f>'入力シート（2事業場以降）'!AR937</f>
        <v>0</v>
      </c>
      <c r="G726" s="126">
        <f>'入力シート（2事業場以降）'!J937</f>
        <v>0</v>
      </c>
      <c r="H726" s="126">
        <f>'入力シート（2事業場以降）'!L937</f>
        <v>0</v>
      </c>
      <c r="I726" s="126">
        <f>'入力シート（2事業場以降）'!N937</f>
        <v>0</v>
      </c>
      <c r="J726" s="32">
        <f t="shared" si="220"/>
        <v>0</v>
      </c>
      <c r="K726" s="32">
        <f t="shared" si="221"/>
        <v>0</v>
      </c>
      <c r="L726" s="32">
        <f t="shared" si="222"/>
        <v>0</v>
      </c>
      <c r="M726" s="287">
        <f t="shared" si="213"/>
        <v>0</v>
      </c>
      <c r="W726" s="117" t="str">
        <f t="shared" ca="1" si="223"/>
        <v>OK</v>
      </c>
      <c r="X726" t="str">
        <f t="shared" ca="1" si="214"/>
        <v>OK</v>
      </c>
      <c r="Y726">
        <f t="shared" si="224"/>
        <v>0</v>
      </c>
      <c r="Z726">
        <f t="shared" si="215"/>
        <v>0</v>
      </c>
      <c r="AA726" s="36"/>
      <c r="AB726" t="s">
        <v>462</v>
      </c>
      <c r="AC726" t="s">
        <v>463</v>
      </c>
      <c r="AD726" t="s">
        <v>464</v>
      </c>
      <c r="AE726" t="s">
        <v>465</v>
      </c>
      <c r="AF726" t="s">
        <v>467</v>
      </c>
      <c r="AG726" t="s">
        <v>466</v>
      </c>
    </row>
    <row r="727" spans="2:33" x14ac:dyDescent="0.15">
      <c r="B727" s="5">
        <v>20</v>
      </c>
      <c r="C727" s="5">
        <v>3</v>
      </c>
      <c r="D727" s="4">
        <f t="shared" si="225"/>
        <v>0</v>
      </c>
      <c r="E727" s="4">
        <f t="shared" si="226"/>
        <v>0</v>
      </c>
      <c r="F727" s="4">
        <f>'入力シート（2事業場以降）'!AR939</f>
        <v>0</v>
      </c>
      <c r="G727" s="126">
        <f>'入力シート（2事業場以降）'!J939</f>
        <v>0</v>
      </c>
      <c r="H727" s="126">
        <f>'入力シート（2事業場以降）'!L939</f>
        <v>0</v>
      </c>
      <c r="I727" s="126">
        <f>'入力シート（2事業場以降）'!N939</f>
        <v>0</v>
      </c>
      <c r="J727" s="32">
        <f t="shared" si="220"/>
        <v>0</v>
      </c>
      <c r="K727" s="32">
        <f t="shared" si="221"/>
        <v>0</v>
      </c>
      <c r="L727" s="32">
        <f t="shared" si="222"/>
        <v>0</v>
      </c>
      <c r="M727" s="287">
        <f t="shared" si="213"/>
        <v>0</v>
      </c>
      <c r="W727" s="117" t="str">
        <f t="shared" ca="1" si="223"/>
        <v>OK</v>
      </c>
      <c r="X727" t="str">
        <f t="shared" ca="1" si="214"/>
        <v>OK</v>
      </c>
      <c r="Y727">
        <f t="shared" si="224"/>
        <v>0</v>
      </c>
      <c r="Z727">
        <f t="shared" si="215"/>
        <v>0</v>
      </c>
      <c r="AA727" s="36"/>
      <c r="AB727" t="s">
        <v>462</v>
      </c>
      <c r="AC727" t="s">
        <v>463</v>
      </c>
      <c r="AD727" t="s">
        <v>464</v>
      </c>
      <c r="AE727" t="s">
        <v>465</v>
      </c>
      <c r="AF727" t="s">
        <v>467</v>
      </c>
      <c r="AG727" t="s">
        <v>466</v>
      </c>
    </row>
    <row r="728" spans="2:33" x14ac:dyDescent="0.15">
      <c r="B728" s="5">
        <v>21</v>
      </c>
      <c r="C728" s="5">
        <v>1</v>
      </c>
      <c r="D728" s="4">
        <f t="shared" si="225"/>
        <v>0</v>
      </c>
      <c r="E728" s="4">
        <f t="shared" si="226"/>
        <v>0</v>
      </c>
      <c r="F728" s="4">
        <f>'入力シート（2事業場以降）'!AR942</f>
        <v>0</v>
      </c>
      <c r="G728" s="126">
        <f>'入力シート（2事業場以降）'!J942</f>
        <v>0</v>
      </c>
      <c r="H728" s="126">
        <f>'入力シート（2事業場以降）'!L942</f>
        <v>0</v>
      </c>
      <c r="I728" s="126">
        <f>'入力シート（2事業場以降）'!N942</f>
        <v>0</v>
      </c>
      <c r="J728" s="32">
        <f t="shared" si="220"/>
        <v>0</v>
      </c>
      <c r="K728" s="32">
        <f t="shared" si="221"/>
        <v>0</v>
      </c>
      <c r="L728" s="32">
        <f t="shared" si="222"/>
        <v>0</v>
      </c>
      <c r="M728" s="287">
        <f t="shared" si="213"/>
        <v>0</v>
      </c>
      <c r="W728" s="117" t="str">
        <f t="shared" ca="1" si="223"/>
        <v>OK</v>
      </c>
      <c r="X728" t="str">
        <f t="shared" ca="1" si="214"/>
        <v>OK</v>
      </c>
      <c r="Y728">
        <f t="shared" si="224"/>
        <v>0</v>
      </c>
      <c r="Z728">
        <f t="shared" si="215"/>
        <v>0</v>
      </c>
      <c r="AA728" t="s">
        <v>461</v>
      </c>
      <c r="AB728" t="s">
        <v>462</v>
      </c>
      <c r="AC728" t="s">
        <v>463</v>
      </c>
      <c r="AD728" t="s">
        <v>464</v>
      </c>
      <c r="AE728" t="s">
        <v>465</v>
      </c>
      <c r="AF728" t="s">
        <v>467</v>
      </c>
      <c r="AG728" t="s">
        <v>466</v>
      </c>
    </row>
    <row r="729" spans="2:33" x14ac:dyDescent="0.15">
      <c r="B729" s="5">
        <v>21</v>
      </c>
      <c r="C729" s="5">
        <v>2</v>
      </c>
      <c r="D729" s="4">
        <f t="shared" si="225"/>
        <v>0</v>
      </c>
      <c r="E729" s="4">
        <f t="shared" si="226"/>
        <v>0</v>
      </c>
      <c r="F729" s="4">
        <f>'入力シート（2事業場以降）'!AR944</f>
        <v>0</v>
      </c>
      <c r="G729" s="126">
        <f>'入力シート（2事業場以降）'!J944</f>
        <v>0</v>
      </c>
      <c r="H729" s="126">
        <f>'入力シート（2事業場以降）'!L944</f>
        <v>0</v>
      </c>
      <c r="I729" s="126">
        <f>'入力シート（2事業場以降）'!N944</f>
        <v>0</v>
      </c>
      <c r="J729" s="32">
        <f t="shared" si="220"/>
        <v>0</v>
      </c>
      <c r="K729" s="32">
        <f t="shared" si="221"/>
        <v>0</v>
      </c>
      <c r="L729" s="32">
        <f t="shared" si="222"/>
        <v>0</v>
      </c>
      <c r="M729" s="287">
        <f t="shared" si="213"/>
        <v>0</v>
      </c>
      <c r="W729" s="117" t="str">
        <f t="shared" ca="1" si="223"/>
        <v>OK</v>
      </c>
      <c r="X729" t="str">
        <f t="shared" ca="1" si="214"/>
        <v>OK</v>
      </c>
      <c r="Y729">
        <f t="shared" si="224"/>
        <v>0</v>
      </c>
      <c r="Z729">
        <f t="shared" si="215"/>
        <v>0</v>
      </c>
      <c r="AA729" s="36"/>
      <c r="AB729" t="s">
        <v>462</v>
      </c>
      <c r="AC729" t="s">
        <v>463</v>
      </c>
      <c r="AD729" t="s">
        <v>464</v>
      </c>
      <c r="AE729" t="s">
        <v>465</v>
      </c>
      <c r="AF729" t="s">
        <v>467</v>
      </c>
      <c r="AG729" t="s">
        <v>466</v>
      </c>
    </row>
    <row r="730" spans="2:33" x14ac:dyDescent="0.15">
      <c r="B730" s="5">
        <v>21</v>
      </c>
      <c r="C730" s="5">
        <v>3</v>
      </c>
      <c r="D730" s="4">
        <f t="shared" si="225"/>
        <v>0</v>
      </c>
      <c r="E730" s="4">
        <f t="shared" si="226"/>
        <v>0</v>
      </c>
      <c r="F730" s="4">
        <f>'入力シート（2事業場以降）'!AR946</f>
        <v>0</v>
      </c>
      <c r="G730" s="126">
        <f>'入力シート（2事業場以降）'!J946</f>
        <v>0</v>
      </c>
      <c r="H730" s="126">
        <f>'入力シート（2事業場以降）'!L946</f>
        <v>0</v>
      </c>
      <c r="I730" s="126">
        <f>'入力シート（2事業場以降）'!N946</f>
        <v>0</v>
      </c>
      <c r="J730" s="32">
        <f t="shared" si="220"/>
        <v>0</v>
      </c>
      <c r="K730" s="32">
        <f t="shared" si="221"/>
        <v>0</v>
      </c>
      <c r="L730" s="32">
        <f t="shared" si="222"/>
        <v>0</v>
      </c>
      <c r="M730" s="287">
        <f t="shared" si="213"/>
        <v>0</v>
      </c>
      <c r="W730" s="117" t="str">
        <f t="shared" ca="1" si="223"/>
        <v>OK</v>
      </c>
      <c r="X730" t="str">
        <f t="shared" ca="1" si="214"/>
        <v>OK</v>
      </c>
      <c r="Y730">
        <f t="shared" si="224"/>
        <v>0</v>
      </c>
      <c r="Z730">
        <f t="shared" si="215"/>
        <v>0</v>
      </c>
      <c r="AA730" s="36"/>
      <c r="AB730" t="s">
        <v>462</v>
      </c>
      <c r="AC730" t="s">
        <v>463</v>
      </c>
      <c r="AD730" t="s">
        <v>464</v>
      </c>
      <c r="AE730" t="s">
        <v>465</v>
      </c>
      <c r="AF730" t="s">
        <v>467</v>
      </c>
      <c r="AG730" t="s">
        <v>466</v>
      </c>
    </row>
    <row r="731" spans="2:33" x14ac:dyDescent="0.15">
      <c r="B731" s="5">
        <v>22</v>
      </c>
      <c r="C731" s="5">
        <v>1</v>
      </c>
      <c r="D731" s="4">
        <f t="shared" si="225"/>
        <v>0</v>
      </c>
      <c r="E731" s="4">
        <f t="shared" si="226"/>
        <v>0</v>
      </c>
      <c r="F731" s="4">
        <f>'入力シート（2事業場以降）'!AR949</f>
        <v>0</v>
      </c>
      <c r="G731" s="126">
        <f>'入力シート（2事業場以降）'!J949</f>
        <v>0</v>
      </c>
      <c r="H731" s="126">
        <f>'入力シート（2事業場以降）'!L949</f>
        <v>0</v>
      </c>
      <c r="I731" s="126">
        <f>'入力シート（2事業場以降）'!N949</f>
        <v>0</v>
      </c>
      <c r="J731" s="32">
        <f t="shared" si="220"/>
        <v>0</v>
      </c>
      <c r="K731" s="32">
        <f t="shared" si="221"/>
        <v>0</v>
      </c>
      <c r="L731" s="32">
        <f t="shared" si="222"/>
        <v>0</v>
      </c>
      <c r="M731" s="287">
        <f t="shared" si="213"/>
        <v>0</v>
      </c>
      <c r="W731" s="117" t="str">
        <f t="shared" ca="1" si="223"/>
        <v>OK</v>
      </c>
      <c r="X731" t="str">
        <f t="shared" ca="1" si="214"/>
        <v>OK</v>
      </c>
      <c r="Y731">
        <f t="shared" si="224"/>
        <v>0</v>
      </c>
      <c r="Z731">
        <f t="shared" si="215"/>
        <v>0</v>
      </c>
      <c r="AA731" t="s">
        <v>461</v>
      </c>
      <c r="AB731" t="s">
        <v>462</v>
      </c>
      <c r="AC731" t="s">
        <v>463</v>
      </c>
      <c r="AD731" t="s">
        <v>464</v>
      </c>
      <c r="AE731" t="s">
        <v>465</v>
      </c>
      <c r="AF731" t="s">
        <v>467</v>
      </c>
      <c r="AG731" t="s">
        <v>466</v>
      </c>
    </row>
    <row r="732" spans="2:33" x14ac:dyDescent="0.15">
      <c r="B732" s="5">
        <v>22</v>
      </c>
      <c r="C732" s="5">
        <v>2</v>
      </c>
      <c r="D732" s="4">
        <f t="shared" si="225"/>
        <v>0</v>
      </c>
      <c r="E732" s="4">
        <f t="shared" si="226"/>
        <v>0</v>
      </c>
      <c r="F732" s="4">
        <f>'入力シート（2事業場以降）'!AR951</f>
        <v>0</v>
      </c>
      <c r="G732" s="126">
        <f>'入力シート（2事業場以降）'!J951</f>
        <v>0</v>
      </c>
      <c r="H732" s="126">
        <f>'入力シート（2事業場以降）'!L951</f>
        <v>0</v>
      </c>
      <c r="I732" s="126">
        <f>'入力シート（2事業場以降）'!N951</f>
        <v>0</v>
      </c>
      <c r="J732" s="32">
        <f t="shared" si="220"/>
        <v>0</v>
      </c>
      <c r="K732" s="32">
        <f t="shared" si="221"/>
        <v>0</v>
      </c>
      <c r="L732" s="32">
        <f t="shared" ref="L732:L763" si="227">IF(OR(P578="①",P578="②",E732=0),0,I732)</f>
        <v>0</v>
      </c>
      <c r="M732" s="287">
        <f t="shared" si="213"/>
        <v>0</v>
      </c>
      <c r="W732" s="117" t="str">
        <f t="shared" ref="W732:W763" ca="1" si="228">IF(OR(X732=$V$1,X732=""),$V$1,"NG")</f>
        <v>OK</v>
      </c>
      <c r="X732" t="str">
        <f t="shared" ca="1" si="214"/>
        <v>OK</v>
      </c>
      <c r="Y732">
        <f t="shared" ref="Y732:Y763" si="229">IF(D732=1,IF(OR(E732=0,AND(B732=B731,E731=0)),1,IF(E732=1,IF(F732=0,2,IF(AND(F732=1,J732=0,K732=0),3,IF(AND(F732=1,J732=0),4,IF(K732=0,5,0)))))),0)</f>
        <v>0</v>
      </c>
      <c r="Z732">
        <f t="shared" si="215"/>
        <v>0</v>
      </c>
      <c r="AA732" s="36"/>
      <c r="AB732" t="s">
        <v>462</v>
      </c>
      <c r="AC732" t="s">
        <v>463</v>
      </c>
      <c r="AD732" t="s">
        <v>464</v>
      </c>
      <c r="AE732" t="s">
        <v>465</v>
      </c>
      <c r="AF732" t="s">
        <v>467</v>
      </c>
      <c r="AG732" t="s">
        <v>466</v>
      </c>
    </row>
    <row r="733" spans="2:33" x14ac:dyDescent="0.15">
      <c r="B733" s="5">
        <v>22</v>
      </c>
      <c r="C733" s="5">
        <v>3</v>
      </c>
      <c r="D733" s="4">
        <f t="shared" ref="D733:D764" si="230">IF(B733&lt;=$G$60,1,0)</f>
        <v>0</v>
      </c>
      <c r="E733" s="4">
        <f t="shared" ref="E733:E764" si="231">IF(AND(D733=1,Y579=0,Z579=0),1,0)</f>
        <v>0</v>
      </c>
      <c r="F733" s="4">
        <f>'入力シート（2事業場以降）'!AR953</f>
        <v>0</v>
      </c>
      <c r="G733" s="126">
        <f>'入力シート（2事業場以降）'!J953</f>
        <v>0</v>
      </c>
      <c r="H733" s="126">
        <f>'入力シート（2事業場以降）'!L953</f>
        <v>0</v>
      </c>
      <c r="I733" s="126">
        <f>'入力シート（2事業場以降）'!N953</f>
        <v>0</v>
      </c>
      <c r="J733" s="32">
        <f t="shared" si="220"/>
        <v>0</v>
      </c>
      <c r="K733" s="32">
        <f t="shared" si="221"/>
        <v>0</v>
      </c>
      <c r="L733" s="32">
        <f t="shared" si="227"/>
        <v>0</v>
      </c>
      <c r="M733" s="287">
        <f t="shared" ref="M733:M796" si="232">IF(C733=1,SUM(K733:L735),M732)</f>
        <v>0</v>
      </c>
      <c r="W733" s="117" t="str">
        <f t="shared" ca="1" si="228"/>
        <v>OK</v>
      </c>
      <c r="X733" t="str">
        <f t="shared" ref="X733:X796" ca="1" si="233">IF(Y733&lt;&gt;0,OFFSET(Z733,0,Y733),IF(Z733&lt;&gt;0,OFFSET(AE733,0,Z733),$V$1))&amp;""</f>
        <v>OK</v>
      </c>
      <c r="Y733">
        <f t="shared" si="229"/>
        <v>0</v>
      </c>
      <c r="Z733">
        <f t="shared" ref="Z733:Z796" si="234">IF(J733&lt;(K733+L733),1,IF(AND(E733=1,M733&lt;3000),2,0))</f>
        <v>0</v>
      </c>
      <c r="AA733" s="36"/>
      <c r="AB733" t="s">
        <v>462</v>
      </c>
      <c r="AC733" t="s">
        <v>463</v>
      </c>
      <c r="AD733" t="s">
        <v>464</v>
      </c>
      <c r="AE733" t="s">
        <v>465</v>
      </c>
      <c r="AF733" t="s">
        <v>467</v>
      </c>
      <c r="AG733" t="s">
        <v>466</v>
      </c>
    </row>
    <row r="734" spans="2:33" x14ac:dyDescent="0.15">
      <c r="B734" s="5">
        <v>23</v>
      </c>
      <c r="C734" s="5">
        <v>1</v>
      </c>
      <c r="D734" s="4">
        <f t="shared" si="230"/>
        <v>0</v>
      </c>
      <c r="E734" s="4">
        <f t="shared" si="231"/>
        <v>0</v>
      </c>
      <c r="F734" s="4">
        <f>'入力シート（2事業場以降）'!AR956</f>
        <v>0</v>
      </c>
      <c r="G734" s="126">
        <f>'入力シート（2事業場以降）'!J956</f>
        <v>0</v>
      </c>
      <c r="H734" s="126">
        <f>'入力シート（2事業場以降）'!L956</f>
        <v>0</v>
      </c>
      <c r="I734" s="126">
        <f>'入力シート（2事業場以降）'!N956</f>
        <v>0</v>
      </c>
      <c r="J734" s="32">
        <f t="shared" si="220"/>
        <v>0</v>
      </c>
      <c r="K734" s="32">
        <f t="shared" si="221"/>
        <v>0</v>
      </c>
      <c r="L734" s="32">
        <f t="shared" si="227"/>
        <v>0</v>
      </c>
      <c r="M734" s="287">
        <f t="shared" si="232"/>
        <v>0</v>
      </c>
      <c r="W734" s="117" t="str">
        <f t="shared" ca="1" si="228"/>
        <v>OK</v>
      </c>
      <c r="X734" t="str">
        <f t="shared" ca="1" si="233"/>
        <v>OK</v>
      </c>
      <c r="Y734">
        <f t="shared" si="229"/>
        <v>0</v>
      </c>
      <c r="Z734">
        <f t="shared" si="234"/>
        <v>0</v>
      </c>
      <c r="AA734" t="s">
        <v>461</v>
      </c>
      <c r="AB734" t="s">
        <v>462</v>
      </c>
      <c r="AC734" t="s">
        <v>463</v>
      </c>
      <c r="AD734" t="s">
        <v>464</v>
      </c>
      <c r="AE734" t="s">
        <v>465</v>
      </c>
      <c r="AF734" t="s">
        <v>467</v>
      </c>
      <c r="AG734" t="s">
        <v>466</v>
      </c>
    </row>
    <row r="735" spans="2:33" x14ac:dyDescent="0.15">
      <c r="B735" s="5">
        <v>23</v>
      </c>
      <c r="C735" s="5">
        <v>2</v>
      </c>
      <c r="D735" s="4">
        <f t="shared" si="230"/>
        <v>0</v>
      </c>
      <c r="E735" s="4">
        <f t="shared" si="231"/>
        <v>0</v>
      </c>
      <c r="F735" s="4">
        <f>'入力シート（2事業場以降）'!AR958</f>
        <v>0</v>
      </c>
      <c r="G735" s="126">
        <f>'入力シート（2事業場以降）'!J958</f>
        <v>0</v>
      </c>
      <c r="H735" s="126">
        <f>'入力シート（2事業場以降）'!L958</f>
        <v>0</v>
      </c>
      <c r="I735" s="126">
        <f>'入力シート（2事業場以降）'!N958</f>
        <v>0</v>
      </c>
      <c r="J735" s="32">
        <f t="shared" si="220"/>
        <v>0</v>
      </c>
      <c r="K735" s="32">
        <f t="shared" si="221"/>
        <v>0</v>
      </c>
      <c r="L735" s="32">
        <f t="shared" si="227"/>
        <v>0</v>
      </c>
      <c r="M735" s="287">
        <f t="shared" si="232"/>
        <v>0</v>
      </c>
      <c r="W735" s="117" t="str">
        <f t="shared" ca="1" si="228"/>
        <v>OK</v>
      </c>
      <c r="X735" t="str">
        <f t="shared" ca="1" si="233"/>
        <v>OK</v>
      </c>
      <c r="Y735">
        <f t="shared" si="229"/>
        <v>0</v>
      </c>
      <c r="Z735">
        <f t="shared" si="234"/>
        <v>0</v>
      </c>
      <c r="AA735" s="36"/>
      <c r="AB735" t="s">
        <v>462</v>
      </c>
      <c r="AC735" t="s">
        <v>463</v>
      </c>
      <c r="AD735" t="s">
        <v>464</v>
      </c>
      <c r="AE735" t="s">
        <v>465</v>
      </c>
      <c r="AF735" t="s">
        <v>467</v>
      </c>
      <c r="AG735" t="s">
        <v>466</v>
      </c>
    </row>
    <row r="736" spans="2:33" x14ac:dyDescent="0.15">
      <c r="B736" s="5">
        <v>23</v>
      </c>
      <c r="C736" s="5">
        <v>3</v>
      </c>
      <c r="D736" s="4">
        <f t="shared" si="230"/>
        <v>0</v>
      </c>
      <c r="E736" s="4">
        <f t="shared" si="231"/>
        <v>0</v>
      </c>
      <c r="F736" s="4">
        <f>'入力シート（2事業場以降）'!AR960</f>
        <v>0</v>
      </c>
      <c r="G736" s="126">
        <f>'入力シート（2事業場以降）'!J960</f>
        <v>0</v>
      </c>
      <c r="H736" s="126">
        <f>'入力シート（2事業場以降）'!L960</f>
        <v>0</v>
      </c>
      <c r="I736" s="126">
        <f>'入力シート（2事業場以降）'!N960</f>
        <v>0</v>
      </c>
      <c r="J736" s="32">
        <f t="shared" si="220"/>
        <v>0</v>
      </c>
      <c r="K736" s="32">
        <f t="shared" si="221"/>
        <v>0</v>
      </c>
      <c r="L736" s="32">
        <f t="shared" si="227"/>
        <v>0</v>
      </c>
      <c r="M736" s="287">
        <f t="shared" si="232"/>
        <v>0</v>
      </c>
      <c r="W736" s="117" t="str">
        <f t="shared" ca="1" si="228"/>
        <v>OK</v>
      </c>
      <c r="X736" t="str">
        <f t="shared" ca="1" si="233"/>
        <v>OK</v>
      </c>
      <c r="Y736">
        <f t="shared" si="229"/>
        <v>0</v>
      </c>
      <c r="Z736">
        <f t="shared" si="234"/>
        <v>0</v>
      </c>
      <c r="AA736" s="36"/>
      <c r="AB736" t="s">
        <v>462</v>
      </c>
      <c r="AC736" t="s">
        <v>463</v>
      </c>
      <c r="AD736" t="s">
        <v>464</v>
      </c>
      <c r="AE736" t="s">
        <v>465</v>
      </c>
      <c r="AF736" t="s">
        <v>467</v>
      </c>
      <c r="AG736" t="s">
        <v>466</v>
      </c>
    </row>
    <row r="737" spans="2:33" x14ac:dyDescent="0.15">
      <c r="B737" s="5">
        <v>24</v>
      </c>
      <c r="C737" s="5">
        <v>1</v>
      </c>
      <c r="D737" s="4">
        <f t="shared" si="230"/>
        <v>0</v>
      </c>
      <c r="E737" s="4">
        <f t="shared" si="231"/>
        <v>0</v>
      </c>
      <c r="F737" s="4">
        <f>'入力シート（2事業場以降）'!AR963</f>
        <v>0</v>
      </c>
      <c r="G737" s="126">
        <f>'入力シート（2事業場以降）'!J963</f>
        <v>0</v>
      </c>
      <c r="H737" s="126">
        <f>'入力シート（2事業場以降）'!L963</f>
        <v>0</v>
      </c>
      <c r="I737" s="126">
        <f>'入力シート（2事業場以降）'!N963</f>
        <v>0</v>
      </c>
      <c r="J737" s="32">
        <f t="shared" si="220"/>
        <v>0</v>
      </c>
      <c r="K737" s="32">
        <f t="shared" si="221"/>
        <v>0</v>
      </c>
      <c r="L737" s="32">
        <f t="shared" si="227"/>
        <v>0</v>
      </c>
      <c r="M737" s="287">
        <f t="shared" si="232"/>
        <v>0</v>
      </c>
      <c r="W737" s="117" t="str">
        <f t="shared" ca="1" si="228"/>
        <v>OK</v>
      </c>
      <c r="X737" t="str">
        <f t="shared" ca="1" si="233"/>
        <v>OK</v>
      </c>
      <c r="Y737">
        <f t="shared" si="229"/>
        <v>0</v>
      </c>
      <c r="Z737">
        <f t="shared" si="234"/>
        <v>0</v>
      </c>
      <c r="AA737" t="s">
        <v>461</v>
      </c>
      <c r="AB737" t="s">
        <v>462</v>
      </c>
      <c r="AC737" t="s">
        <v>463</v>
      </c>
      <c r="AD737" t="s">
        <v>464</v>
      </c>
      <c r="AE737" t="s">
        <v>465</v>
      </c>
      <c r="AF737" t="s">
        <v>467</v>
      </c>
      <c r="AG737" t="s">
        <v>466</v>
      </c>
    </row>
    <row r="738" spans="2:33" x14ac:dyDescent="0.15">
      <c r="B738" s="5">
        <v>24</v>
      </c>
      <c r="C738" s="5">
        <v>2</v>
      </c>
      <c r="D738" s="4">
        <f t="shared" si="230"/>
        <v>0</v>
      </c>
      <c r="E738" s="4">
        <f t="shared" si="231"/>
        <v>0</v>
      </c>
      <c r="F738" s="4">
        <f>'入力シート（2事業場以降）'!AR965</f>
        <v>0</v>
      </c>
      <c r="G738" s="126">
        <f>'入力シート（2事業場以降）'!J965</f>
        <v>0</v>
      </c>
      <c r="H738" s="126">
        <f>'入力シート（2事業場以降）'!L965</f>
        <v>0</v>
      </c>
      <c r="I738" s="126">
        <f>'入力シート（2事業場以降）'!N965</f>
        <v>0</v>
      </c>
      <c r="J738" s="32">
        <f t="shared" si="220"/>
        <v>0</v>
      </c>
      <c r="K738" s="32">
        <f t="shared" si="221"/>
        <v>0</v>
      </c>
      <c r="L738" s="32">
        <f t="shared" si="227"/>
        <v>0</v>
      </c>
      <c r="M738" s="287">
        <f t="shared" si="232"/>
        <v>0</v>
      </c>
      <c r="W738" s="117" t="str">
        <f t="shared" ca="1" si="228"/>
        <v>OK</v>
      </c>
      <c r="X738" t="str">
        <f t="shared" ca="1" si="233"/>
        <v>OK</v>
      </c>
      <c r="Y738">
        <f t="shared" si="229"/>
        <v>0</v>
      </c>
      <c r="Z738">
        <f t="shared" si="234"/>
        <v>0</v>
      </c>
      <c r="AA738" s="36"/>
      <c r="AB738" t="s">
        <v>462</v>
      </c>
      <c r="AC738" t="s">
        <v>463</v>
      </c>
      <c r="AD738" t="s">
        <v>464</v>
      </c>
      <c r="AE738" t="s">
        <v>465</v>
      </c>
      <c r="AF738" t="s">
        <v>467</v>
      </c>
      <c r="AG738" t="s">
        <v>466</v>
      </c>
    </row>
    <row r="739" spans="2:33" x14ac:dyDescent="0.15">
      <c r="B739" s="5">
        <v>24</v>
      </c>
      <c r="C739" s="5">
        <v>3</v>
      </c>
      <c r="D739" s="4">
        <f t="shared" si="230"/>
        <v>0</v>
      </c>
      <c r="E739" s="4">
        <f t="shared" si="231"/>
        <v>0</v>
      </c>
      <c r="F739" s="4">
        <f>'入力シート（2事業場以降）'!AR967</f>
        <v>0</v>
      </c>
      <c r="G739" s="126">
        <f>'入力シート（2事業場以降）'!J967</f>
        <v>0</v>
      </c>
      <c r="H739" s="126">
        <f>'入力シート（2事業場以降）'!L967</f>
        <v>0</v>
      </c>
      <c r="I739" s="126">
        <f>'入力シート（2事業場以降）'!N967</f>
        <v>0</v>
      </c>
      <c r="J739" s="32">
        <f t="shared" si="220"/>
        <v>0</v>
      </c>
      <c r="K739" s="32">
        <f t="shared" si="221"/>
        <v>0</v>
      </c>
      <c r="L739" s="32">
        <f t="shared" si="227"/>
        <v>0</v>
      </c>
      <c r="M739" s="287">
        <f t="shared" si="232"/>
        <v>0</v>
      </c>
      <c r="W739" s="117" t="str">
        <f t="shared" ca="1" si="228"/>
        <v>OK</v>
      </c>
      <c r="X739" t="str">
        <f t="shared" ca="1" si="233"/>
        <v>OK</v>
      </c>
      <c r="Y739">
        <f t="shared" si="229"/>
        <v>0</v>
      </c>
      <c r="Z739">
        <f t="shared" si="234"/>
        <v>0</v>
      </c>
      <c r="AA739" s="36"/>
      <c r="AB739" t="s">
        <v>462</v>
      </c>
      <c r="AC739" t="s">
        <v>463</v>
      </c>
      <c r="AD739" t="s">
        <v>464</v>
      </c>
      <c r="AE739" t="s">
        <v>465</v>
      </c>
      <c r="AF739" t="s">
        <v>467</v>
      </c>
      <c r="AG739" t="s">
        <v>466</v>
      </c>
    </row>
    <row r="740" spans="2:33" x14ac:dyDescent="0.15">
      <c r="B740" s="5">
        <v>25</v>
      </c>
      <c r="C740" s="5">
        <v>1</v>
      </c>
      <c r="D740" s="4">
        <f t="shared" si="230"/>
        <v>0</v>
      </c>
      <c r="E740" s="4">
        <f t="shared" si="231"/>
        <v>0</v>
      </c>
      <c r="F740" s="4">
        <f>'入力シート（2事業場以降）'!AR970</f>
        <v>0</v>
      </c>
      <c r="G740" s="126">
        <f>'入力シート（2事業場以降）'!J970</f>
        <v>0</v>
      </c>
      <c r="H740" s="126">
        <f>'入力シート（2事業場以降）'!L970</f>
        <v>0</v>
      </c>
      <c r="I740" s="126">
        <f>'入力シート（2事業場以降）'!N970</f>
        <v>0</v>
      </c>
      <c r="J740" s="32">
        <f t="shared" si="220"/>
        <v>0</v>
      </c>
      <c r="K740" s="32">
        <f t="shared" si="221"/>
        <v>0</v>
      </c>
      <c r="L740" s="32">
        <f t="shared" si="227"/>
        <v>0</v>
      </c>
      <c r="M740" s="287">
        <f t="shared" si="232"/>
        <v>0</v>
      </c>
      <c r="W740" s="117" t="str">
        <f t="shared" ca="1" si="228"/>
        <v>OK</v>
      </c>
      <c r="X740" t="str">
        <f t="shared" ca="1" si="233"/>
        <v>OK</v>
      </c>
      <c r="Y740">
        <f t="shared" si="229"/>
        <v>0</v>
      </c>
      <c r="Z740">
        <f t="shared" si="234"/>
        <v>0</v>
      </c>
      <c r="AA740" t="s">
        <v>461</v>
      </c>
      <c r="AB740" t="s">
        <v>462</v>
      </c>
      <c r="AC740" t="s">
        <v>463</v>
      </c>
      <c r="AD740" t="s">
        <v>464</v>
      </c>
      <c r="AE740" t="s">
        <v>465</v>
      </c>
      <c r="AF740" t="s">
        <v>467</v>
      </c>
      <c r="AG740" t="s">
        <v>466</v>
      </c>
    </row>
    <row r="741" spans="2:33" x14ac:dyDescent="0.15">
      <c r="B741" s="5">
        <v>25</v>
      </c>
      <c r="C741" s="5">
        <v>2</v>
      </c>
      <c r="D741" s="4">
        <f t="shared" si="230"/>
        <v>0</v>
      </c>
      <c r="E741" s="4">
        <f t="shared" si="231"/>
        <v>0</v>
      </c>
      <c r="F741" s="4">
        <f>'入力シート（2事業場以降）'!AR972</f>
        <v>0</v>
      </c>
      <c r="G741" s="126">
        <f>'入力シート（2事業場以降）'!J972</f>
        <v>0</v>
      </c>
      <c r="H741" s="126">
        <f>'入力シート（2事業場以降）'!L972</f>
        <v>0</v>
      </c>
      <c r="I741" s="126">
        <f>'入力シート（2事業場以降）'!N972</f>
        <v>0</v>
      </c>
      <c r="J741" s="32">
        <f t="shared" si="220"/>
        <v>0</v>
      </c>
      <c r="K741" s="32">
        <f t="shared" si="221"/>
        <v>0</v>
      </c>
      <c r="L741" s="32">
        <f t="shared" si="227"/>
        <v>0</v>
      </c>
      <c r="M741" s="287">
        <f t="shared" si="232"/>
        <v>0</v>
      </c>
      <c r="W741" s="117" t="str">
        <f t="shared" ca="1" si="228"/>
        <v>OK</v>
      </c>
      <c r="X741" t="str">
        <f t="shared" ca="1" si="233"/>
        <v>OK</v>
      </c>
      <c r="Y741">
        <f t="shared" si="229"/>
        <v>0</v>
      </c>
      <c r="Z741">
        <f t="shared" si="234"/>
        <v>0</v>
      </c>
      <c r="AA741" s="36"/>
      <c r="AB741" t="s">
        <v>462</v>
      </c>
      <c r="AC741" t="s">
        <v>463</v>
      </c>
      <c r="AD741" t="s">
        <v>464</v>
      </c>
      <c r="AE741" t="s">
        <v>465</v>
      </c>
      <c r="AF741" t="s">
        <v>467</v>
      </c>
      <c r="AG741" t="s">
        <v>466</v>
      </c>
    </row>
    <row r="742" spans="2:33" x14ac:dyDescent="0.15">
      <c r="B742" s="5">
        <v>25</v>
      </c>
      <c r="C742" s="5">
        <v>3</v>
      </c>
      <c r="D742" s="4">
        <f t="shared" si="230"/>
        <v>0</v>
      </c>
      <c r="E742" s="4">
        <f t="shared" si="231"/>
        <v>0</v>
      </c>
      <c r="F742" s="4">
        <f>'入力シート（2事業場以降）'!AR974</f>
        <v>0</v>
      </c>
      <c r="G742" s="126">
        <f>'入力シート（2事業場以降）'!J974</f>
        <v>0</v>
      </c>
      <c r="H742" s="126">
        <f>'入力シート（2事業場以降）'!L974</f>
        <v>0</v>
      </c>
      <c r="I742" s="126">
        <f>'入力シート（2事業場以降）'!N974</f>
        <v>0</v>
      </c>
      <c r="J742" s="32">
        <f t="shared" si="220"/>
        <v>0</v>
      </c>
      <c r="K742" s="32">
        <f t="shared" si="221"/>
        <v>0</v>
      </c>
      <c r="L742" s="32">
        <f t="shared" si="227"/>
        <v>0</v>
      </c>
      <c r="M742" s="287">
        <f t="shared" si="232"/>
        <v>0</v>
      </c>
      <c r="W742" s="117" t="str">
        <f t="shared" ca="1" si="228"/>
        <v>OK</v>
      </c>
      <c r="X742" t="str">
        <f t="shared" ca="1" si="233"/>
        <v>OK</v>
      </c>
      <c r="Y742">
        <f t="shared" si="229"/>
        <v>0</v>
      </c>
      <c r="Z742">
        <f t="shared" si="234"/>
        <v>0</v>
      </c>
      <c r="AA742" s="36"/>
      <c r="AB742" t="s">
        <v>462</v>
      </c>
      <c r="AC742" t="s">
        <v>463</v>
      </c>
      <c r="AD742" t="s">
        <v>464</v>
      </c>
      <c r="AE742" t="s">
        <v>465</v>
      </c>
      <c r="AF742" t="s">
        <v>467</v>
      </c>
      <c r="AG742" t="s">
        <v>466</v>
      </c>
    </row>
    <row r="743" spans="2:33" x14ac:dyDescent="0.15">
      <c r="B743" s="5">
        <v>26</v>
      </c>
      <c r="C743" s="5">
        <v>1</v>
      </c>
      <c r="D743" s="4">
        <f t="shared" si="230"/>
        <v>0</v>
      </c>
      <c r="E743" s="4">
        <f t="shared" si="231"/>
        <v>0</v>
      </c>
      <c r="F743" s="4">
        <f>'入力シート（2事業場以降）'!AR977</f>
        <v>0</v>
      </c>
      <c r="G743" s="126">
        <f>'入力シート（2事業場以降）'!J977</f>
        <v>0</v>
      </c>
      <c r="H743" s="126">
        <f>'入力シート（2事業場以降）'!L977</f>
        <v>0</v>
      </c>
      <c r="I743" s="126">
        <f>'入力シート（2事業場以降）'!N977</f>
        <v>0</v>
      </c>
      <c r="J743" s="32">
        <f t="shared" si="220"/>
        <v>0</v>
      </c>
      <c r="K743" s="32">
        <f t="shared" si="221"/>
        <v>0</v>
      </c>
      <c r="L743" s="32">
        <f t="shared" si="227"/>
        <v>0</v>
      </c>
      <c r="M743" s="287">
        <f t="shared" si="232"/>
        <v>0</v>
      </c>
      <c r="W743" s="117" t="str">
        <f t="shared" ca="1" si="228"/>
        <v>OK</v>
      </c>
      <c r="X743" t="str">
        <f t="shared" ca="1" si="233"/>
        <v>OK</v>
      </c>
      <c r="Y743">
        <f t="shared" si="229"/>
        <v>0</v>
      </c>
      <c r="Z743">
        <f t="shared" si="234"/>
        <v>0</v>
      </c>
      <c r="AA743" t="s">
        <v>461</v>
      </c>
      <c r="AB743" t="s">
        <v>462</v>
      </c>
      <c r="AC743" t="s">
        <v>463</v>
      </c>
      <c r="AD743" t="s">
        <v>464</v>
      </c>
      <c r="AE743" t="s">
        <v>465</v>
      </c>
      <c r="AF743" t="s">
        <v>467</v>
      </c>
      <c r="AG743" t="s">
        <v>466</v>
      </c>
    </row>
    <row r="744" spans="2:33" x14ac:dyDescent="0.15">
      <c r="B744" s="5">
        <v>26</v>
      </c>
      <c r="C744" s="5">
        <v>2</v>
      </c>
      <c r="D744" s="4">
        <f t="shared" si="230"/>
        <v>0</v>
      </c>
      <c r="E744" s="4">
        <f t="shared" si="231"/>
        <v>0</v>
      </c>
      <c r="F744" s="4">
        <f>'入力シート（2事業場以降）'!AR979</f>
        <v>0</v>
      </c>
      <c r="G744" s="126">
        <f>'入力シート（2事業場以降）'!J979</f>
        <v>0</v>
      </c>
      <c r="H744" s="126">
        <f>'入力シート（2事業場以降）'!L979</f>
        <v>0</v>
      </c>
      <c r="I744" s="126">
        <f>'入力シート（2事業場以降）'!N979</f>
        <v>0</v>
      </c>
      <c r="J744" s="32">
        <f t="shared" si="220"/>
        <v>0</v>
      </c>
      <c r="K744" s="32">
        <f t="shared" si="221"/>
        <v>0</v>
      </c>
      <c r="L744" s="32">
        <f t="shared" si="227"/>
        <v>0</v>
      </c>
      <c r="M744" s="287">
        <f t="shared" si="232"/>
        <v>0</v>
      </c>
      <c r="W744" s="117" t="str">
        <f t="shared" ca="1" si="228"/>
        <v>OK</v>
      </c>
      <c r="X744" t="str">
        <f t="shared" ca="1" si="233"/>
        <v>OK</v>
      </c>
      <c r="Y744">
        <f t="shared" si="229"/>
        <v>0</v>
      </c>
      <c r="Z744">
        <f t="shared" si="234"/>
        <v>0</v>
      </c>
      <c r="AA744" s="36"/>
      <c r="AB744" t="s">
        <v>462</v>
      </c>
      <c r="AC744" t="s">
        <v>463</v>
      </c>
      <c r="AD744" t="s">
        <v>464</v>
      </c>
      <c r="AE744" t="s">
        <v>465</v>
      </c>
      <c r="AF744" t="s">
        <v>467</v>
      </c>
      <c r="AG744" t="s">
        <v>466</v>
      </c>
    </row>
    <row r="745" spans="2:33" x14ac:dyDescent="0.15">
      <c r="B745" s="5">
        <v>26</v>
      </c>
      <c r="C745" s="5">
        <v>3</v>
      </c>
      <c r="D745" s="4">
        <f t="shared" si="230"/>
        <v>0</v>
      </c>
      <c r="E745" s="4">
        <f t="shared" si="231"/>
        <v>0</v>
      </c>
      <c r="F745" s="4">
        <f>'入力シート（2事業場以降）'!AR981</f>
        <v>0</v>
      </c>
      <c r="G745" s="126">
        <f>'入力シート（2事業場以降）'!J981</f>
        <v>0</v>
      </c>
      <c r="H745" s="126">
        <f>'入力シート（2事業場以降）'!L981</f>
        <v>0</v>
      </c>
      <c r="I745" s="126">
        <f>'入力シート（2事業場以降）'!N981</f>
        <v>0</v>
      </c>
      <c r="J745" s="32">
        <f t="shared" si="220"/>
        <v>0</v>
      </c>
      <c r="K745" s="32">
        <f t="shared" si="221"/>
        <v>0</v>
      </c>
      <c r="L745" s="32">
        <f t="shared" si="227"/>
        <v>0</v>
      </c>
      <c r="M745" s="287">
        <f t="shared" si="232"/>
        <v>0</v>
      </c>
      <c r="W745" s="117" t="str">
        <f t="shared" ca="1" si="228"/>
        <v>OK</v>
      </c>
      <c r="X745" t="str">
        <f t="shared" ca="1" si="233"/>
        <v>OK</v>
      </c>
      <c r="Y745">
        <f t="shared" si="229"/>
        <v>0</v>
      </c>
      <c r="Z745">
        <f t="shared" si="234"/>
        <v>0</v>
      </c>
      <c r="AA745" s="36"/>
      <c r="AB745" t="s">
        <v>462</v>
      </c>
      <c r="AC745" t="s">
        <v>463</v>
      </c>
      <c r="AD745" t="s">
        <v>464</v>
      </c>
      <c r="AE745" t="s">
        <v>465</v>
      </c>
      <c r="AF745" t="s">
        <v>467</v>
      </c>
      <c r="AG745" t="s">
        <v>466</v>
      </c>
    </row>
    <row r="746" spans="2:33" x14ac:dyDescent="0.15">
      <c r="B746" s="5">
        <v>27</v>
      </c>
      <c r="C746" s="5">
        <v>1</v>
      </c>
      <c r="D746" s="4">
        <f t="shared" si="230"/>
        <v>0</v>
      </c>
      <c r="E746" s="4">
        <f t="shared" si="231"/>
        <v>0</v>
      </c>
      <c r="F746" s="4">
        <f>'入力シート（2事業場以降）'!AR984</f>
        <v>0</v>
      </c>
      <c r="G746" s="126">
        <f>'入力シート（2事業場以降）'!J984</f>
        <v>0</v>
      </c>
      <c r="H746" s="126">
        <f>'入力シート（2事業場以降）'!L984</f>
        <v>0</v>
      </c>
      <c r="I746" s="126">
        <f>'入力シート（2事業場以降）'!N984</f>
        <v>0</v>
      </c>
      <c r="J746" s="32">
        <f t="shared" si="220"/>
        <v>0</v>
      </c>
      <c r="K746" s="32">
        <f t="shared" si="221"/>
        <v>0</v>
      </c>
      <c r="L746" s="32">
        <f t="shared" si="227"/>
        <v>0</v>
      </c>
      <c r="M746" s="287">
        <f t="shared" si="232"/>
        <v>0</v>
      </c>
      <c r="W746" s="117" t="str">
        <f t="shared" ca="1" si="228"/>
        <v>OK</v>
      </c>
      <c r="X746" t="str">
        <f t="shared" ca="1" si="233"/>
        <v>OK</v>
      </c>
      <c r="Y746">
        <f t="shared" si="229"/>
        <v>0</v>
      </c>
      <c r="Z746">
        <f t="shared" si="234"/>
        <v>0</v>
      </c>
      <c r="AA746" t="s">
        <v>461</v>
      </c>
      <c r="AB746" t="s">
        <v>462</v>
      </c>
      <c r="AC746" t="s">
        <v>463</v>
      </c>
      <c r="AD746" t="s">
        <v>464</v>
      </c>
      <c r="AE746" t="s">
        <v>465</v>
      </c>
      <c r="AF746" t="s">
        <v>467</v>
      </c>
      <c r="AG746" t="s">
        <v>466</v>
      </c>
    </row>
    <row r="747" spans="2:33" x14ac:dyDescent="0.15">
      <c r="B747" s="5">
        <v>27</v>
      </c>
      <c r="C747" s="5">
        <v>2</v>
      </c>
      <c r="D747" s="4">
        <f t="shared" si="230"/>
        <v>0</v>
      </c>
      <c r="E747" s="4">
        <f t="shared" si="231"/>
        <v>0</v>
      </c>
      <c r="F747" s="4">
        <f>'入力シート（2事業場以降）'!AR986</f>
        <v>0</v>
      </c>
      <c r="G747" s="126">
        <f>'入力シート（2事業場以降）'!J986</f>
        <v>0</v>
      </c>
      <c r="H747" s="126">
        <f>'入力シート（2事業場以降）'!L986</f>
        <v>0</v>
      </c>
      <c r="I747" s="126">
        <f>'入力シート（2事業場以降）'!N986</f>
        <v>0</v>
      </c>
      <c r="J747" s="32">
        <f t="shared" si="220"/>
        <v>0</v>
      </c>
      <c r="K747" s="32">
        <f t="shared" si="221"/>
        <v>0</v>
      </c>
      <c r="L747" s="32">
        <f t="shared" si="227"/>
        <v>0</v>
      </c>
      <c r="M747" s="287">
        <f t="shared" si="232"/>
        <v>0</v>
      </c>
      <c r="W747" s="117" t="str">
        <f t="shared" ca="1" si="228"/>
        <v>OK</v>
      </c>
      <c r="X747" t="str">
        <f t="shared" ca="1" si="233"/>
        <v>OK</v>
      </c>
      <c r="Y747">
        <f t="shared" si="229"/>
        <v>0</v>
      </c>
      <c r="Z747">
        <f t="shared" si="234"/>
        <v>0</v>
      </c>
      <c r="AA747" s="36"/>
      <c r="AB747" t="s">
        <v>462</v>
      </c>
      <c r="AC747" t="s">
        <v>463</v>
      </c>
      <c r="AD747" t="s">
        <v>464</v>
      </c>
      <c r="AE747" t="s">
        <v>465</v>
      </c>
      <c r="AF747" t="s">
        <v>467</v>
      </c>
      <c r="AG747" t="s">
        <v>466</v>
      </c>
    </row>
    <row r="748" spans="2:33" x14ac:dyDescent="0.15">
      <c r="B748" s="5">
        <v>27</v>
      </c>
      <c r="C748" s="5">
        <v>3</v>
      </c>
      <c r="D748" s="4">
        <f t="shared" si="230"/>
        <v>0</v>
      </c>
      <c r="E748" s="4">
        <f t="shared" si="231"/>
        <v>0</v>
      </c>
      <c r="F748" s="4">
        <f>'入力シート（2事業場以降）'!AR988</f>
        <v>0</v>
      </c>
      <c r="G748" s="126">
        <f>'入力シート（2事業場以降）'!J988</f>
        <v>0</v>
      </c>
      <c r="H748" s="126">
        <f>'入力シート（2事業場以降）'!L988</f>
        <v>0</v>
      </c>
      <c r="I748" s="126">
        <f>'入力シート（2事業場以降）'!N988</f>
        <v>0</v>
      </c>
      <c r="J748" s="32">
        <f t="shared" si="220"/>
        <v>0</v>
      </c>
      <c r="K748" s="32">
        <f t="shared" si="221"/>
        <v>0</v>
      </c>
      <c r="L748" s="32">
        <f t="shared" si="227"/>
        <v>0</v>
      </c>
      <c r="M748" s="287">
        <f t="shared" si="232"/>
        <v>0</v>
      </c>
      <c r="W748" s="117" t="str">
        <f t="shared" ca="1" si="228"/>
        <v>OK</v>
      </c>
      <c r="X748" t="str">
        <f t="shared" ca="1" si="233"/>
        <v>OK</v>
      </c>
      <c r="Y748">
        <f t="shared" si="229"/>
        <v>0</v>
      </c>
      <c r="Z748">
        <f t="shared" si="234"/>
        <v>0</v>
      </c>
      <c r="AA748" s="36"/>
      <c r="AB748" t="s">
        <v>462</v>
      </c>
      <c r="AC748" t="s">
        <v>463</v>
      </c>
      <c r="AD748" t="s">
        <v>464</v>
      </c>
      <c r="AE748" t="s">
        <v>465</v>
      </c>
      <c r="AF748" t="s">
        <v>467</v>
      </c>
      <c r="AG748" t="s">
        <v>466</v>
      </c>
    </row>
    <row r="749" spans="2:33" x14ac:dyDescent="0.15">
      <c r="B749" s="5">
        <v>28</v>
      </c>
      <c r="C749" s="5">
        <v>1</v>
      </c>
      <c r="D749" s="4">
        <f t="shared" si="230"/>
        <v>0</v>
      </c>
      <c r="E749" s="4">
        <f t="shared" si="231"/>
        <v>0</v>
      </c>
      <c r="F749" s="4">
        <f>'入力シート（2事業場以降）'!AR991</f>
        <v>0</v>
      </c>
      <c r="G749" s="126">
        <f>'入力シート（2事業場以降）'!J991</f>
        <v>0</v>
      </c>
      <c r="H749" s="126">
        <f>'入力シート（2事業場以降）'!L991</f>
        <v>0</v>
      </c>
      <c r="I749" s="126">
        <f>'入力シート（2事業場以降）'!N991</f>
        <v>0</v>
      </c>
      <c r="J749" s="32">
        <f t="shared" si="220"/>
        <v>0</v>
      </c>
      <c r="K749" s="32">
        <f t="shared" si="221"/>
        <v>0</v>
      </c>
      <c r="L749" s="32">
        <f t="shared" si="227"/>
        <v>0</v>
      </c>
      <c r="M749" s="287">
        <f t="shared" si="232"/>
        <v>0</v>
      </c>
      <c r="W749" s="117" t="str">
        <f t="shared" ca="1" si="228"/>
        <v>OK</v>
      </c>
      <c r="X749" t="str">
        <f t="shared" ca="1" si="233"/>
        <v>OK</v>
      </c>
      <c r="Y749">
        <f t="shared" si="229"/>
        <v>0</v>
      </c>
      <c r="Z749">
        <f t="shared" si="234"/>
        <v>0</v>
      </c>
      <c r="AA749" t="s">
        <v>461</v>
      </c>
      <c r="AB749" t="s">
        <v>462</v>
      </c>
      <c r="AC749" t="s">
        <v>463</v>
      </c>
      <c r="AD749" t="s">
        <v>464</v>
      </c>
      <c r="AE749" t="s">
        <v>465</v>
      </c>
      <c r="AF749" t="s">
        <v>467</v>
      </c>
      <c r="AG749" t="s">
        <v>466</v>
      </c>
    </row>
    <row r="750" spans="2:33" x14ac:dyDescent="0.15">
      <c r="B750" s="5">
        <v>28</v>
      </c>
      <c r="C750" s="5">
        <v>2</v>
      </c>
      <c r="D750" s="4">
        <f t="shared" si="230"/>
        <v>0</v>
      </c>
      <c r="E750" s="4">
        <f t="shared" si="231"/>
        <v>0</v>
      </c>
      <c r="F750" s="4">
        <f>'入力シート（2事業場以降）'!AR993</f>
        <v>0</v>
      </c>
      <c r="G750" s="126">
        <f>'入力シート（2事業場以降）'!J993</f>
        <v>0</v>
      </c>
      <c r="H750" s="126">
        <f>'入力シート（2事業場以降）'!L993</f>
        <v>0</v>
      </c>
      <c r="I750" s="126">
        <f>'入力シート（2事業場以降）'!N993</f>
        <v>0</v>
      </c>
      <c r="J750" s="32">
        <f t="shared" si="220"/>
        <v>0</v>
      </c>
      <c r="K750" s="32">
        <f t="shared" si="221"/>
        <v>0</v>
      </c>
      <c r="L750" s="32">
        <f t="shared" si="227"/>
        <v>0</v>
      </c>
      <c r="M750" s="287">
        <f t="shared" si="232"/>
        <v>0</v>
      </c>
      <c r="W750" s="117" t="str">
        <f t="shared" ca="1" si="228"/>
        <v>OK</v>
      </c>
      <c r="X750" t="str">
        <f t="shared" ca="1" si="233"/>
        <v>OK</v>
      </c>
      <c r="Y750">
        <f t="shared" si="229"/>
        <v>0</v>
      </c>
      <c r="Z750">
        <f t="shared" si="234"/>
        <v>0</v>
      </c>
      <c r="AA750" s="36"/>
      <c r="AB750" t="s">
        <v>462</v>
      </c>
      <c r="AC750" t="s">
        <v>463</v>
      </c>
      <c r="AD750" t="s">
        <v>464</v>
      </c>
      <c r="AE750" t="s">
        <v>465</v>
      </c>
      <c r="AF750" t="s">
        <v>467</v>
      </c>
      <c r="AG750" t="s">
        <v>466</v>
      </c>
    </row>
    <row r="751" spans="2:33" x14ac:dyDescent="0.15">
      <c r="B751" s="5">
        <v>28</v>
      </c>
      <c r="C751" s="5">
        <v>3</v>
      </c>
      <c r="D751" s="4">
        <f t="shared" si="230"/>
        <v>0</v>
      </c>
      <c r="E751" s="4">
        <f t="shared" si="231"/>
        <v>0</v>
      </c>
      <c r="F751" s="4">
        <f>'入力シート（2事業場以降）'!AR995</f>
        <v>0</v>
      </c>
      <c r="G751" s="126">
        <f>'入力シート（2事業場以降）'!J995</f>
        <v>0</v>
      </c>
      <c r="H751" s="126">
        <f>'入力シート（2事業場以降）'!L995</f>
        <v>0</v>
      </c>
      <c r="I751" s="126">
        <f>'入力シート（2事業場以降）'!N995</f>
        <v>0</v>
      </c>
      <c r="J751" s="32">
        <f t="shared" si="220"/>
        <v>0</v>
      </c>
      <c r="K751" s="32">
        <f t="shared" si="221"/>
        <v>0</v>
      </c>
      <c r="L751" s="32">
        <f t="shared" si="227"/>
        <v>0</v>
      </c>
      <c r="M751" s="287">
        <f t="shared" si="232"/>
        <v>0</v>
      </c>
      <c r="W751" s="117" t="str">
        <f t="shared" ca="1" si="228"/>
        <v>OK</v>
      </c>
      <c r="X751" t="str">
        <f t="shared" ca="1" si="233"/>
        <v>OK</v>
      </c>
      <c r="Y751">
        <f t="shared" si="229"/>
        <v>0</v>
      </c>
      <c r="Z751">
        <f t="shared" si="234"/>
        <v>0</v>
      </c>
      <c r="AA751" s="36"/>
      <c r="AB751" t="s">
        <v>462</v>
      </c>
      <c r="AC751" t="s">
        <v>463</v>
      </c>
      <c r="AD751" t="s">
        <v>464</v>
      </c>
      <c r="AE751" t="s">
        <v>465</v>
      </c>
      <c r="AF751" t="s">
        <v>467</v>
      </c>
      <c r="AG751" t="s">
        <v>466</v>
      </c>
    </row>
    <row r="752" spans="2:33" x14ac:dyDescent="0.15">
      <c r="B752" s="5">
        <v>29</v>
      </c>
      <c r="C752" s="5">
        <v>1</v>
      </c>
      <c r="D752" s="4">
        <f t="shared" si="230"/>
        <v>0</v>
      </c>
      <c r="E752" s="4">
        <f t="shared" si="231"/>
        <v>0</v>
      </c>
      <c r="F752" s="4">
        <f>'入力シート（2事業場以降）'!AR998</f>
        <v>0</v>
      </c>
      <c r="G752" s="126">
        <f>'入力シート（2事業場以降）'!J998</f>
        <v>0</v>
      </c>
      <c r="H752" s="126">
        <f>'入力シート（2事業場以降）'!L998</f>
        <v>0</v>
      </c>
      <c r="I752" s="126">
        <f>'入力シート（2事業場以降）'!N998</f>
        <v>0</v>
      </c>
      <c r="J752" s="32">
        <f t="shared" si="220"/>
        <v>0</v>
      </c>
      <c r="K752" s="32">
        <f t="shared" si="221"/>
        <v>0</v>
      </c>
      <c r="L752" s="32">
        <f t="shared" si="227"/>
        <v>0</v>
      </c>
      <c r="M752" s="287">
        <f t="shared" si="232"/>
        <v>0</v>
      </c>
      <c r="W752" s="117" t="str">
        <f t="shared" ca="1" si="228"/>
        <v>OK</v>
      </c>
      <c r="X752" t="str">
        <f t="shared" ca="1" si="233"/>
        <v>OK</v>
      </c>
      <c r="Y752">
        <f t="shared" si="229"/>
        <v>0</v>
      </c>
      <c r="Z752">
        <f t="shared" si="234"/>
        <v>0</v>
      </c>
      <c r="AA752" t="s">
        <v>461</v>
      </c>
      <c r="AB752" t="s">
        <v>462</v>
      </c>
      <c r="AC752" t="s">
        <v>463</v>
      </c>
      <c r="AD752" t="s">
        <v>464</v>
      </c>
      <c r="AE752" t="s">
        <v>465</v>
      </c>
      <c r="AF752" t="s">
        <v>467</v>
      </c>
      <c r="AG752" t="s">
        <v>466</v>
      </c>
    </row>
    <row r="753" spans="2:33" x14ac:dyDescent="0.15">
      <c r="B753" s="5">
        <v>29</v>
      </c>
      <c r="C753" s="5">
        <v>2</v>
      </c>
      <c r="D753" s="4">
        <f t="shared" si="230"/>
        <v>0</v>
      </c>
      <c r="E753" s="4">
        <f t="shared" si="231"/>
        <v>0</v>
      </c>
      <c r="F753" s="4">
        <f>'入力シート（2事業場以降）'!AR1000</f>
        <v>0</v>
      </c>
      <c r="G753" s="126">
        <f>'入力シート（2事業場以降）'!J1000</f>
        <v>0</v>
      </c>
      <c r="H753" s="126">
        <f>'入力シート（2事業場以降）'!L1000</f>
        <v>0</v>
      </c>
      <c r="I753" s="126">
        <f>'入力シート（2事業場以降）'!N1000</f>
        <v>0</v>
      </c>
      <c r="J753" s="32">
        <f t="shared" si="220"/>
        <v>0</v>
      </c>
      <c r="K753" s="32">
        <f t="shared" si="221"/>
        <v>0</v>
      </c>
      <c r="L753" s="32">
        <f t="shared" si="227"/>
        <v>0</v>
      </c>
      <c r="M753" s="287">
        <f t="shared" si="232"/>
        <v>0</v>
      </c>
      <c r="W753" s="117" t="str">
        <f t="shared" ca="1" si="228"/>
        <v>OK</v>
      </c>
      <c r="X753" t="str">
        <f t="shared" ca="1" si="233"/>
        <v>OK</v>
      </c>
      <c r="Y753">
        <f t="shared" si="229"/>
        <v>0</v>
      </c>
      <c r="Z753">
        <f t="shared" si="234"/>
        <v>0</v>
      </c>
      <c r="AA753" s="36"/>
      <c r="AB753" t="s">
        <v>462</v>
      </c>
      <c r="AC753" t="s">
        <v>463</v>
      </c>
      <c r="AD753" t="s">
        <v>464</v>
      </c>
      <c r="AE753" t="s">
        <v>465</v>
      </c>
      <c r="AF753" t="s">
        <v>467</v>
      </c>
      <c r="AG753" t="s">
        <v>466</v>
      </c>
    </row>
    <row r="754" spans="2:33" x14ac:dyDescent="0.15">
      <c r="B754" s="5">
        <v>29</v>
      </c>
      <c r="C754" s="5">
        <v>3</v>
      </c>
      <c r="D754" s="4">
        <f t="shared" si="230"/>
        <v>0</v>
      </c>
      <c r="E754" s="4">
        <f t="shared" si="231"/>
        <v>0</v>
      </c>
      <c r="F754" s="4">
        <f>'入力シート（2事業場以降）'!AR1002</f>
        <v>0</v>
      </c>
      <c r="G754" s="126">
        <f>'入力シート（2事業場以降）'!J1002</f>
        <v>0</v>
      </c>
      <c r="H754" s="126">
        <f>'入力シート（2事業場以降）'!L1002</f>
        <v>0</v>
      </c>
      <c r="I754" s="126">
        <f>'入力シート（2事業場以降）'!N1002</f>
        <v>0</v>
      </c>
      <c r="J754" s="32">
        <f t="shared" si="220"/>
        <v>0</v>
      </c>
      <c r="K754" s="32">
        <f t="shared" si="221"/>
        <v>0</v>
      </c>
      <c r="L754" s="32">
        <f t="shared" si="227"/>
        <v>0</v>
      </c>
      <c r="M754" s="287">
        <f t="shared" si="232"/>
        <v>0</v>
      </c>
      <c r="W754" s="117" t="str">
        <f t="shared" ca="1" si="228"/>
        <v>OK</v>
      </c>
      <c r="X754" t="str">
        <f t="shared" ca="1" si="233"/>
        <v>OK</v>
      </c>
      <c r="Y754">
        <f t="shared" si="229"/>
        <v>0</v>
      </c>
      <c r="Z754">
        <f t="shared" si="234"/>
        <v>0</v>
      </c>
      <c r="AA754" s="36"/>
      <c r="AB754" t="s">
        <v>462</v>
      </c>
      <c r="AC754" t="s">
        <v>463</v>
      </c>
      <c r="AD754" t="s">
        <v>464</v>
      </c>
      <c r="AE754" t="s">
        <v>465</v>
      </c>
      <c r="AF754" t="s">
        <v>467</v>
      </c>
      <c r="AG754" t="s">
        <v>466</v>
      </c>
    </row>
    <row r="755" spans="2:33" x14ac:dyDescent="0.15">
      <c r="B755" s="5">
        <v>30</v>
      </c>
      <c r="C755" s="5">
        <v>1</v>
      </c>
      <c r="D755" s="4">
        <f t="shared" si="230"/>
        <v>0</v>
      </c>
      <c r="E755" s="4">
        <f t="shared" si="231"/>
        <v>0</v>
      </c>
      <c r="F755" s="4">
        <f>'入力シート（2事業場以降）'!AR1005</f>
        <v>0</v>
      </c>
      <c r="G755" s="126">
        <f>'入力シート（2事業場以降）'!J1005</f>
        <v>0</v>
      </c>
      <c r="H755" s="126">
        <f>'入力シート（2事業場以降）'!L1005</f>
        <v>0</v>
      </c>
      <c r="I755" s="126">
        <f>'入力シート（2事業場以降）'!N1005</f>
        <v>0</v>
      </c>
      <c r="J755" s="32">
        <f t="shared" si="220"/>
        <v>0</v>
      </c>
      <c r="K755" s="32">
        <f t="shared" si="221"/>
        <v>0</v>
      </c>
      <c r="L755" s="32">
        <f t="shared" si="227"/>
        <v>0</v>
      </c>
      <c r="M755" s="287">
        <f t="shared" si="232"/>
        <v>0</v>
      </c>
      <c r="W755" s="117" t="str">
        <f t="shared" ca="1" si="228"/>
        <v>OK</v>
      </c>
      <c r="X755" t="str">
        <f t="shared" ca="1" si="233"/>
        <v>OK</v>
      </c>
      <c r="Y755">
        <f t="shared" si="229"/>
        <v>0</v>
      </c>
      <c r="Z755">
        <f t="shared" si="234"/>
        <v>0</v>
      </c>
      <c r="AA755" t="s">
        <v>461</v>
      </c>
      <c r="AB755" t="s">
        <v>462</v>
      </c>
      <c r="AC755" t="s">
        <v>463</v>
      </c>
      <c r="AD755" t="s">
        <v>464</v>
      </c>
      <c r="AE755" t="s">
        <v>465</v>
      </c>
      <c r="AF755" t="s">
        <v>467</v>
      </c>
      <c r="AG755" t="s">
        <v>466</v>
      </c>
    </row>
    <row r="756" spans="2:33" x14ac:dyDescent="0.15">
      <c r="B756" s="5">
        <v>30</v>
      </c>
      <c r="C756" s="5">
        <v>2</v>
      </c>
      <c r="D756" s="4">
        <f t="shared" si="230"/>
        <v>0</v>
      </c>
      <c r="E756" s="4">
        <f t="shared" si="231"/>
        <v>0</v>
      </c>
      <c r="F756" s="4">
        <f>'入力シート（2事業場以降）'!AR1007</f>
        <v>0</v>
      </c>
      <c r="G756" s="126">
        <f>'入力シート（2事業場以降）'!J1007</f>
        <v>0</v>
      </c>
      <c r="H756" s="126">
        <f>'入力シート（2事業場以降）'!L1007</f>
        <v>0</v>
      </c>
      <c r="I756" s="126">
        <f>'入力シート（2事業場以降）'!N1007</f>
        <v>0</v>
      </c>
      <c r="J756" s="32">
        <f t="shared" si="220"/>
        <v>0</v>
      </c>
      <c r="K756" s="32">
        <f t="shared" si="221"/>
        <v>0</v>
      </c>
      <c r="L756" s="32">
        <f t="shared" si="227"/>
        <v>0</v>
      </c>
      <c r="M756" s="287">
        <f t="shared" si="232"/>
        <v>0</v>
      </c>
      <c r="W756" s="117" t="str">
        <f t="shared" ca="1" si="228"/>
        <v>OK</v>
      </c>
      <c r="X756" t="str">
        <f t="shared" ca="1" si="233"/>
        <v>OK</v>
      </c>
      <c r="Y756">
        <f t="shared" si="229"/>
        <v>0</v>
      </c>
      <c r="Z756">
        <f t="shared" si="234"/>
        <v>0</v>
      </c>
      <c r="AA756" s="36"/>
      <c r="AB756" t="s">
        <v>462</v>
      </c>
      <c r="AC756" t="s">
        <v>463</v>
      </c>
      <c r="AD756" t="s">
        <v>464</v>
      </c>
      <c r="AE756" t="s">
        <v>465</v>
      </c>
      <c r="AF756" t="s">
        <v>467</v>
      </c>
      <c r="AG756" t="s">
        <v>466</v>
      </c>
    </row>
    <row r="757" spans="2:33" x14ac:dyDescent="0.15">
      <c r="B757" s="5">
        <v>30</v>
      </c>
      <c r="C757" s="5">
        <v>3</v>
      </c>
      <c r="D757" s="4">
        <f t="shared" si="230"/>
        <v>0</v>
      </c>
      <c r="E757" s="4">
        <f t="shared" si="231"/>
        <v>0</v>
      </c>
      <c r="F757" s="4">
        <f>'入力シート（2事業場以降）'!AR1009</f>
        <v>0</v>
      </c>
      <c r="G757" s="126">
        <f>'入力シート（2事業場以降）'!J1009</f>
        <v>0</v>
      </c>
      <c r="H757" s="126">
        <f>'入力シート（2事業場以降）'!L1009</f>
        <v>0</v>
      </c>
      <c r="I757" s="126">
        <f>'入力シート（2事業場以降）'!N1009</f>
        <v>0</v>
      </c>
      <c r="J757" s="32">
        <f t="shared" si="220"/>
        <v>0</v>
      </c>
      <c r="K757" s="32">
        <f t="shared" si="221"/>
        <v>0</v>
      </c>
      <c r="L757" s="32">
        <f t="shared" si="227"/>
        <v>0</v>
      </c>
      <c r="M757" s="287">
        <f t="shared" si="232"/>
        <v>0</v>
      </c>
      <c r="W757" s="117" t="str">
        <f t="shared" ca="1" si="228"/>
        <v>OK</v>
      </c>
      <c r="X757" t="str">
        <f t="shared" ca="1" si="233"/>
        <v>OK</v>
      </c>
      <c r="Y757">
        <f t="shared" si="229"/>
        <v>0</v>
      </c>
      <c r="Z757">
        <f t="shared" si="234"/>
        <v>0</v>
      </c>
      <c r="AA757" s="36"/>
      <c r="AB757" t="s">
        <v>462</v>
      </c>
      <c r="AC757" t="s">
        <v>463</v>
      </c>
      <c r="AD757" t="s">
        <v>464</v>
      </c>
      <c r="AE757" t="s">
        <v>465</v>
      </c>
      <c r="AF757" t="s">
        <v>467</v>
      </c>
      <c r="AG757" t="s">
        <v>466</v>
      </c>
    </row>
    <row r="758" spans="2:33" x14ac:dyDescent="0.15">
      <c r="B758" s="5">
        <v>31</v>
      </c>
      <c r="C758" s="5">
        <v>1</v>
      </c>
      <c r="D758" s="4">
        <f t="shared" si="230"/>
        <v>0</v>
      </c>
      <c r="E758" s="4">
        <f t="shared" si="231"/>
        <v>0</v>
      </c>
      <c r="F758" s="4">
        <f>'入力シート（2事業場以降）'!AR1012</f>
        <v>0</v>
      </c>
      <c r="G758" s="126">
        <f>'入力シート（2事業場以降）'!J1012</f>
        <v>0</v>
      </c>
      <c r="H758" s="126">
        <f>'入力シート（2事業場以降）'!L1012</f>
        <v>0</v>
      </c>
      <c r="I758" s="126">
        <f>'入力シート（2事業場以降）'!N1012</f>
        <v>0</v>
      </c>
      <c r="J758" s="32">
        <f t="shared" si="220"/>
        <v>0</v>
      </c>
      <c r="K758" s="32">
        <f t="shared" si="221"/>
        <v>0</v>
      </c>
      <c r="L758" s="32">
        <f t="shared" si="227"/>
        <v>0</v>
      </c>
      <c r="M758" s="287">
        <f t="shared" si="232"/>
        <v>0</v>
      </c>
      <c r="W758" s="117" t="str">
        <f t="shared" ca="1" si="228"/>
        <v>OK</v>
      </c>
      <c r="X758" t="str">
        <f t="shared" ca="1" si="233"/>
        <v>OK</v>
      </c>
      <c r="Y758">
        <f t="shared" si="229"/>
        <v>0</v>
      </c>
      <c r="Z758">
        <f t="shared" si="234"/>
        <v>0</v>
      </c>
      <c r="AA758" t="s">
        <v>461</v>
      </c>
      <c r="AB758" t="s">
        <v>462</v>
      </c>
      <c r="AC758" t="s">
        <v>463</v>
      </c>
      <c r="AD758" t="s">
        <v>464</v>
      </c>
      <c r="AE758" t="s">
        <v>465</v>
      </c>
      <c r="AF758" t="s">
        <v>467</v>
      </c>
      <c r="AG758" t="s">
        <v>466</v>
      </c>
    </row>
    <row r="759" spans="2:33" x14ac:dyDescent="0.15">
      <c r="B759" s="5">
        <v>31</v>
      </c>
      <c r="C759" s="5">
        <v>2</v>
      </c>
      <c r="D759" s="4">
        <f t="shared" si="230"/>
        <v>0</v>
      </c>
      <c r="E759" s="4">
        <f t="shared" si="231"/>
        <v>0</v>
      </c>
      <c r="F759" s="4">
        <f>'入力シート（2事業場以降）'!AR1014</f>
        <v>0</v>
      </c>
      <c r="G759" s="126">
        <f>'入力シート（2事業場以降）'!J1014</f>
        <v>0</v>
      </c>
      <c r="H759" s="126">
        <f>'入力シート（2事業場以降）'!L1014</f>
        <v>0</v>
      </c>
      <c r="I759" s="126">
        <f>'入力シート（2事業場以降）'!N1014</f>
        <v>0</v>
      </c>
      <c r="J759" s="32">
        <f t="shared" si="220"/>
        <v>0</v>
      </c>
      <c r="K759" s="32">
        <f t="shared" si="221"/>
        <v>0</v>
      </c>
      <c r="L759" s="32">
        <f t="shared" si="227"/>
        <v>0</v>
      </c>
      <c r="M759" s="287">
        <f t="shared" si="232"/>
        <v>0</v>
      </c>
      <c r="W759" s="117" t="str">
        <f t="shared" ca="1" si="228"/>
        <v>OK</v>
      </c>
      <c r="X759" t="str">
        <f t="shared" ca="1" si="233"/>
        <v>OK</v>
      </c>
      <c r="Y759">
        <f t="shared" si="229"/>
        <v>0</v>
      </c>
      <c r="Z759">
        <f t="shared" si="234"/>
        <v>0</v>
      </c>
      <c r="AA759" s="36"/>
      <c r="AB759" t="s">
        <v>462</v>
      </c>
      <c r="AC759" t="s">
        <v>463</v>
      </c>
      <c r="AD759" t="s">
        <v>464</v>
      </c>
      <c r="AE759" t="s">
        <v>465</v>
      </c>
      <c r="AF759" t="s">
        <v>467</v>
      </c>
      <c r="AG759" t="s">
        <v>466</v>
      </c>
    </row>
    <row r="760" spans="2:33" x14ac:dyDescent="0.15">
      <c r="B760" s="5">
        <v>31</v>
      </c>
      <c r="C760" s="5">
        <v>3</v>
      </c>
      <c r="D760" s="4">
        <f t="shared" si="230"/>
        <v>0</v>
      </c>
      <c r="E760" s="4">
        <f t="shared" si="231"/>
        <v>0</v>
      </c>
      <c r="F760" s="4">
        <f>'入力シート（2事業場以降）'!AR1016</f>
        <v>0</v>
      </c>
      <c r="G760" s="126">
        <f>'入力シート（2事業場以降）'!J1016</f>
        <v>0</v>
      </c>
      <c r="H760" s="126">
        <f>'入力シート（2事業場以降）'!L1016</f>
        <v>0</v>
      </c>
      <c r="I760" s="126">
        <f>'入力シート（2事業場以降）'!N1016</f>
        <v>0</v>
      </c>
      <c r="J760" s="32">
        <f t="shared" si="220"/>
        <v>0</v>
      </c>
      <c r="K760" s="32">
        <f t="shared" si="221"/>
        <v>0</v>
      </c>
      <c r="L760" s="32">
        <f t="shared" si="227"/>
        <v>0</v>
      </c>
      <c r="M760" s="287">
        <f t="shared" si="232"/>
        <v>0</v>
      </c>
      <c r="W760" s="117" t="str">
        <f t="shared" ca="1" si="228"/>
        <v>OK</v>
      </c>
      <c r="X760" t="str">
        <f t="shared" ca="1" si="233"/>
        <v>OK</v>
      </c>
      <c r="Y760">
        <f t="shared" si="229"/>
        <v>0</v>
      </c>
      <c r="Z760">
        <f t="shared" si="234"/>
        <v>0</v>
      </c>
      <c r="AA760" s="36"/>
      <c r="AB760" t="s">
        <v>462</v>
      </c>
      <c r="AC760" t="s">
        <v>463</v>
      </c>
      <c r="AD760" t="s">
        <v>464</v>
      </c>
      <c r="AE760" t="s">
        <v>465</v>
      </c>
      <c r="AF760" t="s">
        <v>467</v>
      </c>
      <c r="AG760" t="s">
        <v>466</v>
      </c>
    </row>
    <row r="761" spans="2:33" x14ac:dyDescent="0.15">
      <c r="B761" s="5">
        <v>32</v>
      </c>
      <c r="C761" s="5">
        <v>1</v>
      </c>
      <c r="D761" s="4">
        <f t="shared" si="230"/>
        <v>0</v>
      </c>
      <c r="E761" s="4">
        <f t="shared" si="231"/>
        <v>0</v>
      </c>
      <c r="F761" s="4">
        <f>'入力シート（2事業場以降）'!AR1019</f>
        <v>0</v>
      </c>
      <c r="G761" s="126">
        <f>'入力シート（2事業場以降）'!J1019</f>
        <v>0</v>
      </c>
      <c r="H761" s="126">
        <f>'入力シート（2事業場以降）'!L1019</f>
        <v>0</v>
      </c>
      <c r="I761" s="126">
        <f>'入力シート（2事業場以降）'!N1019</f>
        <v>0</v>
      </c>
      <c r="J761" s="32">
        <f t="shared" si="220"/>
        <v>0</v>
      </c>
      <c r="K761" s="32">
        <f t="shared" si="221"/>
        <v>0</v>
      </c>
      <c r="L761" s="32">
        <f t="shared" si="227"/>
        <v>0</v>
      </c>
      <c r="M761" s="287">
        <f t="shared" si="232"/>
        <v>0</v>
      </c>
      <c r="W761" s="117" t="str">
        <f t="shared" ca="1" si="228"/>
        <v>OK</v>
      </c>
      <c r="X761" t="str">
        <f t="shared" ca="1" si="233"/>
        <v>OK</v>
      </c>
      <c r="Y761">
        <f t="shared" si="229"/>
        <v>0</v>
      </c>
      <c r="Z761">
        <f t="shared" si="234"/>
        <v>0</v>
      </c>
      <c r="AA761" t="s">
        <v>461</v>
      </c>
      <c r="AB761" t="s">
        <v>462</v>
      </c>
      <c r="AC761" t="s">
        <v>463</v>
      </c>
      <c r="AD761" t="s">
        <v>464</v>
      </c>
      <c r="AE761" t="s">
        <v>465</v>
      </c>
      <c r="AF761" t="s">
        <v>467</v>
      </c>
      <c r="AG761" t="s">
        <v>466</v>
      </c>
    </row>
    <row r="762" spans="2:33" x14ac:dyDescent="0.15">
      <c r="B762" s="5">
        <v>32</v>
      </c>
      <c r="C762" s="5">
        <v>2</v>
      </c>
      <c r="D762" s="4">
        <f t="shared" si="230"/>
        <v>0</v>
      </c>
      <c r="E762" s="4">
        <f t="shared" si="231"/>
        <v>0</v>
      </c>
      <c r="F762" s="4">
        <f>'入力シート（2事業場以降）'!AR1021</f>
        <v>0</v>
      </c>
      <c r="G762" s="126">
        <f>'入力シート（2事業場以降）'!J1021</f>
        <v>0</v>
      </c>
      <c r="H762" s="126">
        <f>'入力シート（2事業場以降）'!L1021</f>
        <v>0</v>
      </c>
      <c r="I762" s="126">
        <f>'入力シート（2事業場以降）'!N1021</f>
        <v>0</v>
      </c>
      <c r="J762" s="32">
        <f t="shared" ref="J762:J817" si="235">IF(E762=1,IF(F762=2,K762+L762,G762),0)</f>
        <v>0</v>
      </c>
      <c r="K762" s="32">
        <f t="shared" ref="K762:K817" si="236">IF(E762=1,H762,0)</f>
        <v>0</v>
      </c>
      <c r="L762" s="32">
        <f t="shared" si="227"/>
        <v>0</v>
      </c>
      <c r="M762" s="287">
        <f t="shared" si="232"/>
        <v>0</v>
      </c>
      <c r="W762" s="117" t="str">
        <f t="shared" ca="1" si="228"/>
        <v>OK</v>
      </c>
      <c r="X762" t="str">
        <f t="shared" ca="1" si="233"/>
        <v>OK</v>
      </c>
      <c r="Y762">
        <f t="shared" si="229"/>
        <v>0</v>
      </c>
      <c r="Z762">
        <f t="shared" si="234"/>
        <v>0</v>
      </c>
      <c r="AA762" s="36"/>
      <c r="AB762" t="s">
        <v>462</v>
      </c>
      <c r="AC762" t="s">
        <v>463</v>
      </c>
      <c r="AD762" t="s">
        <v>464</v>
      </c>
      <c r="AE762" t="s">
        <v>465</v>
      </c>
      <c r="AF762" t="s">
        <v>467</v>
      </c>
      <c r="AG762" t="s">
        <v>466</v>
      </c>
    </row>
    <row r="763" spans="2:33" x14ac:dyDescent="0.15">
      <c r="B763" s="5">
        <v>32</v>
      </c>
      <c r="C763" s="5">
        <v>3</v>
      </c>
      <c r="D763" s="4">
        <f t="shared" si="230"/>
        <v>0</v>
      </c>
      <c r="E763" s="4">
        <f t="shared" si="231"/>
        <v>0</v>
      </c>
      <c r="F763" s="4">
        <f>'入力シート（2事業場以降）'!AR1023</f>
        <v>0</v>
      </c>
      <c r="G763" s="126">
        <f>'入力シート（2事業場以降）'!J1023</f>
        <v>0</v>
      </c>
      <c r="H763" s="126">
        <f>'入力シート（2事業場以降）'!L1023</f>
        <v>0</v>
      </c>
      <c r="I763" s="126">
        <f>'入力シート（2事業場以降）'!N1023</f>
        <v>0</v>
      </c>
      <c r="J763" s="32">
        <f t="shared" si="235"/>
        <v>0</v>
      </c>
      <c r="K763" s="32">
        <f t="shared" si="236"/>
        <v>0</v>
      </c>
      <c r="L763" s="32">
        <f t="shared" si="227"/>
        <v>0</v>
      </c>
      <c r="M763" s="287">
        <f t="shared" si="232"/>
        <v>0</v>
      </c>
      <c r="W763" s="117" t="str">
        <f t="shared" ca="1" si="228"/>
        <v>OK</v>
      </c>
      <c r="X763" t="str">
        <f t="shared" ca="1" si="233"/>
        <v>OK</v>
      </c>
      <c r="Y763">
        <f t="shared" si="229"/>
        <v>0</v>
      </c>
      <c r="Z763">
        <f t="shared" si="234"/>
        <v>0</v>
      </c>
      <c r="AA763" s="36"/>
      <c r="AB763" t="s">
        <v>462</v>
      </c>
      <c r="AC763" t="s">
        <v>463</v>
      </c>
      <c r="AD763" t="s">
        <v>464</v>
      </c>
      <c r="AE763" t="s">
        <v>465</v>
      </c>
      <c r="AF763" t="s">
        <v>467</v>
      </c>
      <c r="AG763" t="s">
        <v>466</v>
      </c>
    </row>
    <row r="764" spans="2:33" x14ac:dyDescent="0.15">
      <c r="B764" s="5">
        <v>33</v>
      </c>
      <c r="C764" s="5">
        <v>1</v>
      </c>
      <c r="D764" s="4">
        <f t="shared" si="230"/>
        <v>0</v>
      </c>
      <c r="E764" s="4">
        <f t="shared" si="231"/>
        <v>0</v>
      </c>
      <c r="F764" s="4">
        <f>'入力シート（2事業場以降）'!AR1026</f>
        <v>0</v>
      </c>
      <c r="G764" s="126">
        <f>'入力シート（2事業場以降）'!J1026</f>
        <v>0</v>
      </c>
      <c r="H764" s="126">
        <f>'入力シート（2事業場以降）'!L1026</f>
        <v>0</v>
      </c>
      <c r="I764" s="126">
        <f>'入力シート（2事業場以降）'!N1026</f>
        <v>0</v>
      </c>
      <c r="J764" s="32">
        <f t="shared" si="235"/>
        <v>0</v>
      </c>
      <c r="K764" s="32">
        <f t="shared" si="236"/>
        <v>0</v>
      </c>
      <c r="L764" s="32">
        <f t="shared" ref="L764:L795" si="237">IF(OR(P610="①",P610="②",E764=0),0,I764)</f>
        <v>0</v>
      </c>
      <c r="M764" s="287">
        <f t="shared" si="232"/>
        <v>0</v>
      </c>
      <c r="W764" s="117" t="str">
        <f t="shared" ref="W764:W795" ca="1" si="238">IF(OR(X764=$V$1,X764=""),$V$1,"NG")</f>
        <v>OK</v>
      </c>
      <c r="X764" t="str">
        <f t="shared" ca="1" si="233"/>
        <v>OK</v>
      </c>
      <c r="Y764">
        <f t="shared" ref="Y764:Y795" si="239">IF(D764=1,IF(OR(E764=0,AND(B764=B763,E763=0)),1,IF(E764=1,IF(F764=0,2,IF(AND(F764=1,J764=0,K764=0),3,IF(AND(F764=1,J764=0),4,IF(K764=0,5,0)))))),0)</f>
        <v>0</v>
      </c>
      <c r="Z764">
        <f t="shared" si="234"/>
        <v>0</v>
      </c>
      <c r="AA764" t="s">
        <v>461</v>
      </c>
      <c r="AB764" t="s">
        <v>462</v>
      </c>
      <c r="AC764" t="s">
        <v>463</v>
      </c>
      <c r="AD764" t="s">
        <v>464</v>
      </c>
      <c r="AE764" t="s">
        <v>465</v>
      </c>
      <c r="AF764" t="s">
        <v>467</v>
      </c>
      <c r="AG764" t="s">
        <v>466</v>
      </c>
    </row>
    <row r="765" spans="2:33" x14ac:dyDescent="0.15">
      <c r="B765" s="5">
        <v>33</v>
      </c>
      <c r="C765" s="5">
        <v>2</v>
      </c>
      <c r="D765" s="4">
        <f t="shared" ref="D765:D796" si="240">IF(B765&lt;=$G$60,1,0)</f>
        <v>0</v>
      </c>
      <c r="E765" s="4">
        <f t="shared" ref="E765:E796" si="241">IF(AND(D765=1,Y611=0,Z611=0),1,0)</f>
        <v>0</v>
      </c>
      <c r="F765" s="4">
        <f>'入力シート（2事業場以降）'!AR1028</f>
        <v>0</v>
      </c>
      <c r="G765" s="126">
        <f>'入力シート（2事業場以降）'!J1028</f>
        <v>0</v>
      </c>
      <c r="H765" s="126">
        <f>'入力シート（2事業場以降）'!L1028</f>
        <v>0</v>
      </c>
      <c r="I765" s="126">
        <f>'入力シート（2事業場以降）'!N1028</f>
        <v>0</v>
      </c>
      <c r="J765" s="32">
        <f t="shared" si="235"/>
        <v>0</v>
      </c>
      <c r="K765" s="32">
        <f t="shared" si="236"/>
        <v>0</v>
      </c>
      <c r="L765" s="32">
        <f t="shared" si="237"/>
        <v>0</v>
      </c>
      <c r="M765" s="287">
        <f t="shared" si="232"/>
        <v>0</v>
      </c>
      <c r="W765" s="117" t="str">
        <f t="shared" ca="1" si="238"/>
        <v>OK</v>
      </c>
      <c r="X765" t="str">
        <f t="shared" ca="1" si="233"/>
        <v>OK</v>
      </c>
      <c r="Y765">
        <f t="shared" si="239"/>
        <v>0</v>
      </c>
      <c r="Z765">
        <f t="shared" si="234"/>
        <v>0</v>
      </c>
      <c r="AA765" s="36"/>
      <c r="AB765" t="s">
        <v>462</v>
      </c>
      <c r="AC765" t="s">
        <v>463</v>
      </c>
      <c r="AD765" t="s">
        <v>464</v>
      </c>
      <c r="AE765" t="s">
        <v>465</v>
      </c>
      <c r="AF765" t="s">
        <v>467</v>
      </c>
      <c r="AG765" t="s">
        <v>466</v>
      </c>
    </row>
    <row r="766" spans="2:33" x14ac:dyDescent="0.15">
      <c r="B766" s="5">
        <v>33</v>
      </c>
      <c r="C766" s="5">
        <v>3</v>
      </c>
      <c r="D766" s="4">
        <f t="shared" si="240"/>
        <v>0</v>
      </c>
      <c r="E766" s="4">
        <f t="shared" si="241"/>
        <v>0</v>
      </c>
      <c r="F766" s="4">
        <f>'入力シート（2事業場以降）'!AR1030</f>
        <v>0</v>
      </c>
      <c r="G766" s="126">
        <f>'入力シート（2事業場以降）'!J1030</f>
        <v>0</v>
      </c>
      <c r="H766" s="126">
        <f>'入力シート（2事業場以降）'!L1030</f>
        <v>0</v>
      </c>
      <c r="I766" s="126">
        <f>'入力シート（2事業場以降）'!N1030</f>
        <v>0</v>
      </c>
      <c r="J766" s="32">
        <f t="shared" si="235"/>
        <v>0</v>
      </c>
      <c r="K766" s="32">
        <f t="shared" si="236"/>
        <v>0</v>
      </c>
      <c r="L766" s="32">
        <f t="shared" si="237"/>
        <v>0</v>
      </c>
      <c r="M766" s="287">
        <f t="shared" si="232"/>
        <v>0</v>
      </c>
      <c r="W766" s="117" t="str">
        <f t="shared" ca="1" si="238"/>
        <v>OK</v>
      </c>
      <c r="X766" t="str">
        <f t="shared" ca="1" si="233"/>
        <v>OK</v>
      </c>
      <c r="Y766">
        <f t="shared" si="239"/>
        <v>0</v>
      </c>
      <c r="Z766">
        <f t="shared" si="234"/>
        <v>0</v>
      </c>
      <c r="AA766" s="36"/>
      <c r="AB766" t="s">
        <v>462</v>
      </c>
      <c r="AC766" t="s">
        <v>463</v>
      </c>
      <c r="AD766" t="s">
        <v>464</v>
      </c>
      <c r="AE766" t="s">
        <v>465</v>
      </c>
      <c r="AF766" t="s">
        <v>467</v>
      </c>
      <c r="AG766" t="s">
        <v>466</v>
      </c>
    </row>
    <row r="767" spans="2:33" x14ac:dyDescent="0.15">
      <c r="B767" s="5">
        <v>34</v>
      </c>
      <c r="C767" s="5">
        <v>1</v>
      </c>
      <c r="D767" s="4">
        <f t="shared" si="240"/>
        <v>0</v>
      </c>
      <c r="E767" s="4">
        <f t="shared" si="241"/>
        <v>0</v>
      </c>
      <c r="F767" s="4">
        <f>'入力シート（2事業場以降）'!AR1033</f>
        <v>0</v>
      </c>
      <c r="G767" s="126">
        <f>'入力シート（2事業場以降）'!J1033</f>
        <v>0</v>
      </c>
      <c r="H767" s="126">
        <f>'入力シート（2事業場以降）'!L1033</f>
        <v>0</v>
      </c>
      <c r="I767" s="126">
        <f>'入力シート（2事業場以降）'!N1033</f>
        <v>0</v>
      </c>
      <c r="J767" s="32">
        <f t="shared" si="235"/>
        <v>0</v>
      </c>
      <c r="K767" s="32">
        <f t="shared" si="236"/>
        <v>0</v>
      </c>
      <c r="L767" s="32">
        <f t="shared" si="237"/>
        <v>0</v>
      </c>
      <c r="M767" s="287">
        <f t="shared" si="232"/>
        <v>0</v>
      </c>
      <c r="W767" s="117" t="str">
        <f t="shared" ca="1" si="238"/>
        <v>OK</v>
      </c>
      <c r="X767" t="str">
        <f t="shared" ca="1" si="233"/>
        <v>OK</v>
      </c>
      <c r="Y767">
        <f t="shared" si="239"/>
        <v>0</v>
      </c>
      <c r="Z767">
        <f t="shared" si="234"/>
        <v>0</v>
      </c>
      <c r="AA767" t="s">
        <v>461</v>
      </c>
      <c r="AB767" t="s">
        <v>462</v>
      </c>
      <c r="AC767" t="s">
        <v>463</v>
      </c>
      <c r="AD767" t="s">
        <v>464</v>
      </c>
      <c r="AE767" t="s">
        <v>465</v>
      </c>
      <c r="AF767" t="s">
        <v>467</v>
      </c>
      <c r="AG767" t="s">
        <v>466</v>
      </c>
    </row>
    <row r="768" spans="2:33" x14ac:dyDescent="0.15">
      <c r="B768" s="5">
        <v>34</v>
      </c>
      <c r="C768" s="5">
        <v>2</v>
      </c>
      <c r="D768" s="4">
        <f t="shared" si="240"/>
        <v>0</v>
      </c>
      <c r="E768" s="4">
        <f t="shared" si="241"/>
        <v>0</v>
      </c>
      <c r="F768" s="4">
        <f>'入力シート（2事業場以降）'!AR1035</f>
        <v>0</v>
      </c>
      <c r="G768" s="126">
        <f>'入力シート（2事業場以降）'!J1035</f>
        <v>0</v>
      </c>
      <c r="H768" s="126">
        <f>'入力シート（2事業場以降）'!L1035</f>
        <v>0</v>
      </c>
      <c r="I768" s="126">
        <f>'入力シート（2事業場以降）'!N1035</f>
        <v>0</v>
      </c>
      <c r="J768" s="32">
        <f t="shared" si="235"/>
        <v>0</v>
      </c>
      <c r="K768" s="32">
        <f t="shared" si="236"/>
        <v>0</v>
      </c>
      <c r="L768" s="32">
        <f t="shared" si="237"/>
        <v>0</v>
      </c>
      <c r="M768" s="287">
        <f t="shared" si="232"/>
        <v>0</v>
      </c>
      <c r="W768" s="117" t="str">
        <f t="shared" ca="1" si="238"/>
        <v>OK</v>
      </c>
      <c r="X768" t="str">
        <f t="shared" ca="1" si="233"/>
        <v>OK</v>
      </c>
      <c r="Y768">
        <f t="shared" si="239"/>
        <v>0</v>
      </c>
      <c r="Z768">
        <f t="shared" si="234"/>
        <v>0</v>
      </c>
      <c r="AA768" s="36"/>
      <c r="AB768" t="s">
        <v>462</v>
      </c>
      <c r="AC768" t="s">
        <v>463</v>
      </c>
      <c r="AD768" t="s">
        <v>464</v>
      </c>
      <c r="AE768" t="s">
        <v>465</v>
      </c>
      <c r="AF768" t="s">
        <v>467</v>
      </c>
      <c r="AG768" t="s">
        <v>466</v>
      </c>
    </row>
    <row r="769" spans="2:33" x14ac:dyDescent="0.15">
      <c r="B769" s="5">
        <v>34</v>
      </c>
      <c r="C769" s="5">
        <v>3</v>
      </c>
      <c r="D769" s="4">
        <f t="shared" si="240"/>
        <v>0</v>
      </c>
      <c r="E769" s="4">
        <f t="shared" si="241"/>
        <v>0</v>
      </c>
      <c r="F769" s="4">
        <f>'入力シート（2事業場以降）'!AR1037</f>
        <v>0</v>
      </c>
      <c r="G769" s="126">
        <f>'入力シート（2事業場以降）'!J1037</f>
        <v>0</v>
      </c>
      <c r="H769" s="126">
        <f>'入力シート（2事業場以降）'!L1037</f>
        <v>0</v>
      </c>
      <c r="I769" s="126">
        <f>'入力シート（2事業場以降）'!N1037</f>
        <v>0</v>
      </c>
      <c r="J769" s="32">
        <f t="shared" si="235"/>
        <v>0</v>
      </c>
      <c r="K769" s="32">
        <f t="shared" si="236"/>
        <v>0</v>
      </c>
      <c r="L769" s="32">
        <f t="shared" si="237"/>
        <v>0</v>
      </c>
      <c r="M769" s="287">
        <f t="shared" si="232"/>
        <v>0</v>
      </c>
      <c r="W769" s="117" t="str">
        <f t="shared" ca="1" si="238"/>
        <v>OK</v>
      </c>
      <c r="X769" t="str">
        <f t="shared" ca="1" si="233"/>
        <v>OK</v>
      </c>
      <c r="Y769">
        <f t="shared" si="239"/>
        <v>0</v>
      </c>
      <c r="Z769">
        <f t="shared" si="234"/>
        <v>0</v>
      </c>
      <c r="AA769" s="36"/>
      <c r="AB769" t="s">
        <v>462</v>
      </c>
      <c r="AC769" t="s">
        <v>463</v>
      </c>
      <c r="AD769" t="s">
        <v>464</v>
      </c>
      <c r="AE769" t="s">
        <v>465</v>
      </c>
      <c r="AF769" t="s">
        <v>467</v>
      </c>
      <c r="AG769" t="s">
        <v>466</v>
      </c>
    </row>
    <row r="770" spans="2:33" x14ac:dyDescent="0.15">
      <c r="B770" s="5">
        <v>35</v>
      </c>
      <c r="C770" s="5">
        <v>1</v>
      </c>
      <c r="D770" s="4">
        <f t="shared" si="240"/>
        <v>0</v>
      </c>
      <c r="E770" s="4">
        <f t="shared" si="241"/>
        <v>0</v>
      </c>
      <c r="F770" s="4">
        <f>'入力シート（2事業場以降）'!AR1040</f>
        <v>0</v>
      </c>
      <c r="G770" s="126">
        <f>'入力シート（2事業場以降）'!J1040</f>
        <v>0</v>
      </c>
      <c r="H770" s="126">
        <f>'入力シート（2事業場以降）'!L1040</f>
        <v>0</v>
      </c>
      <c r="I770" s="126">
        <f>'入力シート（2事業場以降）'!N1040</f>
        <v>0</v>
      </c>
      <c r="J770" s="32">
        <f t="shared" si="235"/>
        <v>0</v>
      </c>
      <c r="K770" s="32">
        <f t="shared" si="236"/>
        <v>0</v>
      </c>
      <c r="L770" s="32">
        <f t="shared" si="237"/>
        <v>0</v>
      </c>
      <c r="M770" s="287">
        <f t="shared" si="232"/>
        <v>0</v>
      </c>
      <c r="W770" s="117" t="str">
        <f t="shared" ca="1" si="238"/>
        <v>OK</v>
      </c>
      <c r="X770" t="str">
        <f t="shared" ca="1" si="233"/>
        <v>OK</v>
      </c>
      <c r="Y770">
        <f t="shared" si="239"/>
        <v>0</v>
      </c>
      <c r="Z770">
        <f t="shared" si="234"/>
        <v>0</v>
      </c>
      <c r="AA770" t="s">
        <v>461</v>
      </c>
      <c r="AB770" t="s">
        <v>462</v>
      </c>
      <c r="AC770" t="s">
        <v>463</v>
      </c>
      <c r="AD770" t="s">
        <v>464</v>
      </c>
      <c r="AE770" t="s">
        <v>465</v>
      </c>
      <c r="AF770" t="s">
        <v>467</v>
      </c>
      <c r="AG770" t="s">
        <v>466</v>
      </c>
    </row>
    <row r="771" spans="2:33" x14ac:dyDescent="0.15">
      <c r="B771" s="5">
        <v>35</v>
      </c>
      <c r="C771" s="5">
        <v>2</v>
      </c>
      <c r="D771" s="4">
        <f t="shared" si="240"/>
        <v>0</v>
      </c>
      <c r="E771" s="4">
        <f t="shared" si="241"/>
        <v>0</v>
      </c>
      <c r="F771" s="4">
        <f>'入力シート（2事業場以降）'!AR1042</f>
        <v>0</v>
      </c>
      <c r="G771" s="126">
        <f>'入力シート（2事業場以降）'!J1042</f>
        <v>0</v>
      </c>
      <c r="H771" s="126">
        <f>'入力シート（2事業場以降）'!L1042</f>
        <v>0</v>
      </c>
      <c r="I771" s="126">
        <f>'入力シート（2事業場以降）'!N1042</f>
        <v>0</v>
      </c>
      <c r="J771" s="32">
        <f t="shared" si="235"/>
        <v>0</v>
      </c>
      <c r="K771" s="32">
        <f t="shared" si="236"/>
        <v>0</v>
      </c>
      <c r="L771" s="32">
        <f t="shared" si="237"/>
        <v>0</v>
      </c>
      <c r="M771" s="287">
        <f t="shared" si="232"/>
        <v>0</v>
      </c>
      <c r="W771" s="117" t="str">
        <f t="shared" ca="1" si="238"/>
        <v>OK</v>
      </c>
      <c r="X771" t="str">
        <f t="shared" ca="1" si="233"/>
        <v>OK</v>
      </c>
      <c r="Y771">
        <f t="shared" si="239"/>
        <v>0</v>
      </c>
      <c r="Z771">
        <f t="shared" si="234"/>
        <v>0</v>
      </c>
      <c r="AA771" s="36"/>
      <c r="AB771" t="s">
        <v>462</v>
      </c>
      <c r="AC771" t="s">
        <v>463</v>
      </c>
      <c r="AD771" t="s">
        <v>464</v>
      </c>
      <c r="AE771" t="s">
        <v>465</v>
      </c>
      <c r="AF771" t="s">
        <v>467</v>
      </c>
      <c r="AG771" t="s">
        <v>466</v>
      </c>
    </row>
    <row r="772" spans="2:33" x14ac:dyDescent="0.15">
      <c r="B772" s="5">
        <v>35</v>
      </c>
      <c r="C772" s="5">
        <v>3</v>
      </c>
      <c r="D772" s="4">
        <f t="shared" si="240"/>
        <v>0</v>
      </c>
      <c r="E772" s="4">
        <f t="shared" si="241"/>
        <v>0</v>
      </c>
      <c r="F772" s="4">
        <f>'入力シート（2事業場以降）'!AR1044</f>
        <v>0</v>
      </c>
      <c r="G772" s="126">
        <f>'入力シート（2事業場以降）'!J1044</f>
        <v>0</v>
      </c>
      <c r="H772" s="126">
        <f>'入力シート（2事業場以降）'!L1044</f>
        <v>0</v>
      </c>
      <c r="I772" s="126">
        <f>'入力シート（2事業場以降）'!N1044</f>
        <v>0</v>
      </c>
      <c r="J772" s="32">
        <f t="shared" si="235"/>
        <v>0</v>
      </c>
      <c r="K772" s="32">
        <f t="shared" si="236"/>
        <v>0</v>
      </c>
      <c r="L772" s="32">
        <f t="shared" si="237"/>
        <v>0</v>
      </c>
      <c r="M772" s="287">
        <f t="shared" si="232"/>
        <v>0</v>
      </c>
      <c r="W772" s="117" t="str">
        <f t="shared" ca="1" si="238"/>
        <v>OK</v>
      </c>
      <c r="X772" t="str">
        <f t="shared" ca="1" si="233"/>
        <v>OK</v>
      </c>
      <c r="Y772">
        <f t="shared" si="239"/>
        <v>0</v>
      </c>
      <c r="Z772">
        <f t="shared" si="234"/>
        <v>0</v>
      </c>
      <c r="AA772" s="36"/>
      <c r="AB772" t="s">
        <v>462</v>
      </c>
      <c r="AC772" t="s">
        <v>463</v>
      </c>
      <c r="AD772" t="s">
        <v>464</v>
      </c>
      <c r="AE772" t="s">
        <v>465</v>
      </c>
      <c r="AF772" t="s">
        <v>467</v>
      </c>
      <c r="AG772" t="s">
        <v>466</v>
      </c>
    </row>
    <row r="773" spans="2:33" x14ac:dyDescent="0.15">
      <c r="B773" s="5">
        <v>36</v>
      </c>
      <c r="C773" s="5">
        <v>1</v>
      </c>
      <c r="D773" s="4">
        <f t="shared" si="240"/>
        <v>0</v>
      </c>
      <c r="E773" s="4">
        <f t="shared" si="241"/>
        <v>0</v>
      </c>
      <c r="F773" s="4">
        <f>'入力シート（2事業場以降）'!AR1047</f>
        <v>0</v>
      </c>
      <c r="G773" s="126">
        <f>'入力シート（2事業場以降）'!J1047</f>
        <v>0</v>
      </c>
      <c r="H773" s="126">
        <f>'入力シート（2事業場以降）'!L1047</f>
        <v>0</v>
      </c>
      <c r="I773" s="126">
        <f>'入力シート（2事業場以降）'!N1047</f>
        <v>0</v>
      </c>
      <c r="J773" s="32">
        <f t="shared" si="235"/>
        <v>0</v>
      </c>
      <c r="K773" s="32">
        <f t="shared" si="236"/>
        <v>0</v>
      </c>
      <c r="L773" s="32">
        <f t="shared" si="237"/>
        <v>0</v>
      </c>
      <c r="M773" s="287">
        <f t="shared" si="232"/>
        <v>0</v>
      </c>
      <c r="W773" s="117" t="str">
        <f t="shared" ca="1" si="238"/>
        <v>OK</v>
      </c>
      <c r="X773" t="str">
        <f t="shared" ca="1" si="233"/>
        <v>OK</v>
      </c>
      <c r="Y773">
        <f t="shared" si="239"/>
        <v>0</v>
      </c>
      <c r="Z773">
        <f t="shared" si="234"/>
        <v>0</v>
      </c>
      <c r="AA773" t="s">
        <v>461</v>
      </c>
      <c r="AB773" t="s">
        <v>462</v>
      </c>
      <c r="AC773" t="s">
        <v>463</v>
      </c>
      <c r="AD773" t="s">
        <v>464</v>
      </c>
      <c r="AE773" t="s">
        <v>465</v>
      </c>
      <c r="AF773" t="s">
        <v>467</v>
      </c>
      <c r="AG773" t="s">
        <v>466</v>
      </c>
    </row>
    <row r="774" spans="2:33" x14ac:dyDescent="0.15">
      <c r="B774" s="5">
        <v>36</v>
      </c>
      <c r="C774" s="5">
        <v>2</v>
      </c>
      <c r="D774" s="4">
        <f t="shared" si="240"/>
        <v>0</v>
      </c>
      <c r="E774" s="4">
        <f t="shared" si="241"/>
        <v>0</v>
      </c>
      <c r="F774" s="4">
        <f>'入力シート（2事業場以降）'!AR1049</f>
        <v>0</v>
      </c>
      <c r="G774" s="126">
        <f>'入力シート（2事業場以降）'!J1049</f>
        <v>0</v>
      </c>
      <c r="H774" s="126">
        <f>'入力シート（2事業場以降）'!L1049</f>
        <v>0</v>
      </c>
      <c r="I774" s="126">
        <f>'入力シート（2事業場以降）'!N1049</f>
        <v>0</v>
      </c>
      <c r="J774" s="32">
        <f t="shared" si="235"/>
        <v>0</v>
      </c>
      <c r="K774" s="32">
        <f t="shared" si="236"/>
        <v>0</v>
      </c>
      <c r="L774" s="32">
        <f t="shared" si="237"/>
        <v>0</v>
      </c>
      <c r="M774" s="287">
        <f t="shared" si="232"/>
        <v>0</v>
      </c>
      <c r="W774" s="117" t="str">
        <f t="shared" ca="1" si="238"/>
        <v>OK</v>
      </c>
      <c r="X774" t="str">
        <f t="shared" ca="1" si="233"/>
        <v>OK</v>
      </c>
      <c r="Y774">
        <f t="shared" si="239"/>
        <v>0</v>
      </c>
      <c r="Z774">
        <f t="shared" si="234"/>
        <v>0</v>
      </c>
      <c r="AA774" s="36"/>
      <c r="AB774" t="s">
        <v>462</v>
      </c>
      <c r="AC774" t="s">
        <v>463</v>
      </c>
      <c r="AD774" t="s">
        <v>464</v>
      </c>
      <c r="AE774" t="s">
        <v>465</v>
      </c>
      <c r="AF774" t="s">
        <v>467</v>
      </c>
      <c r="AG774" t="s">
        <v>466</v>
      </c>
    </row>
    <row r="775" spans="2:33" x14ac:dyDescent="0.15">
      <c r="B775" s="5">
        <v>36</v>
      </c>
      <c r="C775" s="5">
        <v>3</v>
      </c>
      <c r="D775" s="4">
        <f t="shared" si="240"/>
        <v>0</v>
      </c>
      <c r="E775" s="4">
        <f t="shared" si="241"/>
        <v>0</v>
      </c>
      <c r="F775" s="4">
        <f>'入力シート（2事業場以降）'!AR1051</f>
        <v>0</v>
      </c>
      <c r="G775" s="126">
        <f>'入力シート（2事業場以降）'!J1051</f>
        <v>0</v>
      </c>
      <c r="H775" s="126">
        <f>'入力シート（2事業場以降）'!L1051</f>
        <v>0</v>
      </c>
      <c r="I775" s="126">
        <f>'入力シート（2事業場以降）'!N1051</f>
        <v>0</v>
      </c>
      <c r="J775" s="32">
        <f t="shared" si="235"/>
        <v>0</v>
      </c>
      <c r="K775" s="32">
        <f t="shared" si="236"/>
        <v>0</v>
      </c>
      <c r="L775" s="32">
        <f t="shared" si="237"/>
        <v>0</v>
      </c>
      <c r="M775" s="287">
        <f t="shared" si="232"/>
        <v>0</v>
      </c>
      <c r="W775" s="117" t="str">
        <f t="shared" ca="1" si="238"/>
        <v>OK</v>
      </c>
      <c r="X775" t="str">
        <f t="shared" ca="1" si="233"/>
        <v>OK</v>
      </c>
      <c r="Y775">
        <f t="shared" si="239"/>
        <v>0</v>
      </c>
      <c r="Z775">
        <f t="shared" si="234"/>
        <v>0</v>
      </c>
      <c r="AA775" s="36"/>
      <c r="AB775" t="s">
        <v>462</v>
      </c>
      <c r="AC775" t="s">
        <v>463</v>
      </c>
      <c r="AD775" t="s">
        <v>464</v>
      </c>
      <c r="AE775" t="s">
        <v>465</v>
      </c>
      <c r="AF775" t="s">
        <v>467</v>
      </c>
      <c r="AG775" t="s">
        <v>466</v>
      </c>
    </row>
    <row r="776" spans="2:33" x14ac:dyDescent="0.15">
      <c r="B776" s="5">
        <v>37</v>
      </c>
      <c r="C776" s="5">
        <v>1</v>
      </c>
      <c r="D776" s="4">
        <f t="shared" si="240"/>
        <v>0</v>
      </c>
      <c r="E776" s="4">
        <f t="shared" si="241"/>
        <v>0</v>
      </c>
      <c r="F776" s="4">
        <f>'入力シート（2事業場以降）'!AR1054</f>
        <v>0</v>
      </c>
      <c r="G776" s="126">
        <f>'入力シート（2事業場以降）'!J1054</f>
        <v>0</v>
      </c>
      <c r="H776" s="126">
        <f>'入力シート（2事業場以降）'!L1054</f>
        <v>0</v>
      </c>
      <c r="I776" s="126">
        <f>'入力シート（2事業場以降）'!N1054</f>
        <v>0</v>
      </c>
      <c r="J776" s="32">
        <f t="shared" si="235"/>
        <v>0</v>
      </c>
      <c r="K776" s="32">
        <f t="shared" si="236"/>
        <v>0</v>
      </c>
      <c r="L776" s="32">
        <f t="shared" si="237"/>
        <v>0</v>
      </c>
      <c r="M776" s="287">
        <f t="shared" si="232"/>
        <v>0</v>
      </c>
      <c r="W776" s="117" t="str">
        <f t="shared" ca="1" si="238"/>
        <v>OK</v>
      </c>
      <c r="X776" t="str">
        <f t="shared" ca="1" si="233"/>
        <v>OK</v>
      </c>
      <c r="Y776">
        <f t="shared" si="239"/>
        <v>0</v>
      </c>
      <c r="Z776">
        <f t="shared" si="234"/>
        <v>0</v>
      </c>
      <c r="AA776" t="s">
        <v>461</v>
      </c>
      <c r="AB776" t="s">
        <v>462</v>
      </c>
      <c r="AC776" t="s">
        <v>463</v>
      </c>
      <c r="AD776" t="s">
        <v>464</v>
      </c>
      <c r="AE776" t="s">
        <v>465</v>
      </c>
      <c r="AF776" t="s">
        <v>467</v>
      </c>
      <c r="AG776" t="s">
        <v>466</v>
      </c>
    </row>
    <row r="777" spans="2:33" x14ac:dyDescent="0.15">
      <c r="B777" s="5">
        <v>37</v>
      </c>
      <c r="C777" s="5">
        <v>2</v>
      </c>
      <c r="D777" s="4">
        <f t="shared" si="240"/>
        <v>0</v>
      </c>
      <c r="E777" s="4">
        <f t="shared" si="241"/>
        <v>0</v>
      </c>
      <c r="F777" s="4">
        <f>'入力シート（2事業場以降）'!AR1056</f>
        <v>0</v>
      </c>
      <c r="G777" s="126">
        <f>'入力シート（2事業場以降）'!J1056</f>
        <v>0</v>
      </c>
      <c r="H777" s="126">
        <f>'入力シート（2事業場以降）'!L1056</f>
        <v>0</v>
      </c>
      <c r="I777" s="126">
        <f>'入力シート（2事業場以降）'!N1056</f>
        <v>0</v>
      </c>
      <c r="J777" s="32">
        <f t="shared" si="235"/>
        <v>0</v>
      </c>
      <c r="K777" s="32">
        <f t="shared" si="236"/>
        <v>0</v>
      </c>
      <c r="L777" s="32">
        <f t="shared" si="237"/>
        <v>0</v>
      </c>
      <c r="M777" s="287">
        <f t="shared" si="232"/>
        <v>0</v>
      </c>
      <c r="W777" s="117" t="str">
        <f t="shared" ca="1" si="238"/>
        <v>OK</v>
      </c>
      <c r="X777" t="str">
        <f t="shared" ca="1" si="233"/>
        <v>OK</v>
      </c>
      <c r="Y777">
        <f t="shared" si="239"/>
        <v>0</v>
      </c>
      <c r="Z777">
        <f t="shared" si="234"/>
        <v>0</v>
      </c>
      <c r="AA777" s="36"/>
      <c r="AB777" t="s">
        <v>462</v>
      </c>
      <c r="AC777" t="s">
        <v>463</v>
      </c>
      <c r="AD777" t="s">
        <v>464</v>
      </c>
      <c r="AE777" t="s">
        <v>465</v>
      </c>
      <c r="AF777" t="s">
        <v>467</v>
      </c>
      <c r="AG777" t="s">
        <v>466</v>
      </c>
    </row>
    <row r="778" spans="2:33" x14ac:dyDescent="0.15">
      <c r="B778" s="5">
        <v>37</v>
      </c>
      <c r="C778" s="5">
        <v>3</v>
      </c>
      <c r="D778" s="4">
        <f t="shared" si="240"/>
        <v>0</v>
      </c>
      <c r="E778" s="4">
        <f t="shared" si="241"/>
        <v>0</v>
      </c>
      <c r="F778" s="4">
        <f>'入力シート（2事業場以降）'!AR1058</f>
        <v>0</v>
      </c>
      <c r="G778" s="126">
        <f>'入力シート（2事業場以降）'!J1058</f>
        <v>0</v>
      </c>
      <c r="H778" s="126">
        <f>'入力シート（2事業場以降）'!L1058</f>
        <v>0</v>
      </c>
      <c r="I778" s="126">
        <f>'入力シート（2事業場以降）'!N1058</f>
        <v>0</v>
      </c>
      <c r="J778" s="32">
        <f t="shared" si="235"/>
        <v>0</v>
      </c>
      <c r="K778" s="32">
        <f t="shared" si="236"/>
        <v>0</v>
      </c>
      <c r="L778" s="32">
        <f t="shared" si="237"/>
        <v>0</v>
      </c>
      <c r="M778" s="287">
        <f t="shared" si="232"/>
        <v>0</v>
      </c>
      <c r="W778" s="117" t="str">
        <f t="shared" ca="1" si="238"/>
        <v>OK</v>
      </c>
      <c r="X778" t="str">
        <f t="shared" ca="1" si="233"/>
        <v>OK</v>
      </c>
      <c r="Y778">
        <f t="shared" si="239"/>
        <v>0</v>
      </c>
      <c r="Z778">
        <f t="shared" si="234"/>
        <v>0</v>
      </c>
      <c r="AA778" s="36"/>
      <c r="AB778" t="s">
        <v>462</v>
      </c>
      <c r="AC778" t="s">
        <v>463</v>
      </c>
      <c r="AD778" t="s">
        <v>464</v>
      </c>
      <c r="AE778" t="s">
        <v>465</v>
      </c>
      <c r="AF778" t="s">
        <v>467</v>
      </c>
      <c r="AG778" t="s">
        <v>466</v>
      </c>
    </row>
    <row r="779" spans="2:33" x14ac:dyDescent="0.15">
      <c r="B779" s="5">
        <v>38</v>
      </c>
      <c r="C779" s="5">
        <v>1</v>
      </c>
      <c r="D779" s="4">
        <f t="shared" si="240"/>
        <v>0</v>
      </c>
      <c r="E779" s="4">
        <f t="shared" si="241"/>
        <v>0</v>
      </c>
      <c r="F779" s="4">
        <f>'入力シート（2事業場以降）'!AR1061</f>
        <v>0</v>
      </c>
      <c r="G779" s="126">
        <f>'入力シート（2事業場以降）'!J1061</f>
        <v>0</v>
      </c>
      <c r="H779" s="126">
        <f>'入力シート（2事業場以降）'!L1061</f>
        <v>0</v>
      </c>
      <c r="I779" s="126">
        <f>'入力シート（2事業場以降）'!N1061</f>
        <v>0</v>
      </c>
      <c r="J779" s="32">
        <f t="shared" si="235"/>
        <v>0</v>
      </c>
      <c r="K779" s="32">
        <f t="shared" si="236"/>
        <v>0</v>
      </c>
      <c r="L779" s="32">
        <f t="shared" si="237"/>
        <v>0</v>
      </c>
      <c r="M779" s="287">
        <f t="shared" si="232"/>
        <v>0</v>
      </c>
      <c r="W779" s="117" t="str">
        <f t="shared" ca="1" si="238"/>
        <v>OK</v>
      </c>
      <c r="X779" t="str">
        <f t="shared" ca="1" si="233"/>
        <v>OK</v>
      </c>
      <c r="Y779">
        <f t="shared" si="239"/>
        <v>0</v>
      </c>
      <c r="Z779">
        <f t="shared" si="234"/>
        <v>0</v>
      </c>
      <c r="AA779" t="s">
        <v>461</v>
      </c>
      <c r="AB779" t="s">
        <v>462</v>
      </c>
      <c r="AC779" t="s">
        <v>463</v>
      </c>
      <c r="AD779" t="s">
        <v>464</v>
      </c>
      <c r="AE779" t="s">
        <v>465</v>
      </c>
      <c r="AF779" t="s">
        <v>467</v>
      </c>
      <c r="AG779" t="s">
        <v>466</v>
      </c>
    </row>
    <row r="780" spans="2:33" x14ac:dyDescent="0.15">
      <c r="B780" s="5">
        <v>38</v>
      </c>
      <c r="C780" s="5">
        <v>2</v>
      </c>
      <c r="D780" s="4">
        <f t="shared" si="240"/>
        <v>0</v>
      </c>
      <c r="E780" s="4">
        <f t="shared" si="241"/>
        <v>0</v>
      </c>
      <c r="F780" s="4">
        <f>'入力シート（2事業場以降）'!AR1063</f>
        <v>0</v>
      </c>
      <c r="G780" s="126">
        <f>'入力シート（2事業場以降）'!J1063</f>
        <v>0</v>
      </c>
      <c r="H780" s="126">
        <f>'入力シート（2事業場以降）'!L1063</f>
        <v>0</v>
      </c>
      <c r="I780" s="126">
        <f>'入力シート（2事業場以降）'!N1063</f>
        <v>0</v>
      </c>
      <c r="J780" s="32">
        <f t="shared" si="235"/>
        <v>0</v>
      </c>
      <c r="K780" s="32">
        <f t="shared" si="236"/>
        <v>0</v>
      </c>
      <c r="L780" s="32">
        <f t="shared" si="237"/>
        <v>0</v>
      </c>
      <c r="M780" s="287">
        <f t="shared" si="232"/>
        <v>0</v>
      </c>
      <c r="W780" s="117" t="str">
        <f t="shared" ca="1" si="238"/>
        <v>OK</v>
      </c>
      <c r="X780" t="str">
        <f t="shared" ca="1" si="233"/>
        <v>OK</v>
      </c>
      <c r="Y780">
        <f t="shared" si="239"/>
        <v>0</v>
      </c>
      <c r="Z780">
        <f t="shared" si="234"/>
        <v>0</v>
      </c>
      <c r="AA780" s="36"/>
      <c r="AB780" t="s">
        <v>462</v>
      </c>
      <c r="AC780" t="s">
        <v>463</v>
      </c>
      <c r="AD780" t="s">
        <v>464</v>
      </c>
      <c r="AE780" t="s">
        <v>465</v>
      </c>
      <c r="AF780" t="s">
        <v>467</v>
      </c>
      <c r="AG780" t="s">
        <v>466</v>
      </c>
    </row>
    <row r="781" spans="2:33" x14ac:dyDescent="0.15">
      <c r="B781" s="5">
        <v>38</v>
      </c>
      <c r="C781" s="5">
        <v>3</v>
      </c>
      <c r="D781" s="4">
        <f t="shared" si="240"/>
        <v>0</v>
      </c>
      <c r="E781" s="4">
        <f t="shared" si="241"/>
        <v>0</v>
      </c>
      <c r="F781" s="4">
        <f>'入力シート（2事業場以降）'!AR1065</f>
        <v>0</v>
      </c>
      <c r="G781" s="126">
        <f>'入力シート（2事業場以降）'!J1065</f>
        <v>0</v>
      </c>
      <c r="H781" s="126">
        <f>'入力シート（2事業場以降）'!L1065</f>
        <v>0</v>
      </c>
      <c r="I781" s="126">
        <f>'入力シート（2事業場以降）'!N1065</f>
        <v>0</v>
      </c>
      <c r="J781" s="32">
        <f t="shared" si="235"/>
        <v>0</v>
      </c>
      <c r="K781" s="32">
        <f t="shared" si="236"/>
        <v>0</v>
      </c>
      <c r="L781" s="32">
        <f t="shared" si="237"/>
        <v>0</v>
      </c>
      <c r="M781" s="287">
        <f t="shared" si="232"/>
        <v>0</v>
      </c>
      <c r="W781" s="117" t="str">
        <f t="shared" ca="1" si="238"/>
        <v>OK</v>
      </c>
      <c r="X781" t="str">
        <f t="shared" ca="1" si="233"/>
        <v>OK</v>
      </c>
      <c r="Y781">
        <f t="shared" si="239"/>
        <v>0</v>
      </c>
      <c r="Z781">
        <f t="shared" si="234"/>
        <v>0</v>
      </c>
      <c r="AA781" s="36"/>
      <c r="AB781" t="s">
        <v>462</v>
      </c>
      <c r="AC781" t="s">
        <v>463</v>
      </c>
      <c r="AD781" t="s">
        <v>464</v>
      </c>
      <c r="AE781" t="s">
        <v>465</v>
      </c>
      <c r="AF781" t="s">
        <v>467</v>
      </c>
      <c r="AG781" t="s">
        <v>466</v>
      </c>
    </row>
    <row r="782" spans="2:33" x14ac:dyDescent="0.15">
      <c r="B782" s="5">
        <v>39</v>
      </c>
      <c r="C782" s="5">
        <v>1</v>
      </c>
      <c r="D782" s="4">
        <f t="shared" si="240"/>
        <v>0</v>
      </c>
      <c r="E782" s="4">
        <f t="shared" si="241"/>
        <v>0</v>
      </c>
      <c r="F782" s="4">
        <f>'入力シート（2事業場以降）'!AR1068</f>
        <v>0</v>
      </c>
      <c r="G782" s="126">
        <f>'入力シート（2事業場以降）'!J1068</f>
        <v>0</v>
      </c>
      <c r="H782" s="126">
        <f>'入力シート（2事業場以降）'!L1068</f>
        <v>0</v>
      </c>
      <c r="I782" s="126">
        <f>'入力シート（2事業場以降）'!N1068</f>
        <v>0</v>
      </c>
      <c r="J782" s="32">
        <f t="shared" si="235"/>
        <v>0</v>
      </c>
      <c r="K782" s="32">
        <f t="shared" si="236"/>
        <v>0</v>
      </c>
      <c r="L782" s="32">
        <f t="shared" si="237"/>
        <v>0</v>
      </c>
      <c r="M782" s="287">
        <f t="shared" si="232"/>
        <v>0</v>
      </c>
      <c r="W782" s="117" t="str">
        <f t="shared" ca="1" si="238"/>
        <v>OK</v>
      </c>
      <c r="X782" t="str">
        <f t="shared" ca="1" si="233"/>
        <v>OK</v>
      </c>
      <c r="Y782">
        <f t="shared" si="239"/>
        <v>0</v>
      </c>
      <c r="Z782">
        <f t="shared" si="234"/>
        <v>0</v>
      </c>
      <c r="AA782" t="s">
        <v>461</v>
      </c>
      <c r="AB782" t="s">
        <v>462</v>
      </c>
      <c r="AC782" t="s">
        <v>463</v>
      </c>
      <c r="AD782" t="s">
        <v>464</v>
      </c>
      <c r="AE782" t="s">
        <v>465</v>
      </c>
      <c r="AF782" t="s">
        <v>467</v>
      </c>
      <c r="AG782" t="s">
        <v>466</v>
      </c>
    </row>
    <row r="783" spans="2:33" x14ac:dyDescent="0.15">
      <c r="B783" s="5">
        <v>39</v>
      </c>
      <c r="C783" s="5">
        <v>2</v>
      </c>
      <c r="D783" s="4">
        <f t="shared" si="240"/>
        <v>0</v>
      </c>
      <c r="E783" s="4">
        <f t="shared" si="241"/>
        <v>0</v>
      </c>
      <c r="F783" s="4">
        <f>'入力シート（2事業場以降）'!AR1070</f>
        <v>0</v>
      </c>
      <c r="G783" s="126">
        <f>'入力シート（2事業場以降）'!J1070</f>
        <v>0</v>
      </c>
      <c r="H783" s="126">
        <f>'入力シート（2事業場以降）'!L1070</f>
        <v>0</v>
      </c>
      <c r="I783" s="126">
        <f>'入力シート（2事業場以降）'!N1070</f>
        <v>0</v>
      </c>
      <c r="J783" s="32">
        <f t="shared" si="235"/>
        <v>0</v>
      </c>
      <c r="K783" s="32">
        <f t="shared" si="236"/>
        <v>0</v>
      </c>
      <c r="L783" s="32">
        <f t="shared" si="237"/>
        <v>0</v>
      </c>
      <c r="M783" s="287">
        <f t="shared" si="232"/>
        <v>0</v>
      </c>
      <c r="W783" s="117" t="str">
        <f t="shared" ca="1" si="238"/>
        <v>OK</v>
      </c>
      <c r="X783" t="str">
        <f t="shared" ca="1" si="233"/>
        <v>OK</v>
      </c>
      <c r="Y783">
        <f t="shared" si="239"/>
        <v>0</v>
      </c>
      <c r="Z783">
        <f t="shared" si="234"/>
        <v>0</v>
      </c>
      <c r="AA783" s="36"/>
      <c r="AB783" t="s">
        <v>462</v>
      </c>
      <c r="AC783" t="s">
        <v>463</v>
      </c>
      <c r="AD783" t="s">
        <v>464</v>
      </c>
      <c r="AE783" t="s">
        <v>465</v>
      </c>
      <c r="AF783" t="s">
        <v>467</v>
      </c>
      <c r="AG783" t="s">
        <v>466</v>
      </c>
    </row>
    <row r="784" spans="2:33" x14ac:dyDescent="0.15">
      <c r="B784" s="5">
        <v>39</v>
      </c>
      <c r="C784" s="5">
        <v>3</v>
      </c>
      <c r="D784" s="4">
        <f t="shared" si="240"/>
        <v>0</v>
      </c>
      <c r="E784" s="4">
        <f t="shared" si="241"/>
        <v>0</v>
      </c>
      <c r="F784" s="4">
        <f>'入力シート（2事業場以降）'!AR1072</f>
        <v>0</v>
      </c>
      <c r="G784" s="126">
        <f>'入力シート（2事業場以降）'!J1072</f>
        <v>0</v>
      </c>
      <c r="H784" s="126">
        <f>'入力シート（2事業場以降）'!L1072</f>
        <v>0</v>
      </c>
      <c r="I784" s="126">
        <f>'入力シート（2事業場以降）'!N1072</f>
        <v>0</v>
      </c>
      <c r="J784" s="32">
        <f t="shared" si="235"/>
        <v>0</v>
      </c>
      <c r="K784" s="32">
        <f t="shared" si="236"/>
        <v>0</v>
      </c>
      <c r="L784" s="32">
        <f t="shared" si="237"/>
        <v>0</v>
      </c>
      <c r="M784" s="287">
        <f t="shared" si="232"/>
        <v>0</v>
      </c>
      <c r="W784" s="117" t="str">
        <f t="shared" ca="1" si="238"/>
        <v>OK</v>
      </c>
      <c r="X784" t="str">
        <f t="shared" ca="1" si="233"/>
        <v>OK</v>
      </c>
      <c r="Y784">
        <f t="shared" si="239"/>
        <v>0</v>
      </c>
      <c r="Z784">
        <f t="shared" si="234"/>
        <v>0</v>
      </c>
      <c r="AA784" s="36"/>
      <c r="AB784" t="s">
        <v>462</v>
      </c>
      <c r="AC784" t="s">
        <v>463</v>
      </c>
      <c r="AD784" t="s">
        <v>464</v>
      </c>
      <c r="AE784" t="s">
        <v>465</v>
      </c>
      <c r="AF784" t="s">
        <v>467</v>
      </c>
      <c r="AG784" t="s">
        <v>466</v>
      </c>
    </row>
    <row r="785" spans="2:33" x14ac:dyDescent="0.15">
      <c r="B785" s="5">
        <v>40</v>
      </c>
      <c r="C785" s="5">
        <v>1</v>
      </c>
      <c r="D785" s="4">
        <f t="shared" si="240"/>
        <v>0</v>
      </c>
      <c r="E785" s="4">
        <f t="shared" si="241"/>
        <v>0</v>
      </c>
      <c r="F785" s="4">
        <f>'入力シート（2事業場以降）'!AR1075</f>
        <v>0</v>
      </c>
      <c r="G785" s="126">
        <f>'入力シート（2事業場以降）'!J1075</f>
        <v>0</v>
      </c>
      <c r="H785" s="126">
        <f>'入力シート（2事業場以降）'!L1075</f>
        <v>0</v>
      </c>
      <c r="I785" s="126">
        <f>'入力シート（2事業場以降）'!N1075</f>
        <v>0</v>
      </c>
      <c r="J785" s="32">
        <f t="shared" si="235"/>
        <v>0</v>
      </c>
      <c r="K785" s="32">
        <f t="shared" si="236"/>
        <v>0</v>
      </c>
      <c r="L785" s="32">
        <f t="shared" si="237"/>
        <v>0</v>
      </c>
      <c r="M785" s="287">
        <f t="shared" si="232"/>
        <v>0</v>
      </c>
      <c r="W785" s="117" t="str">
        <f t="shared" ca="1" si="238"/>
        <v>OK</v>
      </c>
      <c r="X785" t="str">
        <f t="shared" ca="1" si="233"/>
        <v>OK</v>
      </c>
      <c r="Y785">
        <f t="shared" si="239"/>
        <v>0</v>
      </c>
      <c r="Z785">
        <f t="shared" si="234"/>
        <v>0</v>
      </c>
      <c r="AA785" t="s">
        <v>461</v>
      </c>
      <c r="AB785" t="s">
        <v>462</v>
      </c>
      <c r="AC785" t="s">
        <v>463</v>
      </c>
      <c r="AD785" t="s">
        <v>464</v>
      </c>
      <c r="AE785" t="s">
        <v>465</v>
      </c>
      <c r="AF785" t="s">
        <v>467</v>
      </c>
      <c r="AG785" t="s">
        <v>466</v>
      </c>
    </row>
    <row r="786" spans="2:33" x14ac:dyDescent="0.15">
      <c r="B786" s="5">
        <v>40</v>
      </c>
      <c r="C786" s="5">
        <v>2</v>
      </c>
      <c r="D786" s="4">
        <f t="shared" si="240"/>
        <v>0</v>
      </c>
      <c r="E786" s="4">
        <f t="shared" si="241"/>
        <v>0</v>
      </c>
      <c r="F786" s="4">
        <f>'入力シート（2事業場以降）'!AR1077</f>
        <v>0</v>
      </c>
      <c r="G786" s="126">
        <f>'入力シート（2事業場以降）'!J1077</f>
        <v>0</v>
      </c>
      <c r="H786" s="126">
        <f>'入力シート（2事業場以降）'!L1077</f>
        <v>0</v>
      </c>
      <c r="I786" s="126">
        <f>'入力シート（2事業場以降）'!N1077</f>
        <v>0</v>
      </c>
      <c r="J786" s="32">
        <f t="shared" si="235"/>
        <v>0</v>
      </c>
      <c r="K786" s="32">
        <f t="shared" si="236"/>
        <v>0</v>
      </c>
      <c r="L786" s="32">
        <f t="shared" si="237"/>
        <v>0</v>
      </c>
      <c r="M786" s="287">
        <f t="shared" si="232"/>
        <v>0</v>
      </c>
      <c r="W786" s="117" t="str">
        <f t="shared" ca="1" si="238"/>
        <v>OK</v>
      </c>
      <c r="X786" t="str">
        <f t="shared" ca="1" si="233"/>
        <v>OK</v>
      </c>
      <c r="Y786">
        <f t="shared" si="239"/>
        <v>0</v>
      </c>
      <c r="Z786">
        <f t="shared" si="234"/>
        <v>0</v>
      </c>
      <c r="AA786" s="36"/>
      <c r="AB786" t="s">
        <v>462</v>
      </c>
      <c r="AC786" t="s">
        <v>463</v>
      </c>
      <c r="AD786" t="s">
        <v>464</v>
      </c>
      <c r="AE786" t="s">
        <v>465</v>
      </c>
      <c r="AF786" t="s">
        <v>467</v>
      </c>
      <c r="AG786" t="s">
        <v>466</v>
      </c>
    </row>
    <row r="787" spans="2:33" x14ac:dyDescent="0.15">
      <c r="B787" s="5">
        <v>40</v>
      </c>
      <c r="C787" s="5">
        <v>3</v>
      </c>
      <c r="D787" s="4">
        <f t="shared" si="240"/>
        <v>0</v>
      </c>
      <c r="E787" s="4">
        <f t="shared" si="241"/>
        <v>0</v>
      </c>
      <c r="F787" s="4">
        <f>'入力シート（2事業場以降）'!AR1079</f>
        <v>0</v>
      </c>
      <c r="G787" s="126">
        <f>'入力シート（2事業場以降）'!J1079</f>
        <v>0</v>
      </c>
      <c r="H787" s="126">
        <f>'入力シート（2事業場以降）'!L1079</f>
        <v>0</v>
      </c>
      <c r="I787" s="126">
        <f>'入力シート（2事業場以降）'!N1079</f>
        <v>0</v>
      </c>
      <c r="J787" s="32">
        <f t="shared" si="235"/>
        <v>0</v>
      </c>
      <c r="K787" s="32">
        <f t="shared" si="236"/>
        <v>0</v>
      </c>
      <c r="L787" s="32">
        <f t="shared" si="237"/>
        <v>0</v>
      </c>
      <c r="M787" s="287">
        <f t="shared" si="232"/>
        <v>0</v>
      </c>
      <c r="W787" s="117" t="str">
        <f t="shared" ca="1" si="238"/>
        <v>OK</v>
      </c>
      <c r="X787" t="str">
        <f t="shared" ca="1" si="233"/>
        <v>OK</v>
      </c>
      <c r="Y787">
        <f t="shared" si="239"/>
        <v>0</v>
      </c>
      <c r="Z787">
        <f t="shared" si="234"/>
        <v>0</v>
      </c>
      <c r="AA787" s="36"/>
      <c r="AB787" t="s">
        <v>462</v>
      </c>
      <c r="AC787" t="s">
        <v>463</v>
      </c>
      <c r="AD787" t="s">
        <v>464</v>
      </c>
      <c r="AE787" t="s">
        <v>465</v>
      </c>
      <c r="AF787" t="s">
        <v>467</v>
      </c>
      <c r="AG787" t="s">
        <v>466</v>
      </c>
    </row>
    <row r="788" spans="2:33" x14ac:dyDescent="0.15">
      <c r="B788" s="5">
        <v>41</v>
      </c>
      <c r="C788" s="5">
        <v>1</v>
      </c>
      <c r="D788" s="4">
        <f t="shared" si="240"/>
        <v>0</v>
      </c>
      <c r="E788" s="4">
        <f t="shared" si="241"/>
        <v>0</v>
      </c>
      <c r="F788" s="4">
        <f>'入力シート（2事業場以降）'!AR1082</f>
        <v>0</v>
      </c>
      <c r="G788" s="126">
        <f>'入力シート（2事業場以降）'!J1082</f>
        <v>0</v>
      </c>
      <c r="H788" s="126">
        <f>'入力シート（2事業場以降）'!L1082</f>
        <v>0</v>
      </c>
      <c r="I788" s="126">
        <f>'入力シート（2事業場以降）'!N1082</f>
        <v>0</v>
      </c>
      <c r="J788" s="32">
        <f t="shared" si="235"/>
        <v>0</v>
      </c>
      <c r="K788" s="32">
        <f t="shared" si="236"/>
        <v>0</v>
      </c>
      <c r="L788" s="32">
        <f t="shared" si="237"/>
        <v>0</v>
      </c>
      <c r="M788" s="287">
        <f t="shared" si="232"/>
        <v>0</v>
      </c>
      <c r="W788" s="117" t="str">
        <f t="shared" ca="1" si="238"/>
        <v>OK</v>
      </c>
      <c r="X788" t="str">
        <f t="shared" ca="1" si="233"/>
        <v>OK</v>
      </c>
      <c r="Y788">
        <f t="shared" si="239"/>
        <v>0</v>
      </c>
      <c r="Z788">
        <f t="shared" si="234"/>
        <v>0</v>
      </c>
      <c r="AA788" t="s">
        <v>461</v>
      </c>
      <c r="AB788" t="s">
        <v>462</v>
      </c>
      <c r="AC788" t="s">
        <v>463</v>
      </c>
      <c r="AD788" t="s">
        <v>464</v>
      </c>
      <c r="AE788" t="s">
        <v>465</v>
      </c>
      <c r="AF788" t="s">
        <v>467</v>
      </c>
      <c r="AG788" t="s">
        <v>466</v>
      </c>
    </row>
    <row r="789" spans="2:33" x14ac:dyDescent="0.15">
      <c r="B789" s="5">
        <v>41</v>
      </c>
      <c r="C789" s="5">
        <v>2</v>
      </c>
      <c r="D789" s="4">
        <f t="shared" si="240"/>
        <v>0</v>
      </c>
      <c r="E789" s="4">
        <f t="shared" si="241"/>
        <v>0</v>
      </c>
      <c r="F789" s="4">
        <f>'入力シート（2事業場以降）'!AR1084</f>
        <v>0</v>
      </c>
      <c r="G789" s="126">
        <f>'入力シート（2事業場以降）'!J1084</f>
        <v>0</v>
      </c>
      <c r="H789" s="126">
        <f>'入力シート（2事業場以降）'!L1084</f>
        <v>0</v>
      </c>
      <c r="I789" s="126">
        <f>'入力シート（2事業場以降）'!N1084</f>
        <v>0</v>
      </c>
      <c r="J789" s="32">
        <f t="shared" si="235"/>
        <v>0</v>
      </c>
      <c r="K789" s="32">
        <f t="shared" si="236"/>
        <v>0</v>
      </c>
      <c r="L789" s="32">
        <f t="shared" si="237"/>
        <v>0</v>
      </c>
      <c r="M789" s="287">
        <f t="shared" si="232"/>
        <v>0</v>
      </c>
      <c r="W789" s="117" t="str">
        <f t="shared" ca="1" si="238"/>
        <v>OK</v>
      </c>
      <c r="X789" t="str">
        <f t="shared" ca="1" si="233"/>
        <v>OK</v>
      </c>
      <c r="Y789">
        <f t="shared" si="239"/>
        <v>0</v>
      </c>
      <c r="Z789">
        <f t="shared" si="234"/>
        <v>0</v>
      </c>
      <c r="AA789" s="36"/>
      <c r="AB789" t="s">
        <v>462</v>
      </c>
      <c r="AC789" t="s">
        <v>463</v>
      </c>
      <c r="AD789" t="s">
        <v>464</v>
      </c>
      <c r="AE789" t="s">
        <v>465</v>
      </c>
      <c r="AF789" t="s">
        <v>467</v>
      </c>
      <c r="AG789" t="s">
        <v>466</v>
      </c>
    </row>
    <row r="790" spans="2:33" x14ac:dyDescent="0.15">
      <c r="B790" s="5">
        <v>41</v>
      </c>
      <c r="C790" s="5">
        <v>3</v>
      </c>
      <c r="D790" s="4">
        <f t="shared" si="240"/>
        <v>0</v>
      </c>
      <c r="E790" s="4">
        <f t="shared" si="241"/>
        <v>0</v>
      </c>
      <c r="F790" s="4">
        <f>'入力シート（2事業場以降）'!AR1086</f>
        <v>0</v>
      </c>
      <c r="G790" s="126">
        <f>'入力シート（2事業場以降）'!J1086</f>
        <v>0</v>
      </c>
      <c r="H790" s="126">
        <f>'入力シート（2事業場以降）'!L1086</f>
        <v>0</v>
      </c>
      <c r="I790" s="126">
        <f>'入力シート（2事業場以降）'!N1086</f>
        <v>0</v>
      </c>
      <c r="J790" s="32">
        <f t="shared" si="235"/>
        <v>0</v>
      </c>
      <c r="K790" s="32">
        <f t="shared" si="236"/>
        <v>0</v>
      </c>
      <c r="L790" s="32">
        <f t="shared" si="237"/>
        <v>0</v>
      </c>
      <c r="M790" s="287">
        <f t="shared" si="232"/>
        <v>0</v>
      </c>
      <c r="W790" s="117" t="str">
        <f t="shared" ca="1" si="238"/>
        <v>OK</v>
      </c>
      <c r="X790" t="str">
        <f t="shared" ca="1" si="233"/>
        <v>OK</v>
      </c>
      <c r="Y790">
        <f t="shared" si="239"/>
        <v>0</v>
      </c>
      <c r="Z790">
        <f t="shared" si="234"/>
        <v>0</v>
      </c>
      <c r="AA790" s="36"/>
      <c r="AB790" t="s">
        <v>462</v>
      </c>
      <c r="AC790" t="s">
        <v>463</v>
      </c>
      <c r="AD790" t="s">
        <v>464</v>
      </c>
      <c r="AE790" t="s">
        <v>465</v>
      </c>
      <c r="AF790" t="s">
        <v>467</v>
      </c>
      <c r="AG790" t="s">
        <v>466</v>
      </c>
    </row>
    <row r="791" spans="2:33" x14ac:dyDescent="0.15">
      <c r="B791" s="5">
        <v>42</v>
      </c>
      <c r="C791" s="5">
        <v>1</v>
      </c>
      <c r="D791" s="4">
        <f t="shared" si="240"/>
        <v>0</v>
      </c>
      <c r="E791" s="4">
        <f t="shared" si="241"/>
        <v>0</v>
      </c>
      <c r="F791" s="4">
        <f>'入力シート（2事業場以降）'!AR1089</f>
        <v>0</v>
      </c>
      <c r="G791" s="126">
        <f>'入力シート（2事業場以降）'!J1089</f>
        <v>0</v>
      </c>
      <c r="H791" s="126">
        <f>'入力シート（2事業場以降）'!L1089</f>
        <v>0</v>
      </c>
      <c r="I791" s="126">
        <f>'入力シート（2事業場以降）'!N1089</f>
        <v>0</v>
      </c>
      <c r="J791" s="32">
        <f t="shared" si="235"/>
        <v>0</v>
      </c>
      <c r="K791" s="32">
        <f t="shared" si="236"/>
        <v>0</v>
      </c>
      <c r="L791" s="32">
        <f t="shared" si="237"/>
        <v>0</v>
      </c>
      <c r="M791" s="287">
        <f t="shared" si="232"/>
        <v>0</v>
      </c>
      <c r="W791" s="117" t="str">
        <f t="shared" ca="1" si="238"/>
        <v>OK</v>
      </c>
      <c r="X791" t="str">
        <f t="shared" ca="1" si="233"/>
        <v>OK</v>
      </c>
      <c r="Y791">
        <f t="shared" si="239"/>
        <v>0</v>
      </c>
      <c r="Z791">
        <f t="shared" si="234"/>
        <v>0</v>
      </c>
      <c r="AA791" t="s">
        <v>461</v>
      </c>
      <c r="AB791" t="s">
        <v>462</v>
      </c>
      <c r="AC791" t="s">
        <v>463</v>
      </c>
      <c r="AD791" t="s">
        <v>464</v>
      </c>
      <c r="AE791" t="s">
        <v>465</v>
      </c>
      <c r="AF791" t="s">
        <v>467</v>
      </c>
      <c r="AG791" t="s">
        <v>466</v>
      </c>
    </row>
    <row r="792" spans="2:33" x14ac:dyDescent="0.15">
      <c r="B792" s="5">
        <v>42</v>
      </c>
      <c r="C792" s="5">
        <v>2</v>
      </c>
      <c r="D792" s="4">
        <f t="shared" si="240"/>
        <v>0</v>
      </c>
      <c r="E792" s="4">
        <f t="shared" si="241"/>
        <v>0</v>
      </c>
      <c r="F792" s="4">
        <f>'入力シート（2事業場以降）'!AR1091</f>
        <v>0</v>
      </c>
      <c r="G792" s="126">
        <f>'入力シート（2事業場以降）'!J1091</f>
        <v>0</v>
      </c>
      <c r="H792" s="126">
        <f>'入力シート（2事業場以降）'!L1091</f>
        <v>0</v>
      </c>
      <c r="I792" s="126">
        <f>'入力シート（2事業場以降）'!N1091</f>
        <v>0</v>
      </c>
      <c r="J792" s="32">
        <f t="shared" si="235"/>
        <v>0</v>
      </c>
      <c r="K792" s="32">
        <f t="shared" si="236"/>
        <v>0</v>
      </c>
      <c r="L792" s="32">
        <f t="shared" si="237"/>
        <v>0</v>
      </c>
      <c r="M792" s="287">
        <f t="shared" si="232"/>
        <v>0</v>
      </c>
      <c r="W792" s="117" t="str">
        <f t="shared" ca="1" si="238"/>
        <v>OK</v>
      </c>
      <c r="X792" t="str">
        <f t="shared" ca="1" si="233"/>
        <v>OK</v>
      </c>
      <c r="Y792">
        <f t="shared" si="239"/>
        <v>0</v>
      </c>
      <c r="Z792">
        <f t="shared" si="234"/>
        <v>0</v>
      </c>
      <c r="AA792" s="36"/>
      <c r="AB792" t="s">
        <v>462</v>
      </c>
      <c r="AC792" t="s">
        <v>463</v>
      </c>
      <c r="AD792" t="s">
        <v>464</v>
      </c>
      <c r="AE792" t="s">
        <v>465</v>
      </c>
      <c r="AF792" t="s">
        <v>467</v>
      </c>
      <c r="AG792" t="s">
        <v>466</v>
      </c>
    </row>
    <row r="793" spans="2:33" x14ac:dyDescent="0.15">
      <c r="B793" s="5">
        <v>42</v>
      </c>
      <c r="C793" s="5">
        <v>3</v>
      </c>
      <c r="D793" s="4">
        <f t="shared" si="240"/>
        <v>0</v>
      </c>
      <c r="E793" s="4">
        <f t="shared" si="241"/>
        <v>0</v>
      </c>
      <c r="F793" s="4">
        <f>'入力シート（2事業場以降）'!AR1093</f>
        <v>0</v>
      </c>
      <c r="G793" s="126">
        <f>'入力シート（2事業場以降）'!J1093</f>
        <v>0</v>
      </c>
      <c r="H793" s="126">
        <f>'入力シート（2事業場以降）'!L1093</f>
        <v>0</v>
      </c>
      <c r="I793" s="126">
        <f>'入力シート（2事業場以降）'!N1093</f>
        <v>0</v>
      </c>
      <c r="J793" s="32">
        <f t="shared" si="235"/>
        <v>0</v>
      </c>
      <c r="K793" s="32">
        <f t="shared" si="236"/>
        <v>0</v>
      </c>
      <c r="L793" s="32">
        <f t="shared" si="237"/>
        <v>0</v>
      </c>
      <c r="M793" s="287">
        <f t="shared" si="232"/>
        <v>0</v>
      </c>
      <c r="W793" s="117" t="str">
        <f t="shared" ca="1" si="238"/>
        <v>OK</v>
      </c>
      <c r="X793" t="str">
        <f t="shared" ca="1" si="233"/>
        <v>OK</v>
      </c>
      <c r="Y793">
        <f t="shared" si="239"/>
        <v>0</v>
      </c>
      <c r="Z793">
        <f t="shared" si="234"/>
        <v>0</v>
      </c>
      <c r="AA793" s="36"/>
      <c r="AB793" t="s">
        <v>462</v>
      </c>
      <c r="AC793" t="s">
        <v>463</v>
      </c>
      <c r="AD793" t="s">
        <v>464</v>
      </c>
      <c r="AE793" t="s">
        <v>465</v>
      </c>
      <c r="AF793" t="s">
        <v>467</v>
      </c>
      <c r="AG793" t="s">
        <v>466</v>
      </c>
    </row>
    <row r="794" spans="2:33" x14ac:dyDescent="0.15">
      <c r="B794" s="5">
        <v>43</v>
      </c>
      <c r="C794" s="5">
        <v>1</v>
      </c>
      <c r="D794" s="4">
        <f t="shared" si="240"/>
        <v>0</v>
      </c>
      <c r="E794" s="4">
        <f t="shared" si="241"/>
        <v>0</v>
      </c>
      <c r="F794" s="4">
        <f>'入力シート（2事業場以降）'!AR1096</f>
        <v>0</v>
      </c>
      <c r="G794" s="126">
        <f>'入力シート（2事業場以降）'!J1096</f>
        <v>0</v>
      </c>
      <c r="H794" s="126">
        <f>'入力シート（2事業場以降）'!L1096</f>
        <v>0</v>
      </c>
      <c r="I794" s="126">
        <f>'入力シート（2事業場以降）'!N1096</f>
        <v>0</v>
      </c>
      <c r="J794" s="32">
        <f t="shared" si="235"/>
        <v>0</v>
      </c>
      <c r="K794" s="32">
        <f t="shared" si="236"/>
        <v>0</v>
      </c>
      <c r="L794" s="32">
        <f t="shared" si="237"/>
        <v>0</v>
      </c>
      <c r="M794" s="287">
        <f t="shared" si="232"/>
        <v>0</v>
      </c>
      <c r="W794" s="117" t="str">
        <f t="shared" ca="1" si="238"/>
        <v>OK</v>
      </c>
      <c r="X794" t="str">
        <f t="shared" ca="1" si="233"/>
        <v>OK</v>
      </c>
      <c r="Y794">
        <f t="shared" si="239"/>
        <v>0</v>
      </c>
      <c r="Z794">
        <f t="shared" si="234"/>
        <v>0</v>
      </c>
      <c r="AA794" t="s">
        <v>461</v>
      </c>
      <c r="AB794" t="s">
        <v>462</v>
      </c>
      <c r="AC794" t="s">
        <v>463</v>
      </c>
      <c r="AD794" t="s">
        <v>464</v>
      </c>
      <c r="AE794" t="s">
        <v>465</v>
      </c>
      <c r="AF794" t="s">
        <v>467</v>
      </c>
      <c r="AG794" t="s">
        <v>466</v>
      </c>
    </row>
    <row r="795" spans="2:33" x14ac:dyDescent="0.15">
      <c r="B795" s="5">
        <v>43</v>
      </c>
      <c r="C795" s="5">
        <v>2</v>
      </c>
      <c r="D795" s="4">
        <f t="shared" si="240"/>
        <v>0</v>
      </c>
      <c r="E795" s="4">
        <f t="shared" si="241"/>
        <v>0</v>
      </c>
      <c r="F795" s="4">
        <f>'入力シート（2事業場以降）'!AR1098</f>
        <v>0</v>
      </c>
      <c r="G795" s="126">
        <f>'入力シート（2事業場以降）'!J1098</f>
        <v>0</v>
      </c>
      <c r="H795" s="126">
        <f>'入力シート（2事業場以降）'!L1098</f>
        <v>0</v>
      </c>
      <c r="I795" s="126">
        <f>'入力シート（2事業場以降）'!N1098</f>
        <v>0</v>
      </c>
      <c r="J795" s="32">
        <f t="shared" si="235"/>
        <v>0</v>
      </c>
      <c r="K795" s="32">
        <f t="shared" si="236"/>
        <v>0</v>
      </c>
      <c r="L795" s="32">
        <f t="shared" si="237"/>
        <v>0</v>
      </c>
      <c r="M795" s="287">
        <f t="shared" si="232"/>
        <v>0</v>
      </c>
      <c r="W795" s="117" t="str">
        <f t="shared" ca="1" si="238"/>
        <v>OK</v>
      </c>
      <c r="X795" t="str">
        <f t="shared" ca="1" si="233"/>
        <v>OK</v>
      </c>
      <c r="Y795">
        <f t="shared" si="239"/>
        <v>0</v>
      </c>
      <c r="Z795">
        <f t="shared" si="234"/>
        <v>0</v>
      </c>
      <c r="AA795" s="36"/>
      <c r="AB795" t="s">
        <v>462</v>
      </c>
      <c r="AC795" t="s">
        <v>463</v>
      </c>
      <c r="AD795" t="s">
        <v>464</v>
      </c>
      <c r="AE795" t="s">
        <v>465</v>
      </c>
      <c r="AF795" t="s">
        <v>467</v>
      </c>
      <c r="AG795" t="s">
        <v>466</v>
      </c>
    </row>
    <row r="796" spans="2:33" x14ac:dyDescent="0.15">
      <c r="B796" s="5">
        <v>43</v>
      </c>
      <c r="C796" s="5">
        <v>3</v>
      </c>
      <c r="D796" s="4">
        <f t="shared" si="240"/>
        <v>0</v>
      </c>
      <c r="E796" s="4">
        <f t="shared" si="241"/>
        <v>0</v>
      </c>
      <c r="F796" s="4">
        <f>'入力シート（2事業場以降）'!AR1100</f>
        <v>0</v>
      </c>
      <c r="G796" s="126">
        <f>'入力シート（2事業場以降）'!J1100</f>
        <v>0</v>
      </c>
      <c r="H796" s="126">
        <f>'入力シート（2事業場以降）'!L1100</f>
        <v>0</v>
      </c>
      <c r="I796" s="126">
        <f>'入力シート（2事業場以降）'!N1100</f>
        <v>0</v>
      </c>
      <c r="J796" s="32">
        <f t="shared" si="235"/>
        <v>0</v>
      </c>
      <c r="K796" s="32">
        <f t="shared" si="236"/>
        <v>0</v>
      </c>
      <c r="L796" s="32">
        <f t="shared" ref="L796:L817" si="242">IF(OR(P642="①",P642="②",E796=0),0,I796)</f>
        <v>0</v>
      </c>
      <c r="M796" s="287">
        <f t="shared" si="232"/>
        <v>0</v>
      </c>
      <c r="W796" s="117" t="str">
        <f t="shared" ref="W796:W817" ca="1" si="243">IF(OR(X796=$V$1,X796=""),$V$1,"NG")</f>
        <v>OK</v>
      </c>
      <c r="X796" t="str">
        <f t="shared" ca="1" si="233"/>
        <v>OK</v>
      </c>
      <c r="Y796">
        <f t="shared" ref="Y796:Y817" si="244">IF(D796=1,IF(OR(E796=0,AND(B796=B795,E795=0)),1,IF(E796=1,IF(F796=0,2,IF(AND(F796=1,J796=0,K796=0),3,IF(AND(F796=1,J796=0),4,IF(K796=0,5,0)))))),0)</f>
        <v>0</v>
      </c>
      <c r="Z796">
        <f t="shared" si="234"/>
        <v>0</v>
      </c>
      <c r="AA796" s="36"/>
      <c r="AB796" t="s">
        <v>462</v>
      </c>
      <c r="AC796" t="s">
        <v>463</v>
      </c>
      <c r="AD796" t="s">
        <v>464</v>
      </c>
      <c r="AE796" t="s">
        <v>465</v>
      </c>
      <c r="AF796" t="s">
        <v>467</v>
      </c>
      <c r="AG796" t="s">
        <v>466</v>
      </c>
    </row>
    <row r="797" spans="2:33" x14ac:dyDescent="0.15">
      <c r="B797" s="5">
        <v>44</v>
      </c>
      <c r="C797" s="5">
        <v>1</v>
      </c>
      <c r="D797" s="4">
        <f t="shared" ref="D797:D817" si="245">IF(B797&lt;=$G$60,1,0)</f>
        <v>0</v>
      </c>
      <c r="E797" s="4">
        <f t="shared" ref="E797:E817" si="246">IF(AND(D797=1,Y643=0,Z643=0),1,0)</f>
        <v>0</v>
      </c>
      <c r="F797" s="4">
        <f>'入力シート（2事業場以降）'!AR1103</f>
        <v>0</v>
      </c>
      <c r="G797" s="126">
        <f>'入力シート（2事業場以降）'!J1103</f>
        <v>0</v>
      </c>
      <c r="H797" s="126">
        <f>'入力シート（2事業場以降）'!L1103</f>
        <v>0</v>
      </c>
      <c r="I797" s="126">
        <f>'入力シート（2事業場以降）'!N1103</f>
        <v>0</v>
      </c>
      <c r="J797" s="32">
        <f t="shared" si="235"/>
        <v>0</v>
      </c>
      <c r="K797" s="32">
        <f t="shared" si="236"/>
        <v>0</v>
      </c>
      <c r="L797" s="32">
        <f t="shared" si="242"/>
        <v>0</v>
      </c>
      <c r="M797" s="287">
        <f t="shared" ref="M797:M817" si="247">IF(C797=1,SUM(K797:L799),M796)</f>
        <v>0</v>
      </c>
      <c r="W797" s="117" t="str">
        <f t="shared" ca="1" si="243"/>
        <v>OK</v>
      </c>
      <c r="X797" t="str">
        <f t="shared" ref="X797:X817" ca="1" si="248">IF(Y797&lt;&gt;0,OFFSET(Z797,0,Y797),IF(Z797&lt;&gt;0,OFFSET(AE797,0,Z797),$V$1))&amp;""</f>
        <v>OK</v>
      </c>
      <c r="Y797">
        <f t="shared" si="244"/>
        <v>0</v>
      </c>
      <c r="Z797">
        <f t="shared" ref="Z797:Z817" si="249">IF(J797&lt;(K797+L797),1,IF(AND(E797=1,M797&lt;3000),2,0))</f>
        <v>0</v>
      </c>
      <c r="AA797" t="s">
        <v>461</v>
      </c>
      <c r="AB797" t="s">
        <v>462</v>
      </c>
      <c r="AC797" t="s">
        <v>463</v>
      </c>
      <c r="AD797" t="s">
        <v>464</v>
      </c>
      <c r="AE797" t="s">
        <v>465</v>
      </c>
      <c r="AF797" t="s">
        <v>467</v>
      </c>
      <c r="AG797" t="s">
        <v>466</v>
      </c>
    </row>
    <row r="798" spans="2:33" x14ac:dyDescent="0.15">
      <c r="B798" s="5">
        <v>44</v>
      </c>
      <c r="C798" s="5">
        <v>2</v>
      </c>
      <c r="D798" s="4">
        <f t="shared" si="245"/>
        <v>0</v>
      </c>
      <c r="E798" s="4">
        <f t="shared" si="246"/>
        <v>0</v>
      </c>
      <c r="F798" s="4">
        <f>'入力シート（2事業場以降）'!AR1105</f>
        <v>0</v>
      </c>
      <c r="G798" s="126">
        <f>'入力シート（2事業場以降）'!J1105</f>
        <v>0</v>
      </c>
      <c r="H798" s="126">
        <f>'入力シート（2事業場以降）'!L1105</f>
        <v>0</v>
      </c>
      <c r="I798" s="126">
        <f>'入力シート（2事業場以降）'!N1105</f>
        <v>0</v>
      </c>
      <c r="J798" s="32">
        <f t="shared" si="235"/>
        <v>0</v>
      </c>
      <c r="K798" s="32">
        <f t="shared" si="236"/>
        <v>0</v>
      </c>
      <c r="L798" s="32">
        <f t="shared" si="242"/>
        <v>0</v>
      </c>
      <c r="M798" s="287">
        <f t="shared" si="247"/>
        <v>0</v>
      </c>
      <c r="W798" s="117" t="str">
        <f t="shared" ca="1" si="243"/>
        <v>OK</v>
      </c>
      <c r="X798" t="str">
        <f t="shared" ca="1" si="248"/>
        <v>OK</v>
      </c>
      <c r="Y798">
        <f t="shared" si="244"/>
        <v>0</v>
      </c>
      <c r="Z798">
        <f t="shared" si="249"/>
        <v>0</v>
      </c>
      <c r="AA798" s="36"/>
      <c r="AB798" t="s">
        <v>462</v>
      </c>
      <c r="AC798" t="s">
        <v>463</v>
      </c>
      <c r="AD798" t="s">
        <v>464</v>
      </c>
      <c r="AE798" t="s">
        <v>465</v>
      </c>
      <c r="AF798" t="s">
        <v>467</v>
      </c>
      <c r="AG798" t="s">
        <v>466</v>
      </c>
    </row>
    <row r="799" spans="2:33" x14ac:dyDescent="0.15">
      <c r="B799" s="5">
        <v>44</v>
      </c>
      <c r="C799" s="5">
        <v>3</v>
      </c>
      <c r="D799" s="4">
        <f t="shared" si="245"/>
        <v>0</v>
      </c>
      <c r="E799" s="4">
        <f t="shared" si="246"/>
        <v>0</v>
      </c>
      <c r="F799" s="4">
        <f>'入力シート（2事業場以降）'!AR1107</f>
        <v>0</v>
      </c>
      <c r="G799" s="126">
        <f>'入力シート（2事業場以降）'!J1107</f>
        <v>0</v>
      </c>
      <c r="H799" s="126">
        <f>'入力シート（2事業場以降）'!L1107</f>
        <v>0</v>
      </c>
      <c r="I799" s="126">
        <f>'入力シート（2事業場以降）'!N1107</f>
        <v>0</v>
      </c>
      <c r="J799" s="32">
        <f t="shared" si="235"/>
        <v>0</v>
      </c>
      <c r="K799" s="32">
        <f t="shared" si="236"/>
        <v>0</v>
      </c>
      <c r="L799" s="32">
        <f t="shared" si="242"/>
        <v>0</v>
      </c>
      <c r="M799" s="287">
        <f t="shared" si="247"/>
        <v>0</v>
      </c>
      <c r="W799" s="117" t="str">
        <f t="shared" ca="1" si="243"/>
        <v>OK</v>
      </c>
      <c r="X799" t="str">
        <f t="shared" ca="1" si="248"/>
        <v>OK</v>
      </c>
      <c r="Y799">
        <f t="shared" si="244"/>
        <v>0</v>
      </c>
      <c r="Z799">
        <f t="shared" si="249"/>
        <v>0</v>
      </c>
      <c r="AA799" s="36"/>
      <c r="AB799" t="s">
        <v>462</v>
      </c>
      <c r="AC799" t="s">
        <v>463</v>
      </c>
      <c r="AD799" t="s">
        <v>464</v>
      </c>
      <c r="AE799" t="s">
        <v>465</v>
      </c>
      <c r="AF799" t="s">
        <v>467</v>
      </c>
      <c r="AG799" t="s">
        <v>466</v>
      </c>
    </row>
    <row r="800" spans="2:33" x14ac:dyDescent="0.15">
      <c r="B800" s="5">
        <v>45</v>
      </c>
      <c r="C800" s="5">
        <v>1</v>
      </c>
      <c r="D800" s="4">
        <f t="shared" si="245"/>
        <v>0</v>
      </c>
      <c r="E800" s="4">
        <f t="shared" si="246"/>
        <v>0</v>
      </c>
      <c r="F800" s="4">
        <f>'入力シート（2事業場以降）'!AR1110</f>
        <v>0</v>
      </c>
      <c r="G800" s="126">
        <f>'入力シート（2事業場以降）'!J1110</f>
        <v>0</v>
      </c>
      <c r="H800" s="126">
        <f>'入力シート（2事業場以降）'!L1110</f>
        <v>0</v>
      </c>
      <c r="I800" s="126">
        <f>'入力シート（2事業場以降）'!N1110</f>
        <v>0</v>
      </c>
      <c r="J800" s="32">
        <f t="shared" si="235"/>
        <v>0</v>
      </c>
      <c r="K800" s="32">
        <f t="shared" si="236"/>
        <v>0</v>
      </c>
      <c r="L800" s="32">
        <f t="shared" si="242"/>
        <v>0</v>
      </c>
      <c r="M800" s="287">
        <f t="shared" si="247"/>
        <v>0</v>
      </c>
      <c r="W800" s="117" t="str">
        <f t="shared" ca="1" si="243"/>
        <v>OK</v>
      </c>
      <c r="X800" t="str">
        <f t="shared" ca="1" si="248"/>
        <v>OK</v>
      </c>
      <c r="Y800">
        <f t="shared" si="244"/>
        <v>0</v>
      </c>
      <c r="Z800">
        <f t="shared" si="249"/>
        <v>0</v>
      </c>
      <c r="AA800" t="s">
        <v>461</v>
      </c>
      <c r="AB800" t="s">
        <v>462</v>
      </c>
      <c r="AC800" t="s">
        <v>463</v>
      </c>
      <c r="AD800" t="s">
        <v>464</v>
      </c>
      <c r="AE800" t="s">
        <v>465</v>
      </c>
      <c r="AF800" t="s">
        <v>467</v>
      </c>
      <c r="AG800" t="s">
        <v>466</v>
      </c>
    </row>
    <row r="801" spans="2:33" x14ac:dyDescent="0.15">
      <c r="B801" s="5">
        <v>45</v>
      </c>
      <c r="C801" s="5">
        <v>2</v>
      </c>
      <c r="D801" s="4">
        <f t="shared" si="245"/>
        <v>0</v>
      </c>
      <c r="E801" s="4">
        <f t="shared" si="246"/>
        <v>0</v>
      </c>
      <c r="F801" s="4">
        <f>'入力シート（2事業場以降）'!AR1112</f>
        <v>0</v>
      </c>
      <c r="G801" s="126">
        <f>'入力シート（2事業場以降）'!J1112</f>
        <v>0</v>
      </c>
      <c r="H801" s="126">
        <f>'入力シート（2事業場以降）'!L1112</f>
        <v>0</v>
      </c>
      <c r="I801" s="126">
        <f>'入力シート（2事業場以降）'!N1112</f>
        <v>0</v>
      </c>
      <c r="J801" s="32">
        <f t="shared" si="235"/>
        <v>0</v>
      </c>
      <c r="K801" s="32">
        <f t="shared" si="236"/>
        <v>0</v>
      </c>
      <c r="L801" s="32">
        <f t="shared" si="242"/>
        <v>0</v>
      </c>
      <c r="M801" s="287">
        <f t="shared" si="247"/>
        <v>0</v>
      </c>
      <c r="W801" s="117" t="str">
        <f t="shared" ca="1" si="243"/>
        <v>OK</v>
      </c>
      <c r="X801" t="str">
        <f t="shared" ca="1" si="248"/>
        <v>OK</v>
      </c>
      <c r="Y801">
        <f t="shared" si="244"/>
        <v>0</v>
      </c>
      <c r="Z801">
        <f t="shared" si="249"/>
        <v>0</v>
      </c>
      <c r="AA801" s="36"/>
      <c r="AB801" t="s">
        <v>462</v>
      </c>
      <c r="AC801" t="s">
        <v>463</v>
      </c>
      <c r="AD801" t="s">
        <v>464</v>
      </c>
      <c r="AE801" t="s">
        <v>465</v>
      </c>
      <c r="AF801" t="s">
        <v>467</v>
      </c>
      <c r="AG801" t="s">
        <v>466</v>
      </c>
    </row>
    <row r="802" spans="2:33" x14ac:dyDescent="0.15">
      <c r="B802" s="5">
        <v>45</v>
      </c>
      <c r="C802" s="5">
        <v>3</v>
      </c>
      <c r="D802" s="4">
        <f t="shared" si="245"/>
        <v>0</v>
      </c>
      <c r="E802" s="4">
        <f t="shared" si="246"/>
        <v>0</v>
      </c>
      <c r="F802" s="4">
        <f>'入力シート（2事業場以降）'!AR1114</f>
        <v>0</v>
      </c>
      <c r="G802" s="126">
        <f>'入力シート（2事業場以降）'!J1114</f>
        <v>0</v>
      </c>
      <c r="H802" s="126">
        <f>'入力シート（2事業場以降）'!L1114</f>
        <v>0</v>
      </c>
      <c r="I802" s="126">
        <f>'入力シート（2事業場以降）'!N1114</f>
        <v>0</v>
      </c>
      <c r="J802" s="32">
        <f t="shared" si="235"/>
        <v>0</v>
      </c>
      <c r="K802" s="32">
        <f t="shared" si="236"/>
        <v>0</v>
      </c>
      <c r="L802" s="32">
        <f t="shared" si="242"/>
        <v>0</v>
      </c>
      <c r="M802" s="287">
        <f t="shared" si="247"/>
        <v>0</v>
      </c>
      <c r="W802" s="117" t="str">
        <f t="shared" ca="1" si="243"/>
        <v>OK</v>
      </c>
      <c r="X802" t="str">
        <f t="shared" ca="1" si="248"/>
        <v>OK</v>
      </c>
      <c r="Y802">
        <f t="shared" si="244"/>
        <v>0</v>
      </c>
      <c r="Z802">
        <f t="shared" si="249"/>
        <v>0</v>
      </c>
      <c r="AA802" s="36"/>
      <c r="AB802" t="s">
        <v>462</v>
      </c>
      <c r="AC802" t="s">
        <v>463</v>
      </c>
      <c r="AD802" t="s">
        <v>464</v>
      </c>
      <c r="AE802" t="s">
        <v>465</v>
      </c>
      <c r="AF802" t="s">
        <v>467</v>
      </c>
      <c r="AG802" t="s">
        <v>466</v>
      </c>
    </row>
    <row r="803" spans="2:33" x14ac:dyDescent="0.15">
      <c r="B803" s="5">
        <v>46</v>
      </c>
      <c r="C803" s="5">
        <v>1</v>
      </c>
      <c r="D803" s="4">
        <f t="shared" si="245"/>
        <v>0</v>
      </c>
      <c r="E803" s="4">
        <f t="shared" si="246"/>
        <v>0</v>
      </c>
      <c r="F803" s="4">
        <f>'入力シート（2事業場以降）'!AR1117</f>
        <v>0</v>
      </c>
      <c r="G803" s="126">
        <f>'入力シート（2事業場以降）'!J1117</f>
        <v>0</v>
      </c>
      <c r="H803" s="126">
        <f>'入力シート（2事業場以降）'!L1117</f>
        <v>0</v>
      </c>
      <c r="I803" s="126">
        <f>'入力シート（2事業場以降）'!N1117</f>
        <v>0</v>
      </c>
      <c r="J803" s="32">
        <f t="shared" si="235"/>
        <v>0</v>
      </c>
      <c r="K803" s="32">
        <f t="shared" si="236"/>
        <v>0</v>
      </c>
      <c r="L803" s="32">
        <f t="shared" si="242"/>
        <v>0</v>
      </c>
      <c r="M803" s="287">
        <f t="shared" si="247"/>
        <v>0</v>
      </c>
      <c r="W803" s="117" t="str">
        <f t="shared" ca="1" si="243"/>
        <v>OK</v>
      </c>
      <c r="X803" t="str">
        <f t="shared" ca="1" si="248"/>
        <v>OK</v>
      </c>
      <c r="Y803">
        <f t="shared" si="244"/>
        <v>0</v>
      </c>
      <c r="Z803">
        <f t="shared" si="249"/>
        <v>0</v>
      </c>
      <c r="AA803" t="s">
        <v>461</v>
      </c>
      <c r="AB803" t="s">
        <v>462</v>
      </c>
      <c r="AC803" t="s">
        <v>463</v>
      </c>
      <c r="AD803" t="s">
        <v>464</v>
      </c>
      <c r="AE803" t="s">
        <v>465</v>
      </c>
      <c r="AF803" t="s">
        <v>467</v>
      </c>
      <c r="AG803" t="s">
        <v>466</v>
      </c>
    </row>
    <row r="804" spans="2:33" x14ac:dyDescent="0.15">
      <c r="B804" s="5">
        <v>46</v>
      </c>
      <c r="C804" s="5">
        <v>2</v>
      </c>
      <c r="D804" s="4">
        <f t="shared" si="245"/>
        <v>0</v>
      </c>
      <c r="E804" s="4">
        <f t="shared" si="246"/>
        <v>0</v>
      </c>
      <c r="F804" s="4">
        <f>'入力シート（2事業場以降）'!AR1119</f>
        <v>0</v>
      </c>
      <c r="G804" s="126">
        <f>'入力シート（2事業場以降）'!J1119</f>
        <v>0</v>
      </c>
      <c r="H804" s="126">
        <f>'入力シート（2事業場以降）'!L1119</f>
        <v>0</v>
      </c>
      <c r="I804" s="126">
        <f>'入力シート（2事業場以降）'!N1119</f>
        <v>0</v>
      </c>
      <c r="J804" s="32">
        <f t="shared" si="235"/>
        <v>0</v>
      </c>
      <c r="K804" s="32">
        <f t="shared" si="236"/>
        <v>0</v>
      </c>
      <c r="L804" s="32">
        <f t="shared" si="242"/>
        <v>0</v>
      </c>
      <c r="M804" s="287">
        <f t="shared" si="247"/>
        <v>0</v>
      </c>
      <c r="W804" s="117" t="str">
        <f t="shared" ca="1" si="243"/>
        <v>OK</v>
      </c>
      <c r="X804" t="str">
        <f t="shared" ca="1" si="248"/>
        <v>OK</v>
      </c>
      <c r="Y804">
        <f t="shared" si="244"/>
        <v>0</v>
      </c>
      <c r="Z804">
        <f t="shared" si="249"/>
        <v>0</v>
      </c>
      <c r="AA804" s="36"/>
      <c r="AB804" t="s">
        <v>462</v>
      </c>
      <c r="AC804" t="s">
        <v>463</v>
      </c>
      <c r="AD804" t="s">
        <v>464</v>
      </c>
      <c r="AE804" t="s">
        <v>465</v>
      </c>
      <c r="AF804" t="s">
        <v>467</v>
      </c>
      <c r="AG804" t="s">
        <v>466</v>
      </c>
    </row>
    <row r="805" spans="2:33" x14ac:dyDescent="0.15">
      <c r="B805" s="5">
        <v>46</v>
      </c>
      <c r="C805" s="5">
        <v>3</v>
      </c>
      <c r="D805" s="4">
        <f t="shared" si="245"/>
        <v>0</v>
      </c>
      <c r="E805" s="4">
        <f t="shared" si="246"/>
        <v>0</v>
      </c>
      <c r="F805" s="4">
        <f>'入力シート（2事業場以降）'!AR1121</f>
        <v>0</v>
      </c>
      <c r="G805" s="126">
        <f>'入力シート（2事業場以降）'!J1121</f>
        <v>0</v>
      </c>
      <c r="H805" s="126">
        <f>'入力シート（2事業場以降）'!L1121</f>
        <v>0</v>
      </c>
      <c r="I805" s="126">
        <f>'入力シート（2事業場以降）'!N1121</f>
        <v>0</v>
      </c>
      <c r="J805" s="32">
        <f t="shared" si="235"/>
        <v>0</v>
      </c>
      <c r="K805" s="32">
        <f t="shared" si="236"/>
        <v>0</v>
      </c>
      <c r="L805" s="32">
        <f t="shared" si="242"/>
        <v>0</v>
      </c>
      <c r="M805" s="287">
        <f t="shared" si="247"/>
        <v>0</v>
      </c>
      <c r="W805" s="117" t="str">
        <f t="shared" ca="1" si="243"/>
        <v>OK</v>
      </c>
      <c r="X805" t="str">
        <f t="shared" ca="1" si="248"/>
        <v>OK</v>
      </c>
      <c r="Y805">
        <f t="shared" si="244"/>
        <v>0</v>
      </c>
      <c r="Z805">
        <f t="shared" si="249"/>
        <v>0</v>
      </c>
      <c r="AA805" s="36"/>
      <c r="AB805" t="s">
        <v>462</v>
      </c>
      <c r="AC805" t="s">
        <v>463</v>
      </c>
      <c r="AD805" t="s">
        <v>464</v>
      </c>
      <c r="AE805" t="s">
        <v>465</v>
      </c>
      <c r="AF805" t="s">
        <v>467</v>
      </c>
      <c r="AG805" t="s">
        <v>466</v>
      </c>
    </row>
    <row r="806" spans="2:33" x14ac:dyDescent="0.15">
      <c r="B806" s="5">
        <v>47</v>
      </c>
      <c r="C806" s="5">
        <v>1</v>
      </c>
      <c r="D806" s="4">
        <f t="shared" si="245"/>
        <v>0</v>
      </c>
      <c r="E806" s="4">
        <f t="shared" si="246"/>
        <v>0</v>
      </c>
      <c r="F806" s="4">
        <f>'入力シート（2事業場以降）'!AR1124</f>
        <v>0</v>
      </c>
      <c r="G806" s="126">
        <f>'入力シート（2事業場以降）'!J1124</f>
        <v>0</v>
      </c>
      <c r="H806" s="126">
        <f>'入力シート（2事業場以降）'!L1124</f>
        <v>0</v>
      </c>
      <c r="I806" s="126">
        <f>'入力シート（2事業場以降）'!N1124</f>
        <v>0</v>
      </c>
      <c r="J806" s="32">
        <f t="shared" si="235"/>
        <v>0</v>
      </c>
      <c r="K806" s="32">
        <f t="shared" si="236"/>
        <v>0</v>
      </c>
      <c r="L806" s="32">
        <f t="shared" si="242"/>
        <v>0</v>
      </c>
      <c r="M806" s="287">
        <f t="shared" si="247"/>
        <v>0</v>
      </c>
      <c r="W806" s="117" t="str">
        <f t="shared" ca="1" si="243"/>
        <v>OK</v>
      </c>
      <c r="X806" t="str">
        <f t="shared" ca="1" si="248"/>
        <v>OK</v>
      </c>
      <c r="Y806">
        <f t="shared" si="244"/>
        <v>0</v>
      </c>
      <c r="Z806">
        <f t="shared" si="249"/>
        <v>0</v>
      </c>
      <c r="AA806" t="s">
        <v>461</v>
      </c>
      <c r="AB806" t="s">
        <v>462</v>
      </c>
      <c r="AC806" t="s">
        <v>463</v>
      </c>
      <c r="AD806" t="s">
        <v>464</v>
      </c>
      <c r="AE806" t="s">
        <v>465</v>
      </c>
      <c r="AF806" t="s">
        <v>467</v>
      </c>
      <c r="AG806" t="s">
        <v>466</v>
      </c>
    </row>
    <row r="807" spans="2:33" x14ac:dyDescent="0.15">
      <c r="B807" s="5">
        <v>47</v>
      </c>
      <c r="C807" s="5">
        <v>2</v>
      </c>
      <c r="D807" s="4">
        <f t="shared" si="245"/>
        <v>0</v>
      </c>
      <c r="E807" s="4">
        <f t="shared" si="246"/>
        <v>0</v>
      </c>
      <c r="F807" s="4">
        <f>'入力シート（2事業場以降）'!AR1126</f>
        <v>0</v>
      </c>
      <c r="G807" s="126">
        <f>'入力シート（2事業場以降）'!J1126</f>
        <v>0</v>
      </c>
      <c r="H807" s="126">
        <f>'入力シート（2事業場以降）'!L1126</f>
        <v>0</v>
      </c>
      <c r="I807" s="126">
        <f>'入力シート（2事業場以降）'!N1126</f>
        <v>0</v>
      </c>
      <c r="J807" s="32">
        <f t="shared" si="235"/>
        <v>0</v>
      </c>
      <c r="K807" s="32">
        <f t="shared" si="236"/>
        <v>0</v>
      </c>
      <c r="L807" s="32">
        <f t="shared" si="242"/>
        <v>0</v>
      </c>
      <c r="M807" s="287">
        <f t="shared" si="247"/>
        <v>0</v>
      </c>
      <c r="W807" s="117" t="str">
        <f t="shared" ca="1" si="243"/>
        <v>OK</v>
      </c>
      <c r="X807" t="str">
        <f t="shared" ca="1" si="248"/>
        <v>OK</v>
      </c>
      <c r="Y807">
        <f t="shared" si="244"/>
        <v>0</v>
      </c>
      <c r="Z807">
        <f t="shared" si="249"/>
        <v>0</v>
      </c>
      <c r="AA807" s="36"/>
      <c r="AB807" t="s">
        <v>462</v>
      </c>
      <c r="AC807" t="s">
        <v>463</v>
      </c>
      <c r="AD807" t="s">
        <v>464</v>
      </c>
      <c r="AE807" t="s">
        <v>465</v>
      </c>
      <c r="AF807" t="s">
        <v>467</v>
      </c>
      <c r="AG807" t="s">
        <v>466</v>
      </c>
    </row>
    <row r="808" spans="2:33" x14ac:dyDescent="0.15">
      <c r="B808" s="5">
        <v>47</v>
      </c>
      <c r="C808" s="5">
        <v>3</v>
      </c>
      <c r="D808" s="4">
        <f t="shared" si="245"/>
        <v>0</v>
      </c>
      <c r="E808" s="4">
        <f t="shared" si="246"/>
        <v>0</v>
      </c>
      <c r="F808" s="4">
        <f>'入力シート（2事業場以降）'!AR1128</f>
        <v>0</v>
      </c>
      <c r="G808" s="126">
        <f>'入力シート（2事業場以降）'!J1128</f>
        <v>0</v>
      </c>
      <c r="H808" s="126">
        <f>'入力シート（2事業場以降）'!L1128</f>
        <v>0</v>
      </c>
      <c r="I808" s="126">
        <f>'入力シート（2事業場以降）'!N1128</f>
        <v>0</v>
      </c>
      <c r="J808" s="32">
        <f t="shared" si="235"/>
        <v>0</v>
      </c>
      <c r="K808" s="32">
        <f t="shared" si="236"/>
        <v>0</v>
      </c>
      <c r="L808" s="32">
        <f t="shared" si="242"/>
        <v>0</v>
      </c>
      <c r="M808" s="287">
        <f t="shared" si="247"/>
        <v>0</v>
      </c>
      <c r="W808" s="117" t="str">
        <f t="shared" ca="1" si="243"/>
        <v>OK</v>
      </c>
      <c r="X808" t="str">
        <f t="shared" ca="1" si="248"/>
        <v>OK</v>
      </c>
      <c r="Y808">
        <f t="shared" si="244"/>
        <v>0</v>
      </c>
      <c r="Z808">
        <f t="shared" si="249"/>
        <v>0</v>
      </c>
      <c r="AA808" s="36"/>
      <c r="AB808" t="s">
        <v>462</v>
      </c>
      <c r="AC808" t="s">
        <v>463</v>
      </c>
      <c r="AD808" t="s">
        <v>464</v>
      </c>
      <c r="AE808" t="s">
        <v>465</v>
      </c>
      <c r="AF808" t="s">
        <v>467</v>
      </c>
      <c r="AG808" t="s">
        <v>466</v>
      </c>
    </row>
    <row r="809" spans="2:33" x14ac:dyDescent="0.15">
      <c r="B809" s="5">
        <v>48</v>
      </c>
      <c r="C809" s="5">
        <v>1</v>
      </c>
      <c r="D809" s="4">
        <f t="shared" si="245"/>
        <v>0</v>
      </c>
      <c r="E809" s="4">
        <f t="shared" si="246"/>
        <v>0</v>
      </c>
      <c r="F809" s="4">
        <f>'入力シート（2事業場以降）'!AR1131</f>
        <v>0</v>
      </c>
      <c r="G809" s="126">
        <f>'入力シート（2事業場以降）'!J1131</f>
        <v>0</v>
      </c>
      <c r="H809" s="126">
        <f>'入力シート（2事業場以降）'!L1131</f>
        <v>0</v>
      </c>
      <c r="I809" s="126">
        <f>'入力シート（2事業場以降）'!N1131</f>
        <v>0</v>
      </c>
      <c r="J809" s="32">
        <f t="shared" si="235"/>
        <v>0</v>
      </c>
      <c r="K809" s="32">
        <f t="shared" si="236"/>
        <v>0</v>
      </c>
      <c r="L809" s="32">
        <f t="shared" si="242"/>
        <v>0</v>
      </c>
      <c r="M809" s="287">
        <f t="shared" si="247"/>
        <v>0</v>
      </c>
      <c r="W809" s="117" t="str">
        <f t="shared" ca="1" si="243"/>
        <v>OK</v>
      </c>
      <c r="X809" t="str">
        <f t="shared" ca="1" si="248"/>
        <v>OK</v>
      </c>
      <c r="Y809">
        <f t="shared" si="244"/>
        <v>0</v>
      </c>
      <c r="Z809">
        <f t="shared" si="249"/>
        <v>0</v>
      </c>
      <c r="AA809" t="s">
        <v>461</v>
      </c>
      <c r="AB809" t="s">
        <v>462</v>
      </c>
      <c r="AC809" t="s">
        <v>463</v>
      </c>
      <c r="AD809" t="s">
        <v>464</v>
      </c>
      <c r="AE809" t="s">
        <v>465</v>
      </c>
      <c r="AF809" t="s">
        <v>467</v>
      </c>
      <c r="AG809" t="s">
        <v>466</v>
      </c>
    </row>
    <row r="810" spans="2:33" x14ac:dyDescent="0.15">
      <c r="B810" s="5">
        <v>48</v>
      </c>
      <c r="C810" s="5">
        <v>2</v>
      </c>
      <c r="D810" s="4">
        <f t="shared" si="245"/>
        <v>0</v>
      </c>
      <c r="E810" s="4">
        <f t="shared" si="246"/>
        <v>0</v>
      </c>
      <c r="F810" s="4">
        <f>'入力シート（2事業場以降）'!AR1133</f>
        <v>0</v>
      </c>
      <c r="G810" s="126">
        <f>'入力シート（2事業場以降）'!J1133</f>
        <v>0</v>
      </c>
      <c r="H810" s="126">
        <f>'入力シート（2事業場以降）'!L1133</f>
        <v>0</v>
      </c>
      <c r="I810" s="126">
        <f>'入力シート（2事業場以降）'!N1133</f>
        <v>0</v>
      </c>
      <c r="J810" s="32">
        <f t="shared" si="235"/>
        <v>0</v>
      </c>
      <c r="K810" s="32">
        <f t="shared" si="236"/>
        <v>0</v>
      </c>
      <c r="L810" s="32">
        <f t="shared" si="242"/>
        <v>0</v>
      </c>
      <c r="M810" s="287">
        <f t="shared" si="247"/>
        <v>0</v>
      </c>
      <c r="W810" s="117" t="str">
        <f t="shared" ca="1" si="243"/>
        <v>OK</v>
      </c>
      <c r="X810" t="str">
        <f t="shared" ca="1" si="248"/>
        <v>OK</v>
      </c>
      <c r="Y810">
        <f t="shared" si="244"/>
        <v>0</v>
      </c>
      <c r="Z810">
        <f t="shared" si="249"/>
        <v>0</v>
      </c>
      <c r="AA810" s="36"/>
      <c r="AB810" t="s">
        <v>462</v>
      </c>
      <c r="AC810" t="s">
        <v>463</v>
      </c>
      <c r="AD810" t="s">
        <v>464</v>
      </c>
      <c r="AE810" t="s">
        <v>465</v>
      </c>
      <c r="AF810" t="s">
        <v>467</v>
      </c>
      <c r="AG810" t="s">
        <v>466</v>
      </c>
    </row>
    <row r="811" spans="2:33" x14ac:dyDescent="0.15">
      <c r="B811" s="5">
        <v>48</v>
      </c>
      <c r="C811" s="5">
        <v>3</v>
      </c>
      <c r="D811" s="4">
        <f t="shared" si="245"/>
        <v>0</v>
      </c>
      <c r="E811" s="4">
        <f t="shared" si="246"/>
        <v>0</v>
      </c>
      <c r="F811" s="4">
        <f>'入力シート（2事業場以降）'!AR1135</f>
        <v>0</v>
      </c>
      <c r="G811" s="126">
        <f>'入力シート（2事業場以降）'!J1135</f>
        <v>0</v>
      </c>
      <c r="H811" s="126">
        <f>'入力シート（2事業場以降）'!L1135</f>
        <v>0</v>
      </c>
      <c r="I811" s="126">
        <f>'入力シート（2事業場以降）'!N1135</f>
        <v>0</v>
      </c>
      <c r="J811" s="32">
        <f t="shared" si="235"/>
        <v>0</v>
      </c>
      <c r="K811" s="32">
        <f t="shared" si="236"/>
        <v>0</v>
      </c>
      <c r="L811" s="32">
        <f t="shared" si="242"/>
        <v>0</v>
      </c>
      <c r="M811" s="287">
        <f t="shared" si="247"/>
        <v>0</v>
      </c>
      <c r="W811" s="117" t="str">
        <f t="shared" ca="1" si="243"/>
        <v>OK</v>
      </c>
      <c r="X811" t="str">
        <f t="shared" ca="1" si="248"/>
        <v>OK</v>
      </c>
      <c r="Y811">
        <f t="shared" si="244"/>
        <v>0</v>
      </c>
      <c r="Z811">
        <f t="shared" si="249"/>
        <v>0</v>
      </c>
      <c r="AA811" s="36"/>
      <c r="AB811" t="s">
        <v>462</v>
      </c>
      <c r="AC811" t="s">
        <v>463</v>
      </c>
      <c r="AD811" t="s">
        <v>464</v>
      </c>
      <c r="AE811" t="s">
        <v>465</v>
      </c>
      <c r="AF811" t="s">
        <v>467</v>
      </c>
      <c r="AG811" t="s">
        <v>466</v>
      </c>
    </row>
    <row r="812" spans="2:33" x14ac:dyDescent="0.15">
      <c r="B812" s="5">
        <v>49</v>
      </c>
      <c r="C812" s="5">
        <v>1</v>
      </c>
      <c r="D812" s="4">
        <f t="shared" si="245"/>
        <v>0</v>
      </c>
      <c r="E812" s="4">
        <f t="shared" si="246"/>
        <v>0</v>
      </c>
      <c r="F812" s="4">
        <f>'入力シート（2事業場以降）'!AR1138</f>
        <v>0</v>
      </c>
      <c r="G812" s="126">
        <f>'入力シート（2事業場以降）'!J1138</f>
        <v>0</v>
      </c>
      <c r="H812" s="126">
        <f>'入力シート（2事業場以降）'!L1138</f>
        <v>0</v>
      </c>
      <c r="I812" s="126">
        <f>'入力シート（2事業場以降）'!N1138</f>
        <v>0</v>
      </c>
      <c r="J812" s="32">
        <f t="shared" si="235"/>
        <v>0</v>
      </c>
      <c r="K812" s="32">
        <f t="shared" si="236"/>
        <v>0</v>
      </c>
      <c r="L812" s="32">
        <f t="shared" si="242"/>
        <v>0</v>
      </c>
      <c r="M812" s="287">
        <f t="shared" si="247"/>
        <v>0</v>
      </c>
      <c r="W812" s="117" t="str">
        <f t="shared" ca="1" si="243"/>
        <v>OK</v>
      </c>
      <c r="X812" t="str">
        <f t="shared" ca="1" si="248"/>
        <v>OK</v>
      </c>
      <c r="Y812">
        <f t="shared" si="244"/>
        <v>0</v>
      </c>
      <c r="Z812">
        <f t="shared" si="249"/>
        <v>0</v>
      </c>
      <c r="AA812" t="s">
        <v>461</v>
      </c>
      <c r="AB812" t="s">
        <v>462</v>
      </c>
      <c r="AC812" t="s">
        <v>463</v>
      </c>
      <c r="AD812" t="s">
        <v>464</v>
      </c>
      <c r="AE812" t="s">
        <v>465</v>
      </c>
      <c r="AF812" t="s">
        <v>467</v>
      </c>
      <c r="AG812" t="s">
        <v>466</v>
      </c>
    </row>
    <row r="813" spans="2:33" x14ac:dyDescent="0.15">
      <c r="B813" s="5">
        <v>49</v>
      </c>
      <c r="C813" s="5">
        <v>2</v>
      </c>
      <c r="D813" s="4">
        <f t="shared" si="245"/>
        <v>0</v>
      </c>
      <c r="E813" s="4">
        <f t="shared" si="246"/>
        <v>0</v>
      </c>
      <c r="F813" s="4">
        <f>'入力シート（2事業場以降）'!AR1140</f>
        <v>0</v>
      </c>
      <c r="G813" s="126">
        <f>'入力シート（2事業場以降）'!J1140</f>
        <v>0</v>
      </c>
      <c r="H813" s="126">
        <f>'入力シート（2事業場以降）'!L1140</f>
        <v>0</v>
      </c>
      <c r="I813" s="126">
        <f>'入力シート（2事業場以降）'!N1140</f>
        <v>0</v>
      </c>
      <c r="J813" s="32">
        <f t="shared" si="235"/>
        <v>0</v>
      </c>
      <c r="K813" s="32">
        <f t="shared" si="236"/>
        <v>0</v>
      </c>
      <c r="L813" s="32">
        <f t="shared" si="242"/>
        <v>0</v>
      </c>
      <c r="M813" s="287">
        <f t="shared" si="247"/>
        <v>0</v>
      </c>
      <c r="W813" s="117" t="str">
        <f t="shared" ca="1" si="243"/>
        <v>OK</v>
      </c>
      <c r="X813" t="str">
        <f t="shared" ca="1" si="248"/>
        <v>OK</v>
      </c>
      <c r="Y813">
        <f t="shared" si="244"/>
        <v>0</v>
      </c>
      <c r="Z813">
        <f t="shared" si="249"/>
        <v>0</v>
      </c>
      <c r="AA813" s="36"/>
      <c r="AB813" t="s">
        <v>462</v>
      </c>
      <c r="AC813" t="s">
        <v>463</v>
      </c>
      <c r="AD813" t="s">
        <v>464</v>
      </c>
      <c r="AE813" t="s">
        <v>465</v>
      </c>
      <c r="AF813" t="s">
        <v>467</v>
      </c>
      <c r="AG813" t="s">
        <v>466</v>
      </c>
    </row>
    <row r="814" spans="2:33" x14ac:dyDescent="0.15">
      <c r="B814" s="5">
        <v>49</v>
      </c>
      <c r="C814" s="5">
        <v>3</v>
      </c>
      <c r="D814" s="4">
        <f t="shared" si="245"/>
        <v>0</v>
      </c>
      <c r="E814" s="4">
        <f t="shared" si="246"/>
        <v>0</v>
      </c>
      <c r="F814" s="4">
        <f>'入力シート（2事業場以降）'!AR1142</f>
        <v>0</v>
      </c>
      <c r="G814" s="126">
        <f>'入力シート（2事業場以降）'!J1142</f>
        <v>0</v>
      </c>
      <c r="H814" s="126">
        <f>'入力シート（2事業場以降）'!L1142</f>
        <v>0</v>
      </c>
      <c r="I814" s="126">
        <f>'入力シート（2事業場以降）'!N1142</f>
        <v>0</v>
      </c>
      <c r="J814" s="32">
        <f t="shared" si="235"/>
        <v>0</v>
      </c>
      <c r="K814" s="32">
        <f t="shared" si="236"/>
        <v>0</v>
      </c>
      <c r="L814" s="32">
        <f t="shared" si="242"/>
        <v>0</v>
      </c>
      <c r="M814" s="287">
        <f t="shared" si="247"/>
        <v>0</v>
      </c>
      <c r="W814" s="117" t="str">
        <f t="shared" ca="1" si="243"/>
        <v>OK</v>
      </c>
      <c r="X814" t="str">
        <f t="shared" ca="1" si="248"/>
        <v>OK</v>
      </c>
      <c r="Y814">
        <f t="shared" si="244"/>
        <v>0</v>
      </c>
      <c r="Z814">
        <f t="shared" si="249"/>
        <v>0</v>
      </c>
      <c r="AA814" s="36"/>
      <c r="AB814" t="s">
        <v>462</v>
      </c>
      <c r="AC814" t="s">
        <v>463</v>
      </c>
      <c r="AD814" t="s">
        <v>464</v>
      </c>
      <c r="AE814" t="s">
        <v>465</v>
      </c>
      <c r="AF814" t="s">
        <v>467</v>
      </c>
      <c r="AG814" t="s">
        <v>466</v>
      </c>
    </row>
    <row r="815" spans="2:33" x14ac:dyDescent="0.15">
      <c r="B815" s="5">
        <v>50</v>
      </c>
      <c r="C815" s="5">
        <v>1</v>
      </c>
      <c r="D815" s="4">
        <f t="shared" si="245"/>
        <v>0</v>
      </c>
      <c r="E815" s="4">
        <f t="shared" si="246"/>
        <v>0</v>
      </c>
      <c r="F815" s="4">
        <f>'入力シート（2事業場以降）'!AR1145</f>
        <v>0</v>
      </c>
      <c r="G815" s="126">
        <f>'入力シート（2事業場以降）'!J1145</f>
        <v>0</v>
      </c>
      <c r="H815" s="126">
        <f>'入力シート（2事業場以降）'!L1145</f>
        <v>0</v>
      </c>
      <c r="I815" s="126">
        <f>'入力シート（2事業場以降）'!N1145</f>
        <v>0</v>
      </c>
      <c r="J815" s="32">
        <f t="shared" si="235"/>
        <v>0</v>
      </c>
      <c r="K815" s="32">
        <f t="shared" si="236"/>
        <v>0</v>
      </c>
      <c r="L815" s="32">
        <f t="shared" si="242"/>
        <v>0</v>
      </c>
      <c r="M815" s="287">
        <f t="shared" si="247"/>
        <v>0</v>
      </c>
      <c r="W815" s="117" t="str">
        <f t="shared" ca="1" si="243"/>
        <v>OK</v>
      </c>
      <c r="X815" t="str">
        <f t="shared" ca="1" si="248"/>
        <v>OK</v>
      </c>
      <c r="Y815">
        <f t="shared" si="244"/>
        <v>0</v>
      </c>
      <c r="Z815">
        <f t="shared" si="249"/>
        <v>0</v>
      </c>
      <c r="AA815" t="s">
        <v>461</v>
      </c>
      <c r="AB815" t="s">
        <v>462</v>
      </c>
      <c r="AC815" t="s">
        <v>463</v>
      </c>
      <c r="AD815" t="s">
        <v>464</v>
      </c>
      <c r="AE815" t="s">
        <v>465</v>
      </c>
      <c r="AF815" t="s">
        <v>467</v>
      </c>
      <c r="AG815" t="s">
        <v>466</v>
      </c>
    </row>
    <row r="816" spans="2:33" x14ac:dyDescent="0.15">
      <c r="B816" s="5">
        <v>50</v>
      </c>
      <c r="C816" s="5">
        <v>2</v>
      </c>
      <c r="D816" s="4">
        <f t="shared" si="245"/>
        <v>0</v>
      </c>
      <c r="E816" s="4">
        <f t="shared" si="246"/>
        <v>0</v>
      </c>
      <c r="F816" s="4">
        <f>'入力シート（2事業場以降）'!AR1147</f>
        <v>0</v>
      </c>
      <c r="G816" s="126">
        <f>'入力シート（2事業場以降）'!J1147</f>
        <v>0</v>
      </c>
      <c r="H816" s="126">
        <f>'入力シート（2事業場以降）'!L1147</f>
        <v>0</v>
      </c>
      <c r="I816" s="126">
        <f>'入力シート（2事業場以降）'!N1147</f>
        <v>0</v>
      </c>
      <c r="J816" s="32">
        <f t="shared" si="235"/>
        <v>0</v>
      </c>
      <c r="K816" s="32">
        <f t="shared" si="236"/>
        <v>0</v>
      </c>
      <c r="L816" s="32">
        <f t="shared" si="242"/>
        <v>0</v>
      </c>
      <c r="M816" s="287">
        <f t="shared" si="247"/>
        <v>0</v>
      </c>
      <c r="W816" s="117" t="str">
        <f t="shared" ca="1" si="243"/>
        <v>OK</v>
      </c>
      <c r="X816" t="str">
        <f t="shared" ca="1" si="248"/>
        <v>OK</v>
      </c>
      <c r="Y816">
        <f t="shared" si="244"/>
        <v>0</v>
      </c>
      <c r="Z816">
        <f t="shared" si="249"/>
        <v>0</v>
      </c>
      <c r="AA816" s="36"/>
      <c r="AB816" t="s">
        <v>462</v>
      </c>
      <c r="AC816" t="s">
        <v>463</v>
      </c>
      <c r="AD816" t="s">
        <v>464</v>
      </c>
      <c r="AE816" t="s">
        <v>465</v>
      </c>
      <c r="AF816" t="s">
        <v>467</v>
      </c>
      <c r="AG816" t="s">
        <v>466</v>
      </c>
    </row>
    <row r="817" spans="2:33" x14ac:dyDescent="0.15">
      <c r="B817" s="5">
        <v>50</v>
      </c>
      <c r="C817" s="5">
        <v>3</v>
      </c>
      <c r="D817" s="4">
        <f t="shared" si="245"/>
        <v>0</v>
      </c>
      <c r="E817" s="4">
        <f t="shared" si="246"/>
        <v>0</v>
      </c>
      <c r="F817" s="4">
        <f>'入力シート（2事業場以降）'!AR1149</f>
        <v>0</v>
      </c>
      <c r="G817" s="126">
        <f>'入力シート（2事業場以降）'!J1149</f>
        <v>0</v>
      </c>
      <c r="H817" s="126">
        <f>'入力シート（2事業場以降）'!L1149</f>
        <v>0</v>
      </c>
      <c r="I817" s="126">
        <f>'入力シート（2事業場以降）'!N1149</f>
        <v>0</v>
      </c>
      <c r="J817" s="32">
        <f t="shared" si="235"/>
        <v>0</v>
      </c>
      <c r="K817" s="32">
        <f t="shared" si="236"/>
        <v>0</v>
      </c>
      <c r="L817" s="32">
        <f t="shared" si="242"/>
        <v>0</v>
      </c>
      <c r="M817" s="287">
        <f t="shared" si="247"/>
        <v>0</v>
      </c>
      <c r="W817" s="117" t="str">
        <f t="shared" ca="1" si="243"/>
        <v>OK</v>
      </c>
      <c r="X817" t="str">
        <f t="shared" ca="1" si="248"/>
        <v>OK</v>
      </c>
      <c r="Y817">
        <f t="shared" si="244"/>
        <v>0</v>
      </c>
      <c r="Z817">
        <f t="shared" si="249"/>
        <v>0</v>
      </c>
      <c r="AA817" s="36"/>
      <c r="AB817" t="s">
        <v>462</v>
      </c>
      <c r="AC817" t="s">
        <v>463</v>
      </c>
      <c r="AD817" t="s">
        <v>464</v>
      </c>
      <c r="AE817" t="s">
        <v>465</v>
      </c>
      <c r="AF817" t="s">
        <v>467</v>
      </c>
      <c r="AG817" t="s">
        <v>466</v>
      </c>
    </row>
    <row r="818" spans="2:33" x14ac:dyDescent="0.15">
      <c r="W818" s="117"/>
      <c r="AA818" s="3"/>
      <c r="AB818" s="3"/>
    </row>
    <row r="819" spans="2:33" ht="40.5" x14ac:dyDescent="0.15">
      <c r="B819" s="5" t="s">
        <v>468</v>
      </c>
      <c r="C819" s="9" t="s">
        <v>422</v>
      </c>
      <c r="D819" s="9" t="s">
        <v>469</v>
      </c>
      <c r="E819" s="9" t="s">
        <v>470</v>
      </c>
      <c r="F819" s="9" t="s">
        <v>471</v>
      </c>
      <c r="G819" s="9" t="s">
        <v>289</v>
      </c>
      <c r="H819" s="9" t="s">
        <v>92</v>
      </c>
      <c r="W819" s="117"/>
      <c r="X819" s="11" t="s">
        <v>384</v>
      </c>
      <c r="Y819" s="127" t="s">
        <v>376</v>
      </c>
      <c r="Z819" s="76" t="s">
        <v>377</v>
      </c>
    </row>
    <row r="820" spans="2:33" x14ac:dyDescent="0.15">
      <c r="B820" s="5" t="s">
        <v>472</v>
      </c>
      <c r="C820" s="4">
        <v>1</v>
      </c>
      <c r="D820" s="35">
        <f>SUM(J668:J670)</f>
        <v>0</v>
      </c>
      <c r="E820" s="35">
        <f t="shared" ref="E820:F820" si="250">SUM(K668:K670)</f>
        <v>0</v>
      </c>
      <c r="F820" s="35">
        <f t="shared" si="250"/>
        <v>0</v>
      </c>
      <c r="G820" s="35">
        <f>E820+F820</f>
        <v>0</v>
      </c>
      <c r="H820" s="35">
        <f>IF(G820/3&gt;150000,150000,ROUNDDOWN(G820/3,-3))</f>
        <v>0</v>
      </c>
      <c r="W820" s="117" t="str">
        <f t="shared" ref="W820" ca="1" si="251">IF(X820="OK",X820,"NG")</f>
        <v>NG</v>
      </c>
      <c r="X820" t="str">
        <f ca="1">IF(Y820=1,"",IF(Y820=2,AA820,IF(Z820&lt;&gt;0,OFFSET(AA820,0,Z820),"")))</f>
        <v>機器毎に入力すると
補助事業に要する経費、スキャンツールの価格、情報端末価格の合計金額、
補助対象経費、補助金の額が自動で表示されます。</v>
      </c>
      <c r="Y820">
        <f>IF(C820=0,1,IF(SUM(D820:H820)=0,2,0))</f>
        <v>2</v>
      </c>
      <c r="Z820">
        <f>IF(G820&lt;=D820,0,1)</f>
        <v>0</v>
      </c>
      <c r="AA820" t="str">
        <f>"機器毎に入力すると"&amp;CHAR(10)&amp;G667&amp;"、"&amp;H667&amp;"、"&amp;I667&amp;"の合計金額、"&amp;CHAR(10)&amp;G819&amp;"、"&amp;H819&amp;"が自動で表示されます。"</f>
        <v>機器毎に入力すると
補助事業に要する経費、スキャンツールの価格、情報端末価格の合計金額、
補助対象経費、補助金の額が自動で表示されます。</v>
      </c>
      <c r="AB820" t="str">
        <f t="shared" ref="AB820" si="252">$G$667&amp;"が"&amp;$G$819&amp;"より少なくなっています。"&amp;CHAR(10)&amp;$G$667&amp;"を"&amp;$G$819&amp;"（"&amp;$H$667&amp;"+"&amp;$L$667&amp;"）と同額にするか、多くしてください。"</f>
        <v>補助事業に要する経費が補助対象経費より少なくなっています。
補助事業に要する経費を補助対象経費（スキャンツールの価格+情報端末価格）と同額にするか、多くしてください。</v>
      </c>
    </row>
    <row r="821" spans="2:33" x14ac:dyDescent="0.15">
      <c r="B821" s="5" t="s">
        <v>473</v>
      </c>
      <c r="C821" s="4">
        <f t="shared" ref="C821:C852" si="253">IF(VALUE(MID(B821,4,2))&lt;=$G$60,1,0)</f>
        <v>0</v>
      </c>
      <c r="D821" s="35">
        <f>SUM(J671:J673)</f>
        <v>0</v>
      </c>
      <c r="E821" s="35">
        <f t="shared" ref="E821:F821" si="254">SUM(K671:K673)</f>
        <v>0</v>
      </c>
      <c r="F821" s="35">
        <f t="shared" si="254"/>
        <v>0</v>
      </c>
      <c r="G821" s="35">
        <f t="shared" ref="G821:G829" si="255">E821+F821</f>
        <v>0</v>
      </c>
      <c r="H821" s="35">
        <f t="shared" ref="H821:H829" si="256">IF(G821/3&gt;150000,150000,ROUNDDOWN(G821/3,-3))</f>
        <v>0</v>
      </c>
    </row>
    <row r="822" spans="2:33" x14ac:dyDescent="0.15">
      <c r="B822" s="5" t="s">
        <v>474</v>
      </c>
      <c r="C822" s="4">
        <f t="shared" si="253"/>
        <v>0</v>
      </c>
      <c r="D822" s="35">
        <f>SUM(J674:J676)</f>
        <v>0</v>
      </c>
      <c r="E822" s="35">
        <f t="shared" ref="E822:F822" si="257">SUM(K674:K676)</f>
        <v>0</v>
      </c>
      <c r="F822" s="35">
        <f t="shared" si="257"/>
        <v>0</v>
      </c>
      <c r="G822" s="35">
        <f t="shared" si="255"/>
        <v>0</v>
      </c>
      <c r="H822" s="35">
        <f t="shared" si="256"/>
        <v>0</v>
      </c>
    </row>
    <row r="823" spans="2:33" x14ac:dyDescent="0.15">
      <c r="B823" s="5" t="s">
        <v>475</v>
      </c>
      <c r="C823" s="4">
        <f t="shared" si="253"/>
        <v>0</v>
      </c>
      <c r="D823" s="35">
        <f>SUM(J677:J679)</f>
        <v>0</v>
      </c>
      <c r="E823" s="35">
        <f t="shared" ref="E823:F823" si="258">SUM(K677:K679)</f>
        <v>0</v>
      </c>
      <c r="F823" s="35">
        <f t="shared" si="258"/>
        <v>0</v>
      </c>
      <c r="G823" s="35">
        <f t="shared" si="255"/>
        <v>0</v>
      </c>
      <c r="H823" s="35">
        <f t="shared" si="256"/>
        <v>0</v>
      </c>
    </row>
    <row r="824" spans="2:33" x14ac:dyDescent="0.15">
      <c r="B824" s="5" t="s">
        <v>476</v>
      </c>
      <c r="C824" s="4">
        <f t="shared" si="253"/>
        <v>0</v>
      </c>
      <c r="D824" s="35">
        <f>SUM(J680:J682)</f>
        <v>0</v>
      </c>
      <c r="E824" s="35">
        <f t="shared" ref="E824:F824" si="259">SUM(K680:K682)</f>
        <v>0</v>
      </c>
      <c r="F824" s="35">
        <f t="shared" si="259"/>
        <v>0</v>
      </c>
      <c r="G824" s="35">
        <f t="shared" si="255"/>
        <v>0</v>
      </c>
      <c r="H824" s="35">
        <f t="shared" si="256"/>
        <v>0</v>
      </c>
    </row>
    <row r="825" spans="2:33" x14ac:dyDescent="0.15">
      <c r="B825" s="5" t="s">
        <v>477</v>
      </c>
      <c r="C825" s="4">
        <f t="shared" si="253"/>
        <v>0</v>
      </c>
      <c r="D825" s="35">
        <f>SUM(J683:J685)</f>
        <v>0</v>
      </c>
      <c r="E825" s="35">
        <f t="shared" ref="E825:F825" si="260">SUM(K683:K685)</f>
        <v>0</v>
      </c>
      <c r="F825" s="35">
        <f t="shared" si="260"/>
        <v>0</v>
      </c>
      <c r="G825" s="35">
        <f t="shared" si="255"/>
        <v>0</v>
      </c>
      <c r="H825" s="35">
        <f t="shared" si="256"/>
        <v>0</v>
      </c>
    </row>
    <row r="826" spans="2:33" x14ac:dyDescent="0.15">
      <c r="B826" s="5" t="s">
        <v>478</v>
      </c>
      <c r="C826" s="4">
        <f t="shared" si="253"/>
        <v>0</v>
      </c>
      <c r="D826" s="35">
        <f>SUM(J686:J688)</f>
        <v>0</v>
      </c>
      <c r="E826" s="35">
        <f t="shared" ref="E826:F826" si="261">SUM(K686:K688)</f>
        <v>0</v>
      </c>
      <c r="F826" s="35">
        <f t="shared" si="261"/>
        <v>0</v>
      </c>
      <c r="G826" s="35">
        <f t="shared" si="255"/>
        <v>0</v>
      </c>
      <c r="H826" s="35">
        <f t="shared" si="256"/>
        <v>0</v>
      </c>
    </row>
    <row r="827" spans="2:33" x14ac:dyDescent="0.15">
      <c r="B827" s="5" t="s">
        <v>479</v>
      </c>
      <c r="C827" s="4">
        <f t="shared" si="253"/>
        <v>0</v>
      </c>
      <c r="D827" s="35">
        <f>SUM(J689:J691)</f>
        <v>0</v>
      </c>
      <c r="E827" s="35">
        <f t="shared" ref="E827:F827" si="262">SUM(K689:K691)</f>
        <v>0</v>
      </c>
      <c r="F827" s="35">
        <f t="shared" si="262"/>
        <v>0</v>
      </c>
      <c r="G827" s="35">
        <f t="shared" si="255"/>
        <v>0</v>
      </c>
      <c r="H827" s="35">
        <f t="shared" si="256"/>
        <v>0</v>
      </c>
    </row>
    <row r="828" spans="2:33" x14ac:dyDescent="0.15">
      <c r="B828" s="5" t="s">
        <v>480</v>
      </c>
      <c r="C828" s="4">
        <f t="shared" si="253"/>
        <v>0</v>
      </c>
      <c r="D828" s="35">
        <f>SUM(J692:J694)</f>
        <v>0</v>
      </c>
      <c r="E828" s="35">
        <f t="shared" ref="E828:F828" si="263">SUM(K692:K694)</f>
        <v>0</v>
      </c>
      <c r="F828" s="35">
        <f t="shared" si="263"/>
        <v>0</v>
      </c>
      <c r="G828" s="35">
        <f t="shared" si="255"/>
        <v>0</v>
      </c>
      <c r="H828" s="35">
        <f t="shared" si="256"/>
        <v>0</v>
      </c>
    </row>
    <row r="829" spans="2:33" x14ac:dyDescent="0.15">
      <c r="B829" s="5" t="s">
        <v>481</v>
      </c>
      <c r="C829" s="4">
        <f t="shared" si="253"/>
        <v>0</v>
      </c>
      <c r="D829" s="35">
        <f>SUM(J695:J697)</f>
        <v>0</v>
      </c>
      <c r="E829" s="35">
        <f t="shared" ref="E829:F829" si="264">SUM(K695:K697)</f>
        <v>0</v>
      </c>
      <c r="F829" s="35">
        <f t="shared" si="264"/>
        <v>0</v>
      </c>
      <c r="G829" s="35">
        <f t="shared" si="255"/>
        <v>0</v>
      </c>
      <c r="H829" s="35">
        <f t="shared" si="256"/>
        <v>0</v>
      </c>
    </row>
    <row r="830" spans="2:33" x14ac:dyDescent="0.15">
      <c r="B830" s="5" t="s">
        <v>482</v>
      </c>
      <c r="C830" s="4">
        <f t="shared" si="253"/>
        <v>0</v>
      </c>
      <c r="D830" s="35">
        <f>SUM(J698:J700)</f>
        <v>0</v>
      </c>
      <c r="E830" s="35">
        <f t="shared" ref="E830:F830" si="265">SUM(K698:K700)</f>
        <v>0</v>
      </c>
      <c r="F830" s="35">
        <f t="shared" si="265"/>
        <v>0</v>
      </c>
      <c r="G830" s="35">
        <f t="shared" ref="G830:G850" si="266">E830+F830</f>
        <v>0</v>
      </c>
      <c r="H830" s="35">
        <f t="shared" ref="H830:H850" si="267">IF(G830/3&gt;150000,150000,ROUNDDOWN(G830/3,-3))</f>
        <v>0</v>
      </c>
    </row>
    <row r="831" spans="2:33" x14ac:dyDescent="0.15">
      <c r="B831" s="5" t="s">
        <v>483</v>
      </c>
      <c r="C831" s="4">
        <f t="shared" si="253"/>
        <v>0</v>
      </c>
      <c r="D831" s="35">
        <f>SUM(J701:J703)</f>
        <v>0</v>
      </c>
      <c r="E831" s="35">
        <f t="shared" ref="E831:F831" si="268">SUM(K701:K703)</f>
        <v>0</v>
      </c>
      <c r="F831" s="35">
        <f t="shared" si="268"/>
        <v>0</v>
      </c>
      <c r="G831" s="35">
        <f t="shared" si="266"/>
        <v>0</v>
      </c>
      <c r="H831" s="35">
        <f t="shared" si="267"/>
        <v>0</v>
      </c>
    </row>
    <row r="832" spans="2:33" x14ac:dyDescent="0.15">
      <c r="B832" s="5" t="s">
        <v>484</v>
      </c>
      <c r="C832" s="4">
        <f t="shared" si="253"/>
        <v>0</v>
      </c>
      <c r="D832" s="35">
        <f>SUM(J704:J706)</f>
        <v>0</v>
      </c>
      <c r="E832" s="35">
        <f t="shared" ref="E832:F832" si="269">SUM(K704:K706)</f>
        <v>0</v>
      </c>
      <c r="F832" s="35">
        <f t="shared" si="269"/>
        <v>0</v>
      </c>
      <c r="G832" s="35">
        <f t="shared" si="266"/>
        <v>0</v>
      </c>
      <c r="H832" s="35">
        <f t="shared" si="267"/>
        <v>0</v>
      </c>
    </row>
    <row r="833" spans="2:8" x14ac:dyDescent="0.15">
      <c r="B833" s="5" t="s">
        <v>485</v>
      </c>
      <c r="C833" s="4">
        <f t="shared" si="253"/>
        <v>0</v>
      </c>
      <c r="D833" s="35">
        <f>SUM(J707:J709)</f>
        <v>0</v>
      </c>
      <c r="E833" s="35">
        <f t="shared" ref="E833:F833" si="270">SUM(K707:K709)</f>
        <v>0</v>
      </c>
      <c r="F833" s="35">
        <f t="shared" si="270"/>
        <v>0</v>
      </c>
      <c r="G833" s="35">
        <f t="shared" si="266"/>
        <v>0</v>
      </c>
      <c r="H833" s="35">
        <f t="shared" si="267"/>
        <v>0</v>
      </c>
    </row>
    <row r="834" spans="2:8" x14ac:dyDescent="0.15">
      <c r="B834" s="5" t="s">
        <v>486</v>
      </c>
      <c r="C834" s="4">
        <f t="shared" si="253"/>
        <v>0</v>
      </c>
      <c r="D834" s="35">
        <f>SUM(J710:J712)</f>
        <v>0</v>
      </c>
      <c r="E834" s="35">
        <f t="shared" ref="E834:F834" si="271">SUM(K710:K712)</f>
        <v>0</v>
      </c>
      <c r="F834" s="35">
        <f t="shared" si="271"/>
        <v>0</v>
      </c>
      <c r="G834" s="35">
        <f t="shared" si="266"/>
        <v>0</v>
      </c>
      <c r="H834" s="35">
        <f t="shared" si="267"/>
        <v>0</v>
      </c>
    </row>
    <row r="835" spans="2:8" x14ac:dyDescent="0.15">
      <c r="B835" s="5" t="s">
        <v>487</v>
      </c>
      <c r="C835" s="4">
        <f t="shared" si="253"/>
        <v>0</v>
      </c>
      <c r="D835" s="35">
        <f>SUM(J713:J715)</f>
        <v>0</v>
      </c>
      <c r="E835" s="35">
        <f t="shared" ref="E835:F835" si="272">SUM(K713:K715)</f>
        <v>0</v>
      </c>
      <c r="F835" s="35">
        <f t="shared" si="272"/>
        <v>0</v>
      </c>
      <c r="G835" s="35">
        <f t="shared" si="266"/>
        <v>0</v>
      </c>
      <c r="H835" s="35">
        <f t="shared" si="267"/>
        <v>0</v>
      </c>
    </row>
    <row r="836" spans="2:8" x14ac:dyDescent="0.15">
      <c r="B836" s="5" t="s">
        <v>488</v>
      </c>
      <c r="C836" s="4">
        <f t="shared" si="253"/>
        <v>0</v>
      </c>
      <c r="D836" s="35">
        <f>SUM(J716:J718)</f>
        <v>0</v>
      </c>
      <c r="E836" s="35">
        <f t="shared" ref="E836:F836" si="273">SUM(K716:K718)</f>
        <v>0</v>
      </c>
      <c r="F836" s="35">
        <f t="shared" si="273"/>
        <v>0</v>
      </c>
      <c r="G836" s="35">
        <f t="shared" si="266"/>
        <v>0</v>
      </c>
      <c r="H836" s="35">
        <f t="shared" si="267"/>
        <v>0</v>
      </c>
    </row>
    <row r="837" spans="2:8" x14ac:dyDescent="0.15">
      <c r="B837" s="5" t="s">
        <v>489</v>
      </c>
      <c r="C837" s="4">
        <f t="shared" si="253"/>
        <v>0</v>
      </c>
      <c r="D837" s="35">
        <f>SUM(J719:J721)</f>
        <v>0</v>
      </c>
      <c r="E837" s="35">
        <f t="shared" ref="E837:F837" si="274">SUM(K719:K721)</f>
        <v>0</v>
      </c>
      <c r="F837" s="35">
        <f t="shared" si="274"/>
        <v>0</v>
      </c>
      <c r="G837" s="35">
        <f t="shared" si="266"/>
        <v>0</v>
      </c>
      <c r="H837" s="35">
        <f t="shared" si="267"/>
        <v>0</v>
      </c>
    </row>
    <row r="838" spans="2:8" x14ac:dyDescent="0.15">
      <c r="B838" s="5" t="s">
        <v>490</v>
      </c>
      <c r="C838" s="4">
        <f t="shared" si="253"/>
        <v>0</v>
      </c>
      <c r="D838" s="35">
        <f>SUM(J722:J724)</f>
        <v>0</v>
      </c>
      <c r="E838" s="35">
        <f t="shared" ref="E838:F838" si="275">SUM(K722:K724)</f>
        <v>0</v>
      </c>
      <c r="F838" s="35">
        <f t="shared" si="275"/>
        <v>0</v>
      </c>
      <c r="G838" s="35">
        <f t="shared" si="266"/>
        <v>0</v>
      </c>
      <c r="H838" s="35">
        <f t="shared" si="267"/>
        <v>0</v>
      </c>
    </row>
    <row r="839" spans="2:8" x14ac:dyDescent="0.15">
      <c r="B839" s="5" t="s">
        <v>491</v>
      </c>
      <c r="C839" s="4">
        <f t="shared" si="253"/>
        <v>0</v>
      </c>
      <c r="D839" s="35">
        <f>SUM(J725:J727)</f>
        <v>0</v>
      </c>
      <c r="E839" s="35">
        <f t="shared" ref="E839:F839" si="276">SUM(K725:K727)</f>
        <v>0</v>
      </c>
      <c r="F839" s="35">
        <f t="shared" si="276"/>
        <v>0</v>
      </c>
      <c r="G839" s="35">
        <f t="shared" si="266"/>
        <v>0</v>
      </c>
      <c r="H839" s="35">
        <f t="shared" si="267"/>
        <v>0</v>
      </c>
    </row>
    <row r="840" spans="2:8" x14ac:dyDescent="0.15">
      <c r="B840" s="5" t="s">
        <v>492</v>
      </c>
      <c r="C840" s="4">
        <f t="shared" si="253"/>
        <v>0</v>
      </c>
      <c r="D840" s="35">
        <f>SUM(J728:J730)</f>
        <v>0</v>
      </c>
      <c r="E840" s="35">
        <f t="shared" ref="E840:F840" si="277">SUM(K728:K730)</f>
        <v>0</v>
      </c>
      <c r="F840" s="35">
        <f t="shared" si="277"/>
        <v>0</v>
      </c>
      <c r="G840" s="35">
        <f t="shared" si="266"/>
        <v>0</v>
      </c>
      <c r="H840" s="35">
        <f t="shared" si="267"/>
        <v>0</v>
      </c>
    </row>
    <row r="841" spans="2:8" x14ac:dyDescent="0.15">
      <c r="B841" s="5" t="s">
        <v>493</v>
      </c>
      <c r="C841" s="4">
        <f t="shared" si="253"/>
        <v>0</v>
      </c>
      <c r="D841" s="35">
        <f>SUM(J731:J733)</f>
        <v>0</v>
      </c>
      <c r="E841" s="35">
        <f t="shared" ref="E841:F841" si="278">SUM(K731:K733)</f>
        <v>0</v>
      </c>
      <c r="F841" s="35">
        <f t="shared" si="278"/>
        <v>0</v>
      </c>
      <c r="G841" s="35">
        <f t="shared" si="266"/>
        <v>0</v>
      </c>
      <c r="H841" s="35">
        <f t="shared" si="267"/>
        <v>0</v>
      </c>
    </row>
    <row r="842" spans="2:8" x14ac:dyDescent="0.15">
      <c r="B842" s="5" t="s">
        <v>494</v>
      </c>
      <c r="C842" s="4">
        <f t="shared" si="253"/>
        <v>0</v>
      </c>
      <c r="D842" s="35">
        <f>SUM(J734:J736)</f>
        <v>0</v>
      </c>
      <c r="E842" s="35">
        <f t="shared" ref="E842:F842" si="279">SUM(K734:K736)</f>
        <v>0</v>
      </c>
      <c r="F842" s="35">
        <f t="shared" si="279"/>
        <v>0</v>
      </c>
      <c r="G842" s="35">
        <f t="shared" si="266"/>
        <v>0</v>
      </c>
      <c r="H842" s="35">
        <f t="shared" si="267"/>
        <v>0</v>
      </c>
    </row>
    <row r="843" spans="2:8" x14ac:dyDescent="0.15">
      <c r="B843" s="5" t="s">
        <v>495</v>
      </c>
      <c r="C843" s="4">
        <f t="shared" si="253"/>
        <v>0</v>
      </c>
      <c r="D843" s="35">
        <f>SUM(J737:J739)</f>
        <v>0</v>
      </c>
      <c r="E843" s="35">
        <f t="shared" ref="E843:F843" si="280">SUM(K737:K739)</f>
        <v>0</v>
      </c>
      <c r="F843" s="35">
        <f t="shared" si="280"/>
        <v>0</v>
      </c>
      <c r="G843" s="35">
        <f t="shared" si="266"/>
        <v>0</v>
      </c>
      <c r="H843" s="35">
        <f t="shared" si="267"/>
        <v>0</v>
      </c>
    </row>
    <row r="844" spans="2:8" x14ac:dyDescent="0.15">
      <c r="B844" s="5" t="s">
        <v>496</v>
      </c>
      <c r="C844" s="4">
        <f t="shared" si="253"/>
        <v>0</v>
      </c>
      <c r="D844" s="35">
        <f>SUM(J740:J742)</f>
        <v>0</v>
      </c>
      <c r="E844" s="35">
        <f t="shared" ref="E844:F844" si="281">SUM(K740:K742)</f>
        <v>0</v>
      </c>
      <c r="F844" s="35">
        <f t="shared" si="281"/>
        <v>0</v>
      </c>
      <c r="G844" s="35">
        <f t="shared" si="266"/>
        <v>0</v>
      </c>
      <c r="H844" s="35">
        <f t="shared" si="267"/>
        <v>0</v>
      </c>
    </row>
    <row r="845" spans="2:8" x14ac:dyDescent="0.15">
      <c r="B845" s="5" t="s">
        <v>497</v>
      </c>
      <c r="C845" s="4">
        <f t="shared" si="253"/>
        <v>0</v>
      </c>
      <c r="D845" s="35">
        <f>SUM(J743:J745)</f>
        <v>0</v>
      </c>
      <c r="E845" s="35">
        <f t="shared" ref="E845:F845" si="282">SUM(K743:K745)</f>
        <v>0</v>
      </c>
      <c r="F845" s="35">
        <f t="shared" si="282"/>
        <v>0</v>
      </c>
      <c r="G845" s="35">
        <f t="shared" si="266"/>
        <v>0</v>
      </c>
      <c r="H845" s="35">
        <f t="shared" si="267"/>
        <v>0</v>
      </c>
    </row>
    <row r="846" spans="2:8" x14ac:dyDescent="0.15">
      <c r="B846" s="5" t="s">
        <v>498</v>
      </c>
      <c r="C846" s="4">
        <f t="shared" si="253"/>
        <v>0</v>
      </c>
      <c r="D846" s="35">
        <f>SUM(J746:J748)</f>
        <v>0</v>
      </c>
      <c r="E846" s="35">
        <f t="shared" ref="E846:F846" si="283">SUM(K746:K748)</f>
        <v>0</v>
      </c>
      <c r="F846" s="35">
        <f t="shared" si="283"/>
        <v>0</v>
      </c>
      <c r="G846" s="35">
        <f t="shared" si="266"/>
        <v>0</v>
      </c>
      <c r="H846" s="35">
        <f t="shared" si="267"/>
        <v>0</v>
      </c>
    </row>
    <row r="847" spans="2:8" x14ac:dyDescent="0.15">
      <c r="B847" s="5" t="s">
        <v>499</v>
      </c>
      <c r="C847" s="4">
        <f t="shared" si="253"/>
        <v>0</v>
      </c>
      <c r="D847" s="35">
        <f>SUM(J749:J751)</f>
        <v>0</v>
      </c>
      <c r="E847" s="35">
        <f t="shared" ref="E847:F847" si="284">SUM(K749:K751)</f>
        <v>0</v>
      </c>
      <c r="F847" s="35">
        <f t="shared" si="284"/>
        <v>0</v>
      </c>
      <c r="G847" s="35">
        <f t="shared" si="266"/>
        <v>0</v>
      </c>
      <c r="H847" s="35">
        <f t="shared" si="267"/>
        <v>0</v>
      </c>
    </row>
    <row r="848" spans="2:8" x14ac:dyDescent="0.15">
      <c r="B848" s="5" t="s">
        <v>500</v>
      </c>
      <c r="C848" s="4">
        <f t="shared" si="253"/>
        <v>0</v>
      </c>
      <c r="D848" s="35">
        <f>SUM(J752:J754)</f>
        <v>0</v>
      </c>
      <c r="E848" s="35">
        <f t="shared" ref="E848:F848" si="285">SUM(K752:K754)</f>
        <v>0</v>
      </c>
      <c r="F848" s="35">
        <f t="shared" si="285"/>
        <v>0</v>
      </c>
      <c r="G848" s="35">
        <f t="shared" si="266"/>
        <v>0</v>
      </c>
      <c r="H848" s="35">
        <f t="shared" si="267"/>
        <v>0</v>
      </c>
    </row>
    <row r="849" spans="2:8" x14ac:dyDescent="0.15">
      <c r="B849" s="5" t="s">
        <v>501</v>
      </c>
      <c r="C849" s="4">
        <f t="shared" si="253"/>
        <v>0</v>
      </c>
      <c r="D849" s="35">
        <f>SUM(J755:J757)</f>
        <v>0</v>
      </c>
      <c r="E849" s="35">
        <f t="shared" ref="E849:F849" si="286">SUM(K755:K757)</f>
        <v>0</v>
      </c>
      <c r="F849" s="35">
        <f t="shared" si="286"/>
        <v>0</v>
      </c>
      <c r="G849" s="35">
        <f t="shared" si="266"/>
        <v>0</v>
      </c>
      <c r="H849" s="35">
        <f t="shared" si="267"/>
        <v>0</v>
      </c>
    </row>
    <row r="850" spans="2:8" x14ac:dyDescent="0.15">
      <c r="B850" s="5" t="s">
        <v>502</v>
      </c>
      <c r="C850" s="4">
        <f t="shared" si="253"/>
        <v>0</v>
      </c>
      <c r="D850" s="35">
        <f>SUM(J758:J760)</f>
        <v>0</v>
      </c>
      <c r="E850" s="35">
        <f t="shared" ref="E850:F850" si="287">SUM(K758:K760)</f>
        <v>0</v>
      </c>
      <c r="F850" s="35">
        <f t="shared" si="287"/>
        <v>0</v>
      </c>
      <c r="G850" s="35">
        <f t="shared" si="266"/>
        <v>0</v>
      </c>
      <c r="H850" s="35">
        <f t="shared" si="267"/>
        <v>0</v>
      </c>
    </row>
    <row r="851" spans="2:8" x14ac:dyDescent="0.15">
      <c r="B851" s="5" t="s">
        <v>503</v>
      </c>
      <c r="C851" s="4">
        <f t="shared" si="253"/>
        <v>0</v>
      </c>
      <c r="D851" s="35">
        <f>SUM(J761:J763)</f>
        <v>0</v>
      </c>
      <c r="E851" s="35">
        <f t="shared" ref="E851:F851" si="288">SUM(K761:K763)</f>
        <v>0</v>
      </c>
      <c r="F851" s="35">
        <f t="shared" si="288"/>
        <v>0</v>
      </c>
      <c r="G851" s="35">
        <f t="shared" ref="G851:G869" si="289">E851+F851</f>
        <v>0</v>
      </c>
      <c r="H851" s="35">
        <f t="shared" ref="H851:H869" si="290">IF(G851/3&gt;150000,150000,ROUNDDOWN(G851/3,-3))</f>
        <v>0</v>
      </c>
    </row>
    <row r="852" spans="2:8" x14ac:dyDescent="0.15">
      <c r="B852" s="5" t="s">
        <v>504</v>
      </c>
      <c r="C852" s="4">
        <f t="shared" si="253"/>
        <v>0</v>
      </c>
      <c r="D852" s="35">
        <f>SUM(J764:J766)</f>
        <v>0</v>
      </c>
      <c r="E852" s="35">
        <f t="shared" ref="E852:F852" si="291">SUM(K764:K766)</f>
        <v>0</v>
      </c>
      <c r="F852" s="35">
        <f t="shared" si="291"/>
        <v>0</v>
      </c>
      <c r="G852" s="35">
        <f t="shared" si="289"/>
        <v>0</v>
      </c>
      <c r="H852" s="35">
        <f t="shared" si="290"/>
        <v>0</v>
      </c>
    </row>
    <row r="853" spans="2:8" x14ac:dyDescent="0.15">
      <c r="B853" s="5" t="s">
        <v>505</v>
      </c>
      <c r="C853" s="4">
        <f t="shared" ref="C853:C869" si="292">IF(VALUE(MID(B853,4,2))&lt;=$G$60,1,0)</f>
        <v>0</v>
      </c>
      <c r="D853" s="35">
        <f>SUM(J767:J769)</f>
        <v>0</v>
      </c>
      <c r="E853" s="35">
        <f t="shared" ref="E853:F853" si="293">SUM(K767:K769)</f>
        <v>0</v>
      </c>
      <c r="F853" s="35">
        <f t="shared" si="293"/>
        <v>0</v>
      </c>
      <c r="G853" s="35">
        <f t="shared" si="289"/>
        <v>0</v>
      </c>
      <c r="H853" s="35">
        <f t="shared" si="290"/>
        <v>0</v>
      </c>
    </row>
    <row r="854" spans="2:8" x14ac:dyDescent="0.15">
      <c r="B854" s="5" t="s">
        <v>506</v>
      </c>
      <c r="C854" s="4">
        <f t="shared" si="292"/>
        <v>0</v>
      </c>
      <c r="D854" s="35">
        <f>SUM(J770:J772)</f>
        <v>0</v>
      </c>
      <c r="E854" s="35">
        <f t="shared" ref="E854:F854" si="294">SUM(K770:K772)</f>
        <v>0</v>
      </c>
      <c r="F854" s="35">
        <f t="shared" si="294"/>
        <v>0</v>
      </c>
      <c r="G854" s="35">
        <f t="shared" si="289"/>
        <v>0</v>
      </c>
      <c r="H854" s="35">
        <f t="shared" si="290"/>
        <v>0</v>
      </c>
    </row>
    <row r="855" spans="2:8" x14ac:dyDescent="0.15">
      <c r="B855" s="5" t="s">
        <v>507</v>
      </c>
      <c r="C855" s="4">
        <f t="shared" si="292"/>
        <v>0</v>
      </c>
      <c r="D855" s="35">
        <f>SUM(J773:J775)</f>
        <v>0</v>
      </c>
      <c r="E855" s="35">
        <f t="shared" ref="E855:F855" si="295">SUM(K773:K775)</f>
        <v>0</v>
      </c>
      <c r="F855" s="35">
        <f t="shared" si="295"/>
        <v>0</v>
      </c>
      <c r="G855" s="35">
        <f t="shared" si="289"/>
        <v>0</v>
      </c>
      <c r="H855" s="35">
        <f t="shared" si="290"/>
        <v>0</v>
      </c>
    </row>
    <row r="856" spans="2:8" x14ac:dyDescent="0.15">
      <c r="B856" s="5" t="s">
        <v>508</v>
      </c>
      <c r="C856" s="4">
        <f t="shared" si="292"/>
        <v>0</v>
      </c>
      <c r="D856" s="35">
        <f>SUM(J776:J778)</f>
        <v>0</v>
      </c>
      <c r="E856" s="35">
        <f t="shared" ref="E856:F856" si="296">SUM(K776:K778)</f>
        <v>0</v>
      </c>
      <c r="F856" s="35">
        <f t="shared" si="296"/>
        <v>0</v>
      </c>
      <c r="G856" s="35">
        <f t="shared" si="289"/>
        <v>0</v>
      </c>
      <c r="H856" s="35">
        <f t="shared" si="290"/>
        <v>0</v>
      </c>
    </row>
    <row r="857" spans="2:8" x14ac:dyDescent="0.15">
      <c r="B857" s="5" t="s">
        <v>509</v>
      </c>
      <c r="C857" s="4">
        <f t="shared" si="292"/>
        <v>0</v>
      </c>
      <c r="D857" s="35">
        <f>SUM(J779:J781)</f>
        <v>0</v>
      </c>
      <c r="E857" s="35">
        <f t="shared" ref="E857:F857" si="297">SUM(K779:K781)</f>
        <v>0</v>
      </c>
      <c r="F857" s="35">
        <f t="shared" si="297"/>
        <v>0</v>
      </c>
      <c r="G857" s="35">
        <f t="shared" si="289"/>
        <v>0</v>
      </c>
      <c r="H857" s="35">
        <f t="shared" si="290"/>
        <v>0</v>
      </c>
    </row>
    <row r="858" spans="2:8" x14ac:dyDescent="0.15">
      <c r="B858" s="5" t="s">
        <v>510</v>
      </c>
      <c r="C858" s="4">
        <f t="shared" si="292"/>
        <v>0</v>
      </c>
      <c r="D858" s="35">
        <f>SUM(J782:J784)</f>
        <v>0</v>
      </c>
      <c r="E858" s="35">
        <f t="shared" ref="E858:F858" si="298">SUM(K782:K784)</f>
        <v>0</v>
      </c>
      <c r="F858" s="35">
        <f t="shared" si="298"/>
        <v>0</v>
      </c>
      <c r="G858" s="35">
        <f t="shared" si="289"/>
        <v>0</v>
      </c>
      <c r="H858" s="35">
        <f t="shared" si="290"/>
        <v>0</v>
      </c>
    </row>
    <row r="859" spans="2:8" x14ac:dyDescent="0.15">
      <c r="B859" s="5" t="s">
        <v>511</v>
      </c>
      <c r="C859" s="4">
        <f t="shared" si="292"/>
        <v>0</v>
      </c>
      <c r="D859" s="35">
        <f>SUM(J785:J787)</f>
        <v>0</v>
      </c>
      <c r="E859" s="35">
        <f t="shared" ref="E859:F859" si="299">SUM(K785:K787)</f>
        <v>0</v>
      </c>
      <c r="F859" s="35">
        <f t="shared" si="299"/>
        <v>0</v>
      </c>
      <c r="G859" s="35">
        <f t="shared" si="289"/>
        <v>0</v>
      </c>
      <c r="H859" s="35">
        <f t="shared" si="290"/>
        <v>0</v>
      </c>
    </row>
    <row r="860" spans="2:8" x14ac:dyDescent="0.15">
      <c r="B860" s="5" t="s">
        <v>512</v>
      </c>
      <c r="C860" s="4">
        <f t="shared" si="292"/>
        <v>0</v>
      </c>
      <c r="D860" s="35">
        <f>SUM(J788:J790)</f>
        <v>0</v>
      </c>
      <c r="E860" s="35">
        <f t="shared" ref="E860:F860" si="300">SUM(K788:K790)</f>
        <v>0</v>
      </c>
      <c r="F860" s="35">
        <f t="shared" si="300"/>
        <v>0</v>
      </c>
      <c r="G860" s="35">
        <f t="shared" si="289"/>
        <v>0</v>
      </c>
      <c r="H860" s="35">
        <f t="shared" si="290"/>
        <v>0</v>
      </c>
    </row>
    <row r="861" spans="2:8" x14ac:dyDescent="0.15">
      <c r="B861" s="5" t="s">
        <v>513</v>
      </c>
      <c r="C861" s="4">
        <f t="shared" si="292"/>
        <v>0</v>
      </c>
      <c r="D861" s="35">
        <f>SUM(J791:J793)</f>
        <v>0</v>
      </c>
      <c r="E861" s="35">
        <f t="shared" ref="E861:F861" si="301">SUM(K791:K793)</f>
        <v>0</v>
      </c>
      <c r="F861" s="35">
        <f t="shared" si="301"/>
        <v>0</v>
      </c>
      <c r="G861" s="35">
        <f t="shared" si="289"/>
        <v>0</v>
      </c>
      <c r="H861" s="35">
        <f t="shared" si="290"/>
        <v>0</v>
      </c>
    </row>
    <row r="862" spans="2:8" x14ac:dyDescent="0.15">
      <c r="B862" s="5" t="s">
        <v>514</v>
      </c>
      <c r="C862" s="4">
        <f t="shared" si="292"/>
        <v>0</v>
      </c>
      <c r="D862" s="35">
        <f>SUM(J794:J796)</f>
        <v>0</v>
      </c>
      <c r="E862" s="35">
        <f t="shared" ref="E862:F862" si="302">SUM(K794:K796)</f>
        <v>0</v>
      </c>
      <c r="F862" s="35">
        <f t="shared" si="302"/>
        <v>0</v>
      </c>
      <c r="G862" s="35">
        <f t="shared" si="289"/>
        <v>0</v>
      </c>
      <c r="H862" s="35">
        <f t="shared" si="290"/>
        <v>0</v>
      </c>
    </row>
    <row r="863" spans="2:8" x14ac:dyDescent="0.15">
      <c r="B863" s="5" t="s">
        <v>515</v>
      </c>
      <c r="C863" s="4">
        <f t="shared" si="292"/>
        <v>0</v>
      </c>
      <c r="D863" s="35">
        <f>SUM(J797:J799)</f>
        <v>0</v>
      </c>
      <c r="E863" s="35">
        <f t="shared" ref="E863:F863" si="303">SUM(K797:K799)</f>
        <v>0</v>
      </c>
      <c r="F863" s="35">
        <f t="shared" si="303"/>
        <v>0</v>
      </c>
      <c r="G863" s="35">
        <f t="shared" si="289"/>
        <v>0</v>
      </c>
      <c r="H863" s="35">
        <f t="shared" si="290"/>
        <v>0</v>
      </c>
    </row>
    <row r="864" spans="2:8" x14ac:dyDescent="0.15">
      <c r="B864" s="5" t="s">
        <v>516</v>
      </c>
      <c r="C864" s="4">
        <f t="shared" si="292"/>
        <v>0</v>
      </c>
      <c r="D864" s="35">
        <f>SUM(J800:J802)</f>
        <v>0</v>
      </c>
      <c r="E864" s="35">
        <f t="shared" ref="E864:F864" si="304">SUM(K800:K802)</f>
        <v>0</v>
      </c>
      <c r="F864" s="35">
        <f t="shared" si="304"/>
        <v>0</v>
      </c>
      <c r="G864" s="35">
        <f t="shared" si="289"/>
        <v>0</v>
      </c>
      <c r="H864" s="35">
        <f t="shared" si="290"/>
        <v>0</v>
      </c>
    </row>
    <row r="865" spans="2:8" x14ac:dyDescent="0.15">
      <c r="B865" s="5" t="s">
        <v>517</v>
      </c>
      <c r="C865" s="4">
        <f t="shared" si="292"/>
        <v>0</v>
      </c>
      <c r="D865" s="35">
        <f>SUM(J803:J805)</f>
        <v>0</v>
      </c>
      <c r="E865" s="35">
        <f t="shared" ref="E865:F865" si="305">SUM(K803:K805)</f>
        <v>0</v>
      </c>
      <c r="F865" s="35">
        <f t="shared" si="305"/>
        <v>0</v>
      </c>
      <c r="G865" s="35">
        <f t="shared" si="289"/>
        <v>0</v>
      </c>
      <c r="H865" s="35">
        <f t="shared" si="290"/>
        <v>0</v>
      </c>
    </row>
    <row r="866" spans="2:8" x14ac:dyDescent="0.15">
      <c r="B866" s="5" t="s">
        <v>518</v>
      </c>
      <c r="C866" s="4">
        <f t="shared" si="292"/>
        <v>0</v>
      </c>
      <c r="D866" s="35">
        <f>SUM(J806:J808)</f>
        <v>0</v>
      </c>
      <c r="E866" s="35">
        <f t="shared" ref="E866:F866" si="306">SUM(K806:K808)</f>
        <v>0</v>
      </c>
      <c r="F866" s="35">
        <f t="shared" si="306"/>
        <v>0</v>
      </c>
      <c r="G866" s="35">
        <f t="shared" si="289"/>
        <v>0</v>
      </c>
      <c r="H866" s="35">
        <f t="shared" si="290"/>
        <v>0</v>
      </c>
    </row>
    <row r="867" spans="2:8" x14ac:dyDescent="0.15">
      <c r="B867" s="5" t="s">
        <v>519</v>
      </c>
      <c r="C867" s="4">
        <f t="shared" si="292"/>
        <v>0</v>
      </c>
      <c r="D867" s="35">
        <f>SUM(J809:J811)</f>
        <v>0</v>
      </c>
      <c r="E867" s="35">
        <f t="shared" ref="E867:F867" si="307">SUM(K809:K811)</f>
        <v>0</v>
      </c>
      <c r="F867" s="35">
        <f t="shared" si="307"/>
        <v>0</v>
      </c>
      <c r="G867" s="35">
        <f t="shared" si="289"/>
        <v>0</v>
      </c>
      <c r="H867" s="35">
        <f t="shared" si="290"/>
        <v>0</v>
      </c>
    </row>
    <row r="868" spans="2:8" x14ac:dyDescent="0.15">
      <c r="B868" s="5" t="s">
        <v>520</v>
      </c>
      <c r="C868" s="4">
        <f t="shared" si="292"/>
        <v>0</v>
      </c>
      <c r="D868" s="35">
        <f>SUM(J812:J814)</f>
        <v>0</v>
      </c>
      <c r="E868" s="35">
        <f t="shared" ref="E868:F868" si="308">SUM(K812:K814)</f>
        <v>0</v>
      </c>
      <c r="F868" s="35">
        <f t="shared" si="308"/>
        <v>0</v>
      </c>
      <c r="G868" s="35">
        <f t="shared" si="289"/>
        <v>0</v>
      </c>
      <c r="H868" s="35">
        <f t="shared" si="290"/>
        <v>0</v>
      </c>
    </row>
    <row r="869" spans="2:8" x14ac:dyDescent="0.15">
      <c r="B869" s="5" t="s">
        <v>521</v>
      </c>
      <c r="C869" s="4">
        <f t="shared" si="292"/>
        <v>0</v>
      </c>
      <c r="D869" s="35">
        <f>SUM(J815:J817)</f>
        <v>0</v>
      </c>
      <c r="E869" s="35">
        <f t="shared" ref="E869:F869" si="309">SUM(K815:K817)</f>
        <v>0</v>
      </c>
      <c r="F869" s="35">
        <f t="shared" si="309"/>
        <v>0</v>
      </c>
      <c r="G869" s="35">
        <f t="shared" si="289"/>
        <v>0</v>
      </c>
      <c r="H869" s="35">
        <f t="shared" si="290"/>
        <v>0</v>
      </c>
    </row>
  </sheetData>
  <phoneticPr fontId="5"/>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FB82D-6788-4266-A415-7E7FD515B9BF}">
  <sheetPr codeName="Sheet2">
    <tabColor theme="1"/>
  </sheetPr>
  <dimension ref="A1:Y63"/>
  <sheetViews>
    <sheetView workbookViewId="0">
      <selection activeCell="W3" sqref="W3"/>
    </sheetView>
  </sheetViews>
  <sheetFormatPr defaultRowHeight="13.5" x14ac:dyDescent="0.15"/>
  <cols>
    <col min="2" max="2" width="4.375" customWidth="1"/>
    <col min="4" max="4" width="4.375" customWidth="1"/>
    <col min="5" max="5" width="9" customWidth="1"/>
    <col min="6" max="6" width="4.375" customWidth="1"/>
    <col min="7" max="7" width="9" customWidth="1"/>
    <col min="8" max="8" width="4.375" customWidth="1"/>
    <col min="10" max="10" width="4.375" customWidth="1"/>
    <col min="11" max="11" width="13" customWidth="1"/>
    <col min="12" max="12" width="4.375" customWidth="1"/>
    <col min="13" max="13" width="18.125" customWidth="1"/>
    <col min="14" max="14" width="4.375" customWidth="1"/>
    <col min="15" max="15" width="18.125" customWidth="1"/>
    <col min="16" max="16" width="4.375" customWidth="1"/>
    <col min="17" max="17" width="17.625" customWidth="1"/>
    <col min="18" max="18" width="4.375" customWidth="1"/>
    <col min="19" max="19" width="18.75" customWidth="1"/>
    <col min="20" max="20" width="4.375" customWidth="1"/>
    <col min="22" max="22" width="4.375" customWidth="1"/>
    <col min="24" max="24" width="4.375" customWidth="1"/>
  </cols>
  <sheetData>
    <row r="1" spans="1:25" s="2" customFormat="1" x14ac:dyDescent="0.15">
      <c r="A1" s="2" t="s">
        <v>522</v>
      </c>
      <c r="C1" s="2" t="s">
        <v>523</v>
      </c>
      <c r="E1" s="2" t="s">
        <v>524</v>
      </c>
      <c r="G1" s="2" t="s">
        <v>525</v>
      </c>
      <c r="I1" s="2" t="s">
        <v>526</v>
      </c>
      <c r="K1" s="2" t="s">
        <v>527</v>
      </c>
      <c r="M1" s="2" t="s">
        <v>528</v>
      </c>
      <c r="O1" s="2" t="s">
        <v>529</v>
      </c>
      <c r="Q1" s="2" t="s">
        <v>530</v>
      </c>
      <c r="S1" s="2" t="s">
        <v>531</v>
      </c>
      <c r="U1" s="2" t="s">
        <v>532</v>
      </c>
      <c r="W1" s="2" t="s">
        <v>211</v>
      </c>
      <c r="Y1" s="2" t="s">
        <v>533</v>
      </c>
    </row>
    <row r="2" spans="1:25" x14ac:dyDescent="0.15">
      <c r="A2" t="s">
        <v>534</v>
      </c>
      <c r="C2" t="s">
        <v>535</v>
      </c>
      <c r="E2" t="s">
        <v>536</v>
      </c>
      <c r="G2" t="s">
        <v>537</v>
      </c>
      <c r="I2" t="s">
        <v>538</v>
      </c>
      <c r="K2" t="s">
        <v>539</v>
      </c>
      <c r="M2" t="s">
        <v>540</v>
      </c>
      <c r="O2" t="s">
        <v>541</v>
      </c>
      <c r="Q2" t="s">
        <v>542</v>
      </c>
      <c r="S2" t="s">
        <v>541</v>
      </c>
      <c r="U2">
        <v>1</v>
      </c>
      <c r="W2" t="s">
        <v>543</v>
      </c>
      <c r="Y2" t="s">
        <v>544</v>
      </c>
    </row>
    <row r="3" spans="1:25" x14ac:dyDescent="0.15">
      <c r="A3" t="s">
        <v>545</v>
      </c>
      <c r="C3" t="s">
        <v>546</v>
      </c>
      <c r="E3" t="s">
        <v>547</v>
      </c>
      <c r="G3" t="s">
        <v>548</v>
      </c>
      <c r="I3" t="s">
        <v>549</v>
      </c>
      <c r="K3" t="s">
        <v>550</v>
      </c>
      <c r="M3" t="s">
        <v>551</v>
      </c>
      <c r="O3" t="s">
        <v>119</v>
      </c>
      <c r="Q3" t="s">
        <v>552</v>
      </c>
      <c r="S3" t="s">
        <v>553</v>
      </c>
      <c r="U3">
        <v>2</v>
      </c>
      <c r="W3" t="s">
        <v>554</v>
      </c>
      <c r="Y3" t="s">
        <v>555</v>
      </c>
    </row>
    <row r="4" spans="1:25" x14ac:dyDescent="0.15">
      <c r="C4" t="s">
        <v>556</v>
      </c>
      <c r="E4" t="s">
        <v>557</v>
      </c>
      <c r="K4" t="s">
        <v>558</v>
      </c>
      <c r="M4" t="s">
        <v>559</v>
      </c>
      <c r="Q4" t="s">
        <v>119</v>
      </c>
      <c r="S4" t="s">
        <v>119</v>
      </c>
      <c r="U4">
        <v>3</v>
      </c>
    </row>
    <row r="5" spans="1:25" x14ac:dyDescent="0.15">
      <c r="C5" t="s">
        <v>560</v>
      </c>
      <c r="E5" t="s">
        <v>561</v>
      </c>
      <c r="K5" t="s">
        <v>562</v>
      </c>
      <c r="M5" t="s">
        <v>563</v>
      </c>
      <c r="U5">
        <v>4</v>
      </c>
    </row>
    <row r="6" spans="1:25" x14ac:dyDescent="0.15">
      <c r="C6" t="s">
        <v>564</v>
      </c>
      <c r="M6" t="s">
        <v>565</v>
      </c>
      <c r="U6">
        <v>5</v>
      </c>
    </row>
    <row r="7" spans="1:25" x14ac:dyDescent="0.15">
      <c r="C7" t="s">
        <v>566</v>
      </c>
      <c r="M7" t="s">
        <v>567</v>
      </c>
      <c r="U7">
        <v>6</v>
      </c>
    </row>
    <row r="8" spans="1:25" x14ac:dyDescent="0.15">
      <c r="C8" t="s">
        <v>568</v>
      </c>
      <c r="M8" t="s">
        <v>569</v>
      </c>
      <c r="U8">
        <v>7</v>
      </c>
    </row>
    <row r="9" spans="1:25" x14ac:dyDescent="0.15">
      <c r="C9" t="s">
        <v>570</v>
      </c>
      <c r="M9" t="s">
        <v>571</v>
      </c>
      <c r="U9">
        <v>8</v>
      </c>
    </row>
    <row r="10" spans="1:25" x14ac:dyDescent="0.15">
      <c r="C10" t="s">
        <v>572</v>
      </c>
      <c r="M10" t="s">
        <v>573</v>
      </c>
      <c r="U10">
        <v>9</v>
      </c>
    </row>
    <row r="11" spans="1:25" x14ac:dyDescent="0.15">
      <c r="C11" t="s">
        <v>574</v>
      </c>
      <c r="M11" t="s">
        <v>575</v>
      </c>
      <c r="U11">
        <v>10</v>
      </c>
    </row>
    <row r="12" spans="1:25" x14ac:dyDescent="0.15">
      <c r="C12" t="s">
        <v>576</v>
      </c>
      <c r="M12" t="s">
        <v>577</v>
      </c>
      <c r="U12">
        <v>11</v>
      </c>
    </row>
    <row r="13" spans="1:25" x14ac:dyDescent="0.15">
      <c r="C13" t="s">
        <v>578</v>
      </c>
      <c r="M13" t="s">
        <v>579</v>
      </c>
      <c r="U13">
        <v>12</v>
      </c>
    </row>
    <row r="14" spans="1:25" x14ac:dyDescent="0.15">
      <c r="C14" t="s">
        <v>580</v>
      </c>
      <c r="M14" t="s">
        <v>581</v>
      </c>
      <c r="U14">
        <v>13</v>
      </c>
    </row>
    <row r="15" spans="1:25" x14ac:dyDescent="0.15">
      <c r="C15" t="s">
        <v>122</v>
      </c>
      <c r="M15" t="s">
        <v>582</v>
      </c>
      <c r="U15">
        <v>14</v>
      </c>
    </row>
    <row r="16" spans="1:25" x14ac:dyDescent="0.15">
      <c r="C16" t="s">
        <v>583</v>
      </c>
      <c r="M16" t="s">
        <v>584</v>
      </c>
      <c r="U16">
        <v>15</v>
      </c>
    </row>
    <row r="17" spans="3:21" x14ac:dyDescent="0.15">
      <c r="C17" t="s">
        <v>585</v>
      </c>
      <c r="M17" t="s">
        <v>586</v>
      </c>
      <c r="U17">
        <v>16</v>
      </c>
    </row>
    <row r="18" spans="3:21" x14ac:dyDescent="0.15">
      <c r="C18" t="s">
        <v>587</v>
      </c>
      <c r="M18" t="s">
        <v>588</v>
      </c>
      <c r="U18">
        <v>17</v>
      </c>
    </row>
    <row r="19" spans="3:21" x14ac:dyDescent="0.15">
      <c r="C19" t="s">
        <v>589</v>
      </c>
      <c r="M19" t="s">
        <v>590</v>
      </c>
      <c r="U19">
        <v>18</v>
      </c>
    </row>
    <row r="20" spans="3:21" x14ac:dyDescent="0.15">
      <c r="C20" t="s">
        <v>591</v>
      </c>
      <c r="M20" t="s">
        <v>592</v>
      </c>
      <c r="U20">
        <v>19</v>
      </c>
    </row>
    <row r="21" spans="3:21" x14ac:dyDescent="0.15">
      <c r="C21" t="s">
        <v>593</v>
      </c>
      <c r="M21" t="s">
        <v>594</v>
      </c>
      <c r="U21">
        <v>20</v>
      </c>
    </row>
    <row r="22" spans="3:21" x14ac:dyDescent="0.15">
      <c r="C22" t="s">
        <v>595</v>
      </c>
      <c r="M22" t="s">
        <v>596</v>
      </c>
      <c r="U22">
        <v>21</v>
      </c>
    </row>
    <row r="23" spans="3:21" x14ac:dyDescent="0.15">
      <c r="C23" t="s">
        <v>597</v>
      </c>
      <c r="M23" t="s">
        <v>598</v>
      </c>
      <c r="U23">
        <v>22</v>
      </c>
    </row>
    <row r="24" spans="3:21" x14ac:dyDescent="0.15">
      <c r="C24" t="s">
        <v>599</v>
      </c>
      <c r="M24" t="s">
        <v>600</v>
      </c>
      <c r="U24">
        <v>23</v>
      </c>
    </row>
    <row r="25" spans="3:21" x14ac:dyDescent="0.15">
      <c r="C25" t="s">
        <v>601</v>
      </c>
      <c r="M25" t="s">
        <v>602</v>
      </c>
      <c r="U25">
        <v>24</v>
      </c>
    </row>
    <row r="26" spans="3:21" x14ac:dyDescent="0.15">
      <c r="C26" t="s">
        <v>603</v>
      </c>
      <c r="M26" t="s">
        <v>604</v>
      </c>
      <c r="U26">
        <v>25</v>
      </c>
    </row>
    <row r="27" spans="3:21" x14ac:dyDescent="0.15">
      <c r="C27" t="s">
        <v>605</v>
      </c>
      <c r="M27" t="s">
        <v>606</v>
      </c>
      <c r="U27">
        <v>26</v>
      </c>
    </row>
    <row r="28" spans="3:21" x14ac:dyDescent="0.15">
      <c r="C28" t="s">
        <v>607</v>
      </c>
      <c r="M28" t="s">
        <v>608</v>
      </c>
      <c r="U28">
        <v>27</v>
      </c>
    </row>
    <row r="29" spans="3:21" x14ac:dyDescent="0.15">
      <c r="C29" t="s">
        <v>609</v>
      </c>
      <c r="M29" t="s">
        <v>610</v>
      </c>
      <c r="U29">
        <v>28</v>
      </c>
    </row>
    <row r="30" spans="3:21" x14ac:dyDescent="0.15">
      <c r="C30" t="s">
        <v>611</v>
      </c>
      <c r="M30" t="s">
        <v>612</v>
      </c>
      <c r="U30">
        <v>29</v>
      </c>
    </row>
    <row r="31" spans="3:21" x14ac:dyDescent="0.15">
      <c r="C31" t="s">
        <v>613</v>
      </c>
      <c r="M31" t="s">
        <v>614</v>
      </c>
      <c r="U31">
        <v>30</v>
      </c>
    </row>
    <row r="32" spans="3:21" x14ac:dyDescent="0.15">
      <c r="C32" t="s">
        <v>615</v>
      </c>
      <c r="M32" t="s">
        <v>616</v>
      </c>
      <c r="U32">
        <v>31</v>
      </c>
    </row>
    <row r="33" spans="3:21" x14ac:dyDescent="0.15">
      <c r="C33" t="s">
        <v>617</v>
      </c>
      <c r="M33" t="s">
        <v>618</v>
      </c>
      <c r="U33">
        <v>32</v>
      </c>
    </row>
    <row r="34" spans="3:21" x14ac:dyDescent="0.15">
      <c r="C34" t="s">
        <v>619</v>
      </c>
      <c r="M34" t="s">
        <v>620</v>
      </c>
      <c r="U34">
        <v>33</v>
      </c>
    </row>
    <row r="35" spans="3:21" x14ac:dyDescent="0.15">
      <c r="C35" t="s">
        <v>621</v>
      </c>
      <c r="M35" t="s">
        <v>622</v>
      </c>
      <c r="U35">
        <v>34</v>
      </c>
    </row>
    <row r="36" spans="3:21" x14ac:dyDescent="0.15">
      <c r="C36" t="s">
        <v>623</v>
      </c>
      <c r="M36" t="s">
        <v>624</v>
      </c>
      <c r="U36">
        <v>35</v>
      </c>
    </row>
    <row r="37" spans="3:21" x14ac:dyDescent="0.15">
      <c r="C37" t="s">
        <v>625</v>
      </c>
      <c r="M37" t="s">
        <v>626</v>
      </c>
      <c r="U37">
        <v>36</v>
      </c>
    </row>
    <row r="38" spans="3:21" x14ac:dyDescent="0.15">
      <c r="C38" t="s">
        <v>627</v>
      </c>
      <c r="M38" t="s">
        <v>628</v>
      </c>
      <c r="U38">
        <v>37</v>
      </c>
    </row>
    <row r="39" spans="3:21" x14ac:dyDescent="0.15">
      <c r="C39" t="s">
        <v>629</v>
      </c>
      <c r="M39" t="s">
        <v>630</v>
      </c>
      <c r="U39">
        <v>38</v>
      </c>
    </row>
    <row r="40" spans="3:21" x14ac:dyDescent="0.15">
      <c r="C40" t="s">
        <v>631</v>
      </c>
      <c r="M40" t="s">
        <v>632</v>
      </c>
      <c r="U40">
        <v>39</v>
      </c>
    </row>
    <row r="41" spans="3:21" x14ac:dyDescent="0.15">
      <c r="C41" t="s">
        <v>633</v>
      </c>
      <c r="M41" t="s">
        <v>634</v>
      </c>
      <c r="U41">
        <v>40</v>
      </c>
    </row>
    <row r="42" spans="3:21" x14ac:dyDescent="0.15">
      <c r="C42" t="s">
        <v>635</v>
      </c>
      <c r="M42" t="s">
        <v>636</v>
      </c>
      <c r="U42">
        <v>41</v>
      </c>
    </row>
    <row r="43" spans="3:21" x14ac:dyDescent="0.15">
      <c r="C43" t="s">
        <v>637</v>
      </c>
      <c r="M43" t="s">
        <v>638</v>
      </c>
      <c r="U43">
        <v>42</v>
      </c>
    </row>
    <row r="44" spans="3:21" x14ac:dyDescent="0.15">
      <c r="C44" t="s">
        <v>639</v>
      </c>
      <c r="M44" t="s">
        <v>640</v>
      </c>
      <c r="U44">
        <v>43</v>
      </c>
    </row>
    <row r="45" spans="3:21" x14ac:dyDescent="0.15">
      <c r="C45" t="s">
        <v>641</v>
      </c>
      <c r="M45" t="s">
        <v>642</v>
      </c>
      <c r="U45">
        <v>44</v>
      </c>
    </row>
    <row r="46" spans="3:21" x14ac:dyDescent="0.15">
      <c r="C46" t="s">
        <v>643</v>
      </c>
      <c r="M46" t="s">
        <v>644</v>
      </c>
      <c r="U46">
        <v>45</v>
      </c>
    </row>
    <row r="47" spans="3:21" x14ac:dyDescent="0.15">
      <c r="C47" t="s">
        <v>645</v>
      </c>
      <c r="M47" t="s">
        <v>646</v>
      </c>
      <c r="U47">
        <v>46</v>
      </c>
    </row>
    <row r="48" spans="3:21" x14ac:dyDescent="0.15">
      <c r="C48" t="s">
        <v>647</v>
      </c>
      <c r="M48" t="s">
        <v>648</v>
      </c>
      <c r="U48">
        <v>47</v>
      </c>
    </row>
    <row r="49" spans="13:21" x14ac:dyDescent="0.15">
      <c r="M49" t="s">
        <v>649</v>
      </c>
      <c r="U49">
        <v>48</v>
      </c>
    </row>
    <row r="50" spans="13:21" x14ac:dyDescent="0.15">
      <c r="M50" t="s">
        <v>650</v>
      </c>
      <c r="U50">
        <v>49</v>
      </c>
    </row>
    <row r="51" spans="13:21" x14ac:dyDescent="0.15">
      <c r="M51" t="s">
        <v>651</v>
      </c>
      <c r="U51">
        <v>50</v>
      </c>
    </row>
    <row r="52" spans="13:21" x14ac:dyDescent="0.15">
      <c r="M52" t="s">
        <v>652</v>
      </c>
    </row>
    <row r="53" spans="13:21" x14ac:dyDescent="0.15">
      <c r="M53" t="s">
        <v>653</v>
      </c>
    </row>
    <row r="54" spans="13:21" x14ac:dyDescent="0.15">
      <c r="M54" t="s">
        <v>654</v>
      </c>
    </row>
    <row r="55" spans="13:21" x14ac:dyDescent="0.15">
      <c r="M55" t="s">
        <v>655</v>
      </c>
    </row>
    <row r="56" spans="13:21" x14ac:dyDescent="0.15">
      <c r="M56" t="s">
        <v>656</v>
      </c>
    </row>
    <row r="57" spans="13:21" x14ac:dyDescent="0.15">
      <c r="M57" t="s">
        <v>657</v>
      </c>
    </row>
    <row r="58" spans="13:21" x14ac:dyDescent="0.15">
      <c r="M58" t="s">
        <v>658</v>
      </c>
    </row>
    <row r="59" spans="13:21" x14ac:dyDescent="0.15">
      <c r="M59" t="s">
        <v>659</v>
      </c>
    </row>
    <row r="60" spans="13:21" x14ac:dyDescent="0.15">
      <c r="M60" t="s">
        <v>660</v>
      </c>
    </row>
    <row r="61" spans="13:21" x14ac:dyDescent="0.15">
      <c r="M61" t="s">
        <v>661</v>
      </c>
    </row>
    <row r="62" spans="13:21" x14ac:dyDescent="0.15">
      <c r="M62" t="s">
        <v>662</v>
      </c>
    </row>
    <row r="63" spans="13:21" x14ac:dyDescent="0.15">
      <c r="M63" t="s">
        <v>663</v>
      </c>
    </row>
  </sheetData>
  <phoneticPr fontId="4"/>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E52C3-6186-4794-A78C-49CD26AD6C5E}">
  <sheetPr codeName="Sheet10"/>
  <dimension ref="A1:B28"/>
  <sheetViews>
    <sheetView workbookViewId="0"/>
  </sheetViews>
  <sheetFormatPr defaultRowHeight="13.5" x14ac:dyDescent="0.15"/>
  <cols>
    <col min="1" max="1" width="51" style="269" bestFit="1" customWidth="1"/>
    <col min="2" max="2" width="18.375" style="269" bestFit="1" customWidth="1"/>
    <col min="3" max="16384" width="9" style="269"/>
  </cols>
  <sheetData>
    <row r="1" spans="1:2" x14ac:dyDescent="0.15">
      <c r="A1" s="268" t="s">
        <v>664</v>
      </c>
      <c r="B1" s="268" t="s">
        <v>665</v>
      </c>
    </row>
    <row r="2" spans="1:2" x14ac:dyDescent="0.15">
      <c r="A2" s="268" t="s">
        <v>666</v>
      </c>
      <c r="B2" s="268" t="s">
        <v>667</v>
      </c>
    </row>
    <row r="3" spans="1:2" x14ac:dyDescent="0.15">
      <c r="A3" s="268" t="s">
        <v>668</v>
      </c>
      <c r="B3" s="268" t="s">
        <v>669</v>
      </c>
    </row>
    <row r="4" spans="1:2" x14ac:dyDescent="0.15">
      <c r="A4" s="268" t="s">
        <v>670</v>
      </c>
      <c r="B4" s="471" t="s">
        <v>1059</v>
      </c>
    </row>
    <row r="6" spans="1:2" x14ac:dyDescent="0.15">
      <c r="A6" s="273" t="s">
        <v>671</v>
      </c>
      <c r="B6" s="268" t="str">
        <f>中間シート!F4</f>
        <v>-</v>
      </c>
    </row>
    <row r="7" spans="1:2" x14ac:dyDescent="0.15">
      <c r="A7" s="273" t="s">
        <v>672</v>
      </c>
      <c r="B7" s="270">
        <f>中間シート!F5</f>
        <v>0</v>
      </c>
    </row>
    <row r="8" spans="1:2" x14ac:dyDescent="0.15">
      <c r="A8" s="273" t="s">
        <v>673</v>
      </c>
      <c r="B8" s="268" t="str">
        <f>中間シート!F7&amp;中間シート!G7</f>
        <v/>
      </c>
    </row>
    <row r="9" spans="1:2" x14ac:dyDescent="0.15">
      <c r="A9" s="273" t="s">
        <v>674</v>
      </c>
      <c r="B9" s="270" t="str">
        <f>中間シート!F8</f>
        <v/>
      </c>
    </row>
    <row r="10" spans="1:2" x14ac:dyDescent="0.15">
      <c r="A10" s="273" t="s">
        <v>675</v>
      </c>
      <c r="B10" s="268" t="str">
        <f>中間シート!F9</f>
        <v/>
      </c>
    </row>
    <row r="11" spans="1:2" x14ac:dyDescent="0.15">
      <c r="A11" s="273" t="s">
        <v>676</v>
      </c>
      <c r="B11" s="268" t="str">
        <f>中間シート!F10</f>
        <v/>
      </c>
    </row>
    <row r="12" spans="1:2" x14ac:dyDescent="0.15">
      <c r="A12" s="273" t="s">
        <v>677</v>
      </c>
      <c r="B12" s="268" t="str">
        <f>中間シート!F11</f>
        <v/>
      </c>
    </row>
    <row r="13" spans="1:2" x14ac:dyDescent="0.15">
      <c r="A13" s="273" t="s">
        <v>678</v>
      </c>
      <c r="B13" s="268">
        <f>中間シート!F3</f>
        <v>0</v>
      </c>
    </row>
    <row r="14" spans="1:2" x14ac:dyDescent="0.15">
      <c r="A14" s="273" t="s">
        <v>679</v>
      </c>
      <c r="B14" s="268" t="str">
        <f>中間シート!F12</f>
        <v/>
      </c>
    </row>
    <row r="15" spans="1:2" x14ac:dyDescent="0.15">
      <c r="A15" s="273" t="s">
        <v>680</v>
      </c>
      <c r="B15" s="268" t="str">
        <f>中間シート!F13</f>
        <v/>
      </c>
    </row>
    <row r="16" spans="1:2" x14ac:dyDescent="0.15">
      <c r="A16" s="273" t="s">
        <v>681</v>
      </c>
      <c r="B16" s="268" t="str">
        <f>中間シート!F14</f>
        <v/>
      </c>
    </row>
    <row r="17" spans="1:2" x14ac:dyDescent="0.15">
      <c r="A17" s="273" t="s">
        <v>682</v>
      </c>
      <c r="B17" s="268" t="str">
        <f>中間シート!F15</f>
        <v/>
      </c>
    </row>
    <row r="18" spans="1:2" x14ac:dyDescent="0.15">
      <c r="A18" s="273" t="s">
        <v>683</v>
      </c>
      <c r="B18" s="268" t="str">
        <f>中間シート!F16</f>
        <v/>
      </c>
    </row>
    <row r="19" spans="1:2" x14ac:dyDescent="0.15">
      <c r="A19" s="273" t="s">
        <v>684</v>
      </c>
      <c r="B19" s="268" t="str">
        <f>中間シート!F17</f>
        <v/>
      </c>
    </row>
    <row r="20" spans="1:2" x14ac:dyDescent="0.15">
      <c r="A20" s="273" t="s">
        <v>685</v>
      </c>
      <c r="B20" s="270">
        <f>中間シート!F18</f>
        <v>0</v>
      </c>
    </row>
    <row r="21" spans="1:2" x14ac:dyDescent="0.15">
      <c r="A21" s="273" t="s">
        <v>686</v>
      </c>
      <c r="B21" s="268" t="str">
        <f>中間シート!F19</f>
        <v/>
      </c>
    </row>
    <row r="22" spans="1:2" x14ac:dyDescent="0.15">
      <c r="A22" s="273" t="s">
        <v>687</v>
      </c>
      <c r="B22" s="270">
        <f>中間シート!F6</f>
        <v>0</v>
      </c>
    </row>
    <row r="23" spans="1:2" x14ac:dyDescent="0.15">
      <c r="A23" s="273" t="s">
        <v>688</v>
      </c>
      <c r="B23" s="268" t="str">
        <f>中間シート!F21</f>
        <v/>
      </c>
    </row>
    <row r="24" spans="1:2" x14ac:dyDescent="0.15">
      <c r="A24" s="273" t="s">
        <v>689</v>
      </c>
      <c r="B24" s="268" t="str">
        <f>中間シート!F22</f>
        <v/>
      </c>
    </row>
    <row r="25" spans="1:2" x14ac:dyDescent="0.15">
      <c r="A25" s="273" t="s">
        <v>690</v>
      </c>
      <c r="B25" s="268" t="str">
        <f>中間シート!F23</f>
        <v/>
      </c>
    </row>
    <row r="26" spans="1:2" x14ac:dyDescent="0.15">
      <c r="A26" s="273" t="s">
        <v>691</v>
      </c>
      <c r="B26" s="268" t="str">
        <f>中間シート!F24</f>
        <v/>
      </c>
    </row>
    <row r="27" spans="1:2" customFormat="1" x14ac:dyDescent="0.15">
      <c r="A27" s="272" t="s">
        <v>692</v>
      </c>
      <c r="B27" s="4" t="str">
        <f>中間シート!F25&amp;中間シート!G25&amp;中間シート!H25</f>
        <v/>
      </c>
    </row>
    <row r="28" spans="1:2" x14ac:dyDescent="0.15">
      <c r="A28" s="271" t="s">
        <v>693</v>
      </c>
      <c r="B28" s="268" t="str">
        <f>中間シート!F27&amp;"@"&amp;中間シート!G27</f>
        <v>@</v>
      </c>
    </row>
  </sheetData>
  <phoneticPr fontId="4"/>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4E502-C903-424E-BBED-C8ECF0EC7CBC}">
  <sheetPr codeName="Sheet9">
    <tabColor theme="1"/>
  </sheetPr>
  <dimension ref="A1:K119"/>
  <sheetViews>
    <sheetView workbookViewId="0">
      <pane ySplit="1" topLeftCell="A104" activePane="bottomLeft" state="frozen"/>
      <selection pane="bottomLeft" activeCell="G119" sqref="G119"/>
    </sheetView>
  </sheetViews>
  <sheetFormatPr defaultRowHeight="13.5" x14ac:dyDescent="0.15"/>
  <cols>
    <col min="1" max="1" width="9" style="66"/>
    <col min="2" max="2" width="40.25" style="66" customWidth="1"/>
    <col min="3" max="4" width="5.5" style="66" customWidth="1"/>
    <col min="5" max="5" width="5.5" style="69" customWidth="1"/>
    <col min="6" max="6" width="5.5" style="66" customWidth="1"/>
    <col min="7" max="7" width="41.625" style="66" customWidth="1"/>
    <col min="8" max="8" width="25.25" style="66" customWidth="1"/>
    <col min="9" max="9" width="19" style="66" customWidth="1"/>
    <col min="10" max="16384" width="9" style="66"/>
  </cols>
  <sheetData>
    <row r="1" spans="1:11" x14ac:dyDescent="0.15">
      <c r="A1" s="66" t="s">
        <v>694</v>
      </c>
      <c r="B1" s="66" t="s">
        <v>67</v>
      </c>
      <c r="C1" s="67" t="s">
        <v>437</v>
      </c>
      <c r="D1" s="67" t="s">
        <v>438</v>
      </c>
      <c r="E1" s="67" t="s">
        <v>439</v>
      </c>
      <c r="F1" s="67" t="s">
        <v>440</v>
      </c>
      <c r="G1" s="66" t="s">
        <v>68</v>
      </c>
      <c r="H1" s="66" t="s">
        <v>695</v>
      </c>
      <c r="I1" s="66" t="s">
        <v>696</v>
      </c>
      <c r="J1" s="66" t="s">
        <v>697</v>
      </c>
      <c r="K1" s="66" t="s">
        <v>698</v>
      </c>
    </row>
    <row r="2" spans="1:11" x14ac:dyDescent="0.15">
      <c r="A2" s="66" t="s">
        <v>699</v>
      </c>
      <c r="B2" s="66" t="s">
        <v>700</v>
      </c>
      <c r="C2" s="68" t="s">
        <v>701</v>
      </c>
      <c r="D2" s="68">
        <v>1</v>
      </c>
      <c r="E2" s="68" t="s">
        <v>702</v>
      </c>
      <c r="F2" s="68" t="s">
        <v>25</v>
      </c>
      <c r="G2" s="66" t="s">
        <v>703</v>
      </c>
      <c r="H2" s="66" t="s">
        <v>704</v>
      </c>
      <c r="I2" s="66" t="s">
        <v>25</v>
      </c>
      <c r="J2" s="305" t="s">
        <v>705</v>
      </c>
      <c r="K2" s="66" t="s">
        <v>706</v>
      </c>
    </row>
    <row r="3" spans="1:11" x14ac:dyDescent="0.15">
      <c r="A3" s="66" t="s">
        <v>707</v>
      </c>
      <c r="B3" s="66" t="s">
        <v>700</v>
      </c>
      <c r="C3" s="68" t="s">
        <v>701</v>
      </c>
      <c r="D3" s="68">
        <v>2</v>
      </c>
      <c r="E3" s="68" t="s">
        <v>708</v>
      </c>
      <c r="F3" s="68" t="s">
        <v>25</v>
      </c>
      <c r="G3" s="66" t="s">
        <v>709</v>
      </c>
      <c r="H3" s="66" t="s">
        <v>710</v>
      </c>
      <c r="I3" s="66" t="s">
        <v>25</v>
      </c>
      <c r="J3" s="66" t="s">
        <v>705</v>
      </c>
      <c r="K3" s="66" t="s">
        <v>706</v>
      </c>
    </row>
    <row r="4" spans="1:11" x14ac:dyDescent="0.15">
      <c r="A4" s="66" t="s">
        <v>711</v>
      </c>
      <c r="B4" s="66" t="s">
        <v>700</v>
      </c>
      <c r="C4" s="68" t="s">
        <v>701</v>
      </c>
      <c r="D4" s="68">
        <v>3</v>
      </c>
      <c r="E4" s="68" t="s">
        <v>712</v>
      </c>
      <c r="F4" s="68" t="s">
        <v>25</v>
      </c>
      <c r="G4" s="66" t="s">
        <v>713</v>
      </c>
      <c r="H4" s="66" t="s">
        <v>714</v>
      </c>
      <c r="I4" s="66" t="s">
        <v>25</v>
      </c>
      <c r="J4" s="66" t="s">
        <v>715</v>
      </c>
      <c r="K4" s="66" t="s">
        <v>706</v>
      </c>
    </row>
    <row r="5" spans="1:11" x14ac:dyDescent="0.15">
      <c r="A5" s="66" t="s">
        <v>716</v>
      </c>
      <c r="B5" s="66" t="s">
        <v>700</v>
      </c>
      <c r="C5" s="68" t="s">
        <v>701</v>
      </c>
      <c r="D5" s="68">
        <v>4</v>
      </c>
      <c r="E5" s="68" t="s">
        <v>717</v>
      </c>
      <c r="F5" s="68" t="s">
        <v>25</v>
      </c>
      <c r="G5" s="66" t="s">
        <v>718</v>
      </c>
      <c r="H5" s="66" t="s">
        <v>719</v>
      </c>
      <c r="I5" s="66" t="s">
        <v>25</v>
      </c>
      <c r="J5" s="66" t="s">
        <v>715</v>
      </c>
      <c r="K5" s="66" t="s">
        <v>706</v>
      </c>
    </row>
    <row r="6" spans="1:11" x14ac:dyDescent="0.15">
      <c r="A6" s="66" t="s">
        <v>720</v>
      </c>
      <c r="B6" s="66" t="s">
        <v>700</v>
      </c>
      <c r="C6" s="68" t="s">
        <v>701</v>
      </c>
      <c r="D6" s="68">
        <v>5</v>
      </c>
      <c r="E6" s="68" t="s">
        <v>721</v>
      </c>
      <c r="F6" s="68" t="s">
        <v>25</v>
      </c>
      <c r="G6" s="66" t="s">
        <v>722</v>
      </c>
      <c r="H6" s="66" t="s">
        <v>723</v>
      </c>
      <c r="I6" s="66" t="s">
        <v>25</v>
      </c>
      <c r="J6" s="66" t="s">
        <v>715</v>
      </c>
      <c r="K6" s="66" t="s">
        <v>706</v>
      </c>
    </row>
    <row r="7" spans="1:11" x14ac:dyDescent="0.15">
      <c r="A7" s="66" t="s">
        <v>724</v>
      </c>
      <c r="B7" s="66" t="s">
        <v>700</v>
      </c>
      <c r="C7" s="68" t="s">
        <v>701</v>
      </c>
      <c r="D7" s="68">
        <v>6</v>
      </c>
      <c r="E7" s="68" t="s">
        <v>725</v>
      </c>
      <c r="F7" s="68" t="s">
        <v>25</v>
      </c>
      <c r="G7" s="66" t="s">
        <v>726</v>
      </c>
      <c r="H7" s="66" t="s">
        <v>727</v>
      </c>
      <c r="I7" s="66" t="s">
        <v>25</v>
      </c>
      <c r="J7" s="66" t="s">
        <v>705</v>
      </c>
      <c r="K7" s="66" t="s">
        <v>706</v>
      </c>
    </row>
    <row r="8" spans="1:11" x14ac:dyDescent="0.15">
      <c r="A8" s="66" t="s">
        <v>728</v>
      </c>
      <c r="B8" s="66" t="s">
        <v>700</v>
      </c>
      <c r="C8" s="68" t="s">
        <v>701</v>
      </c>
      <c r="D8" s="68">
        <v>7</v>
      </c>
      <c r="E8" s="68" t="s">
        <v>729</v>
      </c>
      <c r="F8" s="68" t="s">
        <v>25</v>
      </c>
      <c r="G8" s="66" t="s">
        <v>730</v>
      </c>
      <c r="H8" s="66" t="s">
        <v>731</v>
      </c>
      <c r="I8" s="66" t="s">
        <v>25</v>
      </c>
      <c r="J8" s="66" t="s">
        <v>705</v>
      </c>
      <c r="K8" s="66" t="s">
        <v>706</v>
      </c>
    </row>
    <row r="9" spans="1:11" x14ac:dyDescent="0.15">
      <c r="A9" s="66" t="s">
        <v>732</v>
      </c>
      <c r="B9" s="66" t="s">
        <v>700</v>
      </c>
      <c r="C9" s="68" t="s">
        <v>701</v>
      </c>
      <c r="D9" s="68">
        <v>8</v>
      </c>
      <c r="E9" s="68" t="s">
        <v>733</v>
      </c>
      <c r="F9" s="68" t="s">
        <v>25</v>
      </c>
      <c r="G9" s="66" t="s">
        <v>734</v>
      </c>
      <c r="H9" s="66" t="s">
        <v>735</v>
      </c>
      <c r="I9" s="66" t="s">
        <v>25</v>
      </c>
      <c r="J9" s="66" t="s">
        <v>705</v>
      </c>
      <c r="K9" s="66" t="s">
        <v>706</v>
      </c>
    </row>
    <row r="10" spans="1:11" x14ac:dyDescent="0.15">
      <c r="A10" s="66" t="s">
        <v>736</v>
      </c>
      <c r="B10" s="66" t="s">
        <v>700</v>
      </c>
      <c r="C10" s="68" t="s">
        <v>701</v>
      </c>
      <c r="D10" s="68">
        <v>9</v>
      </c>
      <c r="E10" s="68" t="s">
        <v>737</v>
      </c>
      <c r="F10" s="68" t="s">
        <v>25</v>
      </c>
      <c r="G10" s="66" t="s">
        <v>738</v>
      </c>
      <c r="H10" s="66" t="s">
        <v>739</v>
      </c>
      <c r="I10" s="66" t="s">
        <v>25</v>
      </c>
      <c r="J10" s="66" t="s">
        <v>705</v>
      </c>
      <c r="K10" s="66" t="s">
        <v>706</v>
      </c>
    </row>
    <row r="11" spans="1:11" x14ac:dyDescent="0.15">
      <c r="A11" s="66" t="s">
        <v>740</v>
      </c>
      <c r="B11" s="66" t="s">
        <v>700</v>
      </c>
      <c r="C11" s="68" t="s">
        <v>701</v>
      </c>
      <c r="D11" s="68">
        <v>10</v>
      </c>
      <c r="E11" s="68" t="s">
        <v>741</v>
      </c>
      <c r="F11" s="68" t="s">
        <v>25</v>
      </c>
      <c r="G11" s="66" t="s">
        <v>742</v>
      </c>
      <c r="H11" s="66" t="s">
        <v>743</v>
      </c>
      <c r="I11" s="66" t="s">
        <v>25</v>
      </c>
      <c r="J11" s="66" t="s">
        <v>705</v>
      </c>
      <c r="K11" s="66" t="s">
        <v>706</v>
      </c>
    </row>
    <row r="12" spans="1:11" x14ac:dyDescent="0.15">
      <c r="A12" s="66" t="s">
        <v>744</v>
      </c>
      <c r="B12" s="66" t="s">
        <v>700</v>
      </c>
      <c r="C12" s="68" t="s">
        <v>701</v>
      </c>
      <c r="D12" s="68">
        <v>11</v>
      </c>
      <c r="E12" s="68" t="s">
        <v>701</v>
      </c>
      <c r="F12" s="68" t="s">
        <v>25</v>
      </c>
      <c r="G12" s="66" t="s">
        <v>745</v>
      </c>
      <c r="H12" s="66" t="s">
        <v>746</v>
      </c>
      <c r="I12" s="66" t="s">
        <v>25</v>
      </c>
      <c r="J12" s="66" t="s">
        <v>705</v>
      </c>
      <c r="K12" s="66" t="s">
        <v>706</v>
      </c>
    </row>
    <row r="13" spans="1:11" x14ac:dyDescent="0.15">
      <c r="A13" s="66" t="s">
        <v>747</v>
      </c>
      <c r="B13" s="66" t="s">
        <v>700</v>
      </c>
      <c r="C13" s="68" t="s">
        <v>701</v>
      </c>
      <c r="D13" s="68">
        <v>12</v>
      </c>
      <c r="E13" s="68" t="s">
        <v>748</v>
      </c>
      <c r="F13" s="68" t="s">
        <v>25</v>
      </c>
      <c r="G13" s="66" t="s">
        <v>749</v>
      </c>
      <c r="H13" s="66" t="s">
        <v>750</v>
      </c>
      <c r="I13" s="66" t="s">
        <v>25</v>
      </c>
      <c r="J13" s="66" t="s">
        <v>705</v>
      </c>
      <c r="K13" s="66" t="s">
        <v>706</v>
      </c>
    </row>
    <row r="14" spans="1:11" x14ac:dyDescent="0.15">
      <c r="A14" s="66" t="s">
        <v>751</v>
      </c>
      <c r="B14" s="66" t="s">
        <v>700</v>
      </c>
      <c r="C14" s="68" t="s">
        <v>701</v>
      </c>
      <c r="D14" s="68">
        <v>13</v>
      </c>
      <c r="E14" s="68" t="s">
        <v>752</v>
      </c>
      <c r="F14" s="68" t="s">
        <v>25</v>
      </c>
      <c r="G14" s="66" t="s">
        <v>753</v>
      </c>
      <c r="H14" s="66" t="s">
        <v>754</v>
      </c>
      <c r="I14" s="66" t="s">
        <v>25</v>
      </c>
      <c r="J14" s="66" t="s">
        <v>705</v>
      </c>
      <c r="K14" s="66" t="s">
        <v>706</v>
      </c>
    </row>
    <row r="15" spans="1:11" x14ac:dyDescent="0.15">
      <c r="A15" s="66" t="s">
        <v>755</v>
      </c>
      <c r="B15" s="66" t="s">
        <v>756</v>
      </c>
      <c r="C15" s="68" t="s">
        <v>712</v>
      </c>
      <c r="D15" s="68" t="s">
        <v>702</v>
      </c>
      <c r="E15" s="68">
        <v>1</v>
      </c>
      <c r="F15" s="68" t="s">
        <v>25</v>
      </c>
      <c r="G15" s="66" t="s">
        <v>757</v>
      </c>
      <c r="H15" s="66" t="s">
        <v>758</v>
      </c>
      <c r="I15" s="66" t="s">
        <v>25</v>
      </c>
      <c r="J15" s="66" t="s">
        <v>715</v>
      </c>
      <c r="K15" s="66" t="s">
        <v>759</v>
      </c>
    </row>
    <row r="16" spans="1:11" x14ac:dyDescent="0.15">
      <c r="A16" s="66" t="s">
        <v>760</v>
      </c>
      <c r="B16" s="66" t="s">
        <v>756</v>
      </c>
      <c r="C16" s="68" t="s">
        <v>712</v>
      </c>
      <c r="D16" s="68" t="s">
        <v>702</v>
      </c>
      <c r="E16" s="68">
        <v>2</v>
      </c>
      <c r="F16" s="68" t="s">
        <v>25</v>
      </c>
      <c r="G16" s="66" t="s">
        <v>761</v>
      </c>
      <c r="H16" s="66" t="s">
        <v>762</v>
      </c>
      <c r="I16" s="66" t="s">
        <v>25</v>
      </c>
      <c r="J16" s="66" t="s">
        <v>715</v>
      </c>
      <c r="K16" s="66" t="s">
        <v>759</v>
      </c>
    </row>
    <row r="17" spans="1:11" x14ac:dyDescent="0.15">
      <c r="A17" s="66" t="s">
        <v>763</v>
      </c>
      <c r="B17" s="66" t="s">
        <v>756</v>
      </c>
      <c r="C17" s="68" t="s">
        <v>712</v>
      </c>
      <c r="D17" s="68" t="s">
        <v>702</v>
      </c>
      <c r="E17" s="68">
        <v>3</v>
      </c>
      <c r="F17" s="68" t="s">
        <v>25</v>
      </c>
      <c r="G17" s="66" t="s">
        <v>764</v>
      </c>
      <c r="H17" s="66" t="s">
        <v>765</v>
      </c>
      <c r="I17" s="66" t="s">
        <v>25</v>
      </c>
      <c r="J17" s="66" t="s">
        <v>715</v>
      </c>
      <c r="K17" s="66" t="s">
        <v>759</v>
      </c>
    </row>
    <row r="18" spans="1:11" x14ac:dyDescent="0.15">
      <c r="A18" s="66" t="s">
        <v>766</v>
      </c>
      <c r="B18" s="66" t="s">
        <v>756</v>
      </c>
      <c r="C18" s="68" t="s">
        <v>712</v>
      </c>
      <c r="D18" s="68" t="s">
        <v>702</v>
      </c>
      <c r="E18" s="68">
        <v>4</v>
      </c>
      <c r="F18" s="68" t="s">
        <v>25</v>
      </c>
      <c r="G18" s="66" t="s">
        <v>767</v>
      </c>
      <c r="H18" s="66" t="s">
        <v>768</v>
      </c>
      <c r="I18" s="66" t="s">
        <v>25</v>
      </c>
      <c r="J18" s="66" t="s">
        <v>715</v>
      </c>
      <c r="K18" s="66" t="s">
        <v>759</v>
      </c>
    </row>
    <row r="19" spans="1:11" x14ac:dyDescent="0.15">
      <c r="A19" s="66" t="s">
        <v>769</v>
      </c>
      <c r="B19" s="66" t="s">
        <v>756</v>
      </c>
      <c r="C19" s="68" t="s">
        <v>712</v>
      </c>
      <c r="D19" s="68" t="s">
        <v>702</v>
      </c>
      <c r="E19" s="68">
        <v>5</v>
      </c>
      <c r="F19" s="68" t="s">
        <v>25</v>
      </c>
      <c r="G19" s="66" t="s">
        <v>770</v>
      </c>
      <c r="H19" s="66" t="s">
        <v>771</v>
      </c>
      <c r="I19" s="66" t="s">
        <v>25</v>
      </c>
      <c r="J19" s="66" t="s">
        <v>715</v>
      </c>
      <c r="K19" s="66" t="s">
        <v>759</v>
      </c>
    </row>
    <row r="20" spans="1:11" x14ac:dyDescent="0.15">
      <c r="A20" s="66" t="s">
        <v>772</v>
      </c>
      <c r="B20" s="66" t="s">
        <v>756</v>
      </c>
      <c r="C20" s="68" t="s">
        <v>712</v>
      </c>
      <c r="D20" s="68" t="s">
        <v>702</v>
      </c>
      <c r="E20" s="68">
        <v>6</v>
      </c>
      <c r="F20" s="68" t="s">
        <v>25</v>
      </c>
      <c r="G20" s="66" t="s">
        <v>773</v>
      </c>
      <c r="H20" s="66" t="s">
        <v>774</v>
      </c>
      <c r="I20" s="66" t="s">
        <v>25</v>
      </c>
      <c r="J20" s="66" t="s">
        <v>715</v>
      </c>
      <c r="K20" s="66" t="s">
        <v>759</v>
      </c>
    </row>
    <row r="21" spans="1:11" x14ac:dyDescent="0.15">
      <c r="A21" s="66" t="s">
        <v>775</v>
      </c>
      <c r="B21" s="66" t="s">
        <v>756</v>
      </c>
      <c r="C21" s="68" t="s">
        <v>712</v>
      </c>
      <c r="D21" s="68" t="s">
        <v>708</v>
      </c>
      <c r="E21" s="68">
        <v>1</v>
      </c>
      <c r="F21" s="68" t="s">
        <v>25</v>
      </c>
      <c r="G21" s="66" t="s">
        <v>776</v>
      </c>
      <c r="H21" s="66" t="s">
        <v>777</v>
      </c>
      <c r="I21" s="66" t="s">
        <v>25</v>
      </c>
      <c r="J21" s="66" t="s">
        <v>705</v>
      </c>
      <c r="K21" s="66" t="s">
        <v>706</v>
      </c>
    </row>
    <row r="22" spans="1:11" x14ac:dyDescent="0.15">
      <c r="A22" s="66" t="s">
        <v>778</v>
      </c>
      <c r="B22" s="66" t="s">
        <v>756</v>
      </c>
      <c r="C22" s="68" t="s">
        <v>712</v>
      </c>
      <c r="D22" s="68" t="s">
        <v>708</v>
      </c>
      <c r="E22" s="68">
        <v>2</v>
      </c>
      <c r="F22" s="68" t="s">
        <v>25</v>
      </c>
      <c r="G22" s="66" t="s">
        <v>779</v>
      </c>
      <c r="H22" s="66" t="s">
        <v>780</v>
      </c>
      <c r="I22" s="66" t="s">
        <v>25</v>
      </c>
      <c r="J22" s="66" t="s">
        <v>705</v>
      </c>
      <c r="K22" s="66" t="s">
        <v>706</v>
      </c>
    </row>
    <row r="23" spans="1:11" x14ac:dyDescent="0.15">
      <c r="A23" s="66" t="s">
        <v>781</v>
      </c>
      <c r="B23" s="66" t="s">
        <v>756</v>
      </c>
      <c r="C23" s="68" t="s">
        <v>712</v>
      </c>
      <c r="D23" s="68" t="s">
        <v>708</v>
      </c>
      <c r="E23" s="68">
        <v>3</v>
      </c>
      <c r="F23" s="68" t="s">
        <v>25</v>
      </c>
      <c r="G23" s="66" t="s">
        <v>782</v>
      </c>
      <c r="H23" s="66" t="s">
        <v>783</v>
      </c>
      <c r="I23" s="66" t="s">
        <v>25</v>
      </c>
      <c r="J23" s="66" t="s">
        <v>705</v>
      </c>
      <c r="K23" s="66" t="s">
        <v>706</v>
      </c>
    </row>
    <row r="24" spans="1:11" x14ac:dyDescent="0.15">
      <c r="A24" s="66" t="s">
        <v>784</v>
      </c>
      <c r="B24" s="66" t="s">
        <v>756</v>
      </c>
      <c r="C24" s="68" t="s">
        <v>712</v>
      </c>
      <c r="D24" s="68" t="s">
        <v>708</v>
      </c>
      <c r="E24" s="68">
        <v>4</v>
      </c>
      <c r="F24" s="68" t="s">
        <v>25</v>
      </c>
      <c r="G24" s="66" t="s">
        <v>785</v>
      </c>
      <c r="H24" s="66" t="s">
        <v>786</v>
      </c>
      <c r="I24" s="66" t="s">
        <v>25</v>
      </c>
      <c r="J24" s="66" t="s">
        <v>705</v>
      </c>
      <c r="K24" s="66" t="s">
        <v>706</v>
      </c>
    </row>
    <row r="25" spans="1:11" x14ac:dyDescent="0.15">
      <c r="A25" s="66" t="s">
        <v>787</v>
      </c>
      <c r="B25" s="66" t="s">
        <v>756</v>
      </c>
      <c r="C25" s="68" t="s">
        <v>712</v>
      </c>
      <c r="D25" s="68" t="s">
        <v>708</v>
      </c>
      <c r="E25" s="68">
        <v>5</v>
      </c>
      <c r="F25" s="68" t="s">
        <v>25</v>
      </c>
      <c r="G25" s="66" t="s">
        <v>788</v>
      </c>
      <c r="H25" s="66" t="s">
        <v>789</v>
      </c>
      <c r="I25" s="66" t="s">
        <v>25</v>
      </c>
      <c r="J25" s="66" t="s">
        <v>705</v>
      </c>
      <c r="K25" s="66" t="s">
        <v>706</v>
      </c>
    </row>
    <row r="26" spans="1:11" x14ac:dyDescent="0.15">
      <c r="A26" s="66" t="s">
        <v>790</v>
      </c>
      <c r="B26" s="66" t="s">
        <v>756</v>
      </c>
      <c r="C26" s="68" t="s">
        <v>712</v>
      </c>
      <c r="D26" s="68" t="s">
        <v>708</v>
      </c>
      <c r="E26" s="68">
        <v>6</v>
      </c>
      <c r="F26" s="68" t="s">
        <v>25</v>
      </c>
      <c r="G26" s="66" t="s">
        <v>791</v>
      </c>
      <c r="H26" s="66" t="s">
        <v>792</v>
      </c>
      <c r="I26" s="66" t="s">
        <v>25</v>
      </c>
      <c r="J26" s="66" t="s">
        <v>705</v>
      </c>
      <c r="K26" s="66" t="s">
        <v>706</v>
      </c>
    </row>
    <row r="27" spans="1:11" x14ac:dyDescent="0.15">
      <c r="A27" s="66" t="s">
        <v>793</v>
      </c>
      <c r="B27" s="66" t="s">
        <v>756</v>
      </c>
      <c r="C27" s="68" t="s">
        <v>712</v>
      </c>
      <c r="D27" s="68" t="s">
        <v>702</v>
      </c>
      <c r="E27" s="68">
        <v>7</v>
      </c>
      <c r="F27" s="68" t="s">
        <v>25</v>
      </c>
      <c r="G27" s="66" t="s">
        <v>794</v>
      </c>
      <c r="H27" s="66" t="s">
        <v>795</v>
      </c>
      <c r="I27" s="66" t="s">
        <v>25</v>
      </c>
      <c r="J27" s="66" t="s">
        <v>715</v>
      </c>
      <c r="K27" s="66" t="s">
        <v>759</v>
      </c>
    </row>
    <row r="28" spans="1:11" x14ac:dyDescent="0.15">
      <c r="A28" s="66" t="s">
        <v>796</v>
      </c>
      <c r="B28" s="66" t="s">
        <v>756</v>
      </c>
      <c r="C28" s="68" t="s">
        <v>712</v>
      </c>
      <c r="D28" s="68" t="s">
        <v>702</v>
      </c>
      <c r="E28" s="68">
        <v>8</v>
      </c>
      <c r="F28" s="68" t="s">
        <v>25</v>
      </c>
      <c r="G28" s="66" t="s">
        <v>797</v>
      </c>
      <c r="H28" s="66" t="s">
        <v>798</v>
      </c>
      <c r="I28" s="66" t="s">
        <v>25</v>
      </c>
      <c r="J28" s="66" t="s">
        <v>715</v>
      </c>
      <c r="K28" s="66" t="s">
        <v>759</v>
      </c>
    </row>
    <row r="29" spans="1:11" x14ac:dyDescent="0.15">
      <c r="A29" s="66" t="s">
        <v>799</v>
      </c>
      <c r="B29" s="66" t="s">
        <v>756</v>
      </c>
      <c r="C29" s="68" t="s">
        <v>712</v>
      </c>
      <c r="D29" s="68" t="s">
        <v>702</v>
      </c>
      <c r="E29" s="68">
        <v>9</v>
      </c>
      <c r="F29" s="68" t="s">
        <v>25</v>
      </c>
      <c r="G29" s="66" t="s">
        <v>800</v>
      </c>
      <c r="H29" s="66" t="s">
        <v>801</v>
      </c>
      <c r="I29" s="66" t="s">
        <v>25</v>
      </c>
      <c r="J29" s="66" t="s">
        <v>715</v>
      </c>
      <c r="K29" s="66" t="s">
        <v>759</v>
      </c>
    </row>
    <row r="30" spans="1:11" x14ac:dyDescent="0.15">
      <c r="A30" s="66" t="s">
        <v>802</v>
      </c>
      <c r="B30" s="66" t="s">
        <v>756</v>
      </c>
      <c r="C30" s="68" t="s">
        <v>712</v>
      </c>
      <c r="D30" s="68" t="s">
        <v>702</v>
      </c>
      <c r="E30" s="68">
        <v>10</v>
      </c>
      <c r="F30" s="68" t="s">
        <v>25</v>
      </c>
      <c r="G30" s="66" t="s">
        <v>803</v>
      </c>
      <c r="H30" s="66" t="s">
        <v>804</v>
      </c>
      <c r="I30" s="66" t="s">
        <v>25</v>
      </c>
      <c r="J30" s="66" t="s">
        <v>715</v>
      </c>
      <c r="K30" s="66" t="s">
        <v>759</v>
      </c>
    </row>
    <row r="31" spans="1:11" x14ac:dyDescent="0.15">
      <c r="A31" s="66" t="s">
        <v>805</v>
      </c>
      <c r="B31" s="66" t="s">
        <v>756</v>
      </c>
      <c r="C31" s="68" t="s">
        <v>712</v>
      </c>
      <c r="D31" s="68" t="s">
        <v>702</v>
      </c>
      <c r="E31" s="68">
        <v>11</v>
      </c>
      <c r="F31" s="68" t="s">
        <v>25</v>
      </c>
      <c r="G31" s="66" t="s">
        <v>806</v>
      </c>
      <c r="H31" s="66" t="s">
        <v>807</v>
      </c>
      <c r="I31" s="66" t="s">
        <v>25</v>
      </c>
      <c r="J31" s="66" t="s">
        <v>715</v>
      </c>
      <c r="K31" s="66" t="s">
        <v>759</v>
      </c>
    </row>
    <row r="32" spans="1:11" x14ac:dyDescent="0.15">
      <c r="A32" s="66" t="s">
        <v>808</v>
      </c>
      <c r="B32" s="66" t="s">
        <v>756</v>
      </c>
      <c r="C32" s="68" t="s">
        <v>712</v>
      </c>
      <c r="D32" s="68" t="s">
        <v>702</v>
      </c>
      <c r="E32" s="68">
        <v>12</v>
      </c>
      <c r="F32" s="68" t="s">
        <v>25</v>
      </c>
      <c r="G32" s="66" t="s">
        <v>809</v>
      </c>
      <c r="H32" s="66" t="s">
        <v>810</v>
      </c>
      <c r="I32" s="66" t="s">
        <v>25</v>
      </c>
      <c r="J32" s="66" t="s">
        <v>715</v>
      </c>
      <c r="K32" s="66" t="s">
        <v>759</v>
      </c>
    </row>
    <row r="33" spans="1:11" x14ac:dyDescent="0.15">
      <c r="A33" s="66" t="s">
        <v>811</v>
      </c>
      <c r="B33" s="66" t="s">
        <v>756</v>
      </c>
      <c r="C33" s="68" t="s">
        <v>712</v>
      </c>
      <c r="D33" s="68" t="s">
        <v>708</v>
      </c>
      <c r="E33" s="68">
        <v>7</v>
      </c>
      <c r="F33" s="68" t="s">
        <v>25</v>
      </c>
      <c r="G33" s="66" t="s">
        <v>812</v>
      </c>
      <c r="H33" s="66" t="s">
        <v>813</v>
      </c>
      <c r="I33" s="66" t="s">
        <v>25</v>
      </c>
      <c r="J33" s="66" t="s">
        <v>705</v>
      </c>
      <c r="K33" s="66" t="s">
        <v>706</v>
      </c>
    </row>
    <row r="34" spans="1:11" x14ac:dyDescent="0.15">
      <c r="A34" s="66" t="s">
        <v>814</v>
      </c>
      <c r="B34" s="66" t="s">
        <v>756</v>
      </c>
      <c r="C34" s="68" t="s">
        <v>712</v>
      </c>
      <c r="D34" s="68" t="s">
        <v>708</v>
      </c>
      <c r="E34" s="68">
        <v>8</v>
      </c>
      <c r="F34" s="68" t="s">
        <v>25</v>
      </c>
      <c r="G34" s="66" t="s">
        <v>815</v>
      </c>
      <c r="H34" s="66" t="s">
        <v>816</v>
      </c>
      <c r="I34" s="66" t="s">
        <v>25</v>
      </c>
      <c r="J34" s="66" t="s">
        <v>705</v>
      </c>
      <c r="K34" s="66" t="s">
        <v>706</v>
      </c>
    </row>
    <row r="35" spans="1:11" x14ac:dyDescent="0.15">
      <c r="A35" s="66" t="s">
        <v>817</v>
      </c>
      <c r="B35" s="66" t="s">
        <v>756</v>
      </c>
      <c r="C35" s="68" t="s">
        <v>712</v>
      </c>
      <c r="D35" s="68" t="s">
        <v>708</v>
      </c>
      <c r="E35" s="68">
        <v>9</v>
      </c>
      <c r="F35" s="68" t="s">
        <v>25</v>
      </c>
      <c r="G35" s="66" t="s">
        <v>818</v>
      </c>
      <c r="H35" s="66" t="s">
        <v>819</v>
      </c>
      <c r="I35" s="66" t="s">
        <v>25</v>
      </c>
      <c r="J35" s="66" t="s">
        <v>705</v>
      </c>
      <c r="K35" s="66" t="s">
        <v>706</v>
      </c>
    </row>
    <row r="36" spans="1:11" x14ac:dyDescent="0.15">
      <c r="A36" s="66" t="s">
        <v>820</v>
      </c>
      <c r="B36" s="66" t="s">
        <v>756</v>
      </c>
      <c r="C36" s="68" t="s">
        <v>712</v>
      </c>
      <c r="D36" s="68" t="s">
        <v>708</v>
      </c>
      <c r="E36" s="68">
        <v>10</v>
      </c>
      <c r="F36" s="68" t="s">
        <v>25</v>
      </c>
      <c r="G36" s="66" t="s">
        <v>821</v>
      </c>
      <c r="H36" s="66" t="s">
        <v>822</v>
      </c>
      <c r="I36" s="66" t="s">
        <v>25</v>
      </c>
      <c r="J36" s="66" t="s">
        <v>705</v>
      </c>
      <c r="K36" s="66" t="s">
        <v>706</v>
      </c>
    </row>
    <row r="37" spans="1:11" x14ac:dyDescent="0.15">
      <c r="A37" s="66" t="s">
        <v>823</v>
      </c>
      <c r="B37" s="66" t="s">
        <v>756</v>
      </c>
      <c r="C37" s="68" t="s">
        <v>712</v>
      </c>
      <c r="D37" s="68" t="s">
        <v>708</v>
      </c>
      <c r="E37" s="68">
        <v>11</v>
      </c>
      <c r="F37" s="68" t="s">
        <v>25</v>
      </c>
      <c r="G37" s="66" t="s">
        <v>824</v>
      </c>
      <c r="H37" s="66" t="s">
        <v>825</v>
      </c>
      <c r="I37" s="66" t="s">
        <v>25</v>
      </c>
      <c r="J37" s="66" t="s">
        <v>705</v>
      </c>
      <c r="K37" s="66" t="s">
        <v>706</v>
      </c>
    </row>
    <row r="38" spans="1:11" x14ac:dyDescent="0.15">
      <c r="A38" s="66" t="s">
        <v>826</v>
      </c>
      <c r="B38" s="66" t="s">
        <v>756</v>
      </c>
      <c r="C38" s="68" t="s">
        <v>712</v>
      </c>
      <c r="D38" s="68" t="s">
        <v>708</v>
      </c>
      <c r="E38" s="68">
        <v>12</v>
      </c>
      <c r="F38" s="68" t="s">
        <v>25</v>
      </c>
      <c r="G38" s="66" t="s">
        <v>827</v>
      </c>
      <c r="H38" s="66" t="s">
        <v>828</v>
      </c>
      <c r="I38" s="66" t="s">
        <v>25</v>
      </c>
      <c r="J38" s="66" t="s">
        <v>705</v>
      </c>
      <c r="K38" s="66" t="s">
        <v>706</v>
      </c>
    </row>
    <row r="39" spans="1:11" x14ac:dyDescent="0.15">
      <c r="A39" s="66" t="s">
        <v>829</v>
      </c>
      <c r="B39" s="66" t="s">
        <v>756</v>
      </c>
      <c r="C39" s="68" t="s">
        <v>712</v>
      </c>
      <c r="D39" s="68" t="s">
        <v>708</v>
      </c>
      <c r="E39" s="68">
        <v>13</v>
      </c>
      <c r="F39" s="68" t="s">
        <v>25</v>
      </c>
      <c r="G39" s="66" t="s">
        <v>830</v>
      </c>
      <c r="H39" s="66" t="s">
        <v>831</v>
      </c>
      <c r="I39" s="66" t="s">
        <v>25</v>
      </c>
      <c r="J39" s="66" t="s">
        <v>705</v>
      </c>
      <c r="K39" s="66" t="s">
        <v>706</v>
      </c>
    </row>
    <row r="40" spans="1:11" x14ac:dyDescent="0.15">
      <c r="A40" s="66" t="s">
        <v>832</v>
      </c>
      <c r="B40" s="66" t="s">
        <v>756</v>
      </c>
      <c r="C40" s="68" t="s">
        <v>712</v>
      </c>
      <c r="D40" s="68" t="s">
        <v>708</v>
      </c>
      <c r="E40" s="68">
        <v>14</v>
      </c>
      <c r="F40" s="68" t="s">
        <v>25</v>
      </c>
      <c r="G40" s="66" t="s">
        <v>833</v>
      </c>
      <c r="H40" s="66" t="s">
        <v>834</v>
      </c>
      <c r="I40" s="66" t="s">
        <v>25</v>
      </c>
      <c r="J40" s="66" t="s">
        <v>705</v>
      </c>
      <c r="K40" s="66" t="s">
        <v>706</v>
      </c>
    </row>
    <row r="41" spans="1:11" x14ac:dyDescent="0.15">
      <c r="A41" s="66" t="s">
        <v>835</v>
      </c>
      <c r="B41" s="66" t="s">
        <v>836</v>
      </c>
      <c r="C41" s="68" t="s">
        <v>729</v>
      </c>
      <c r="D41" s="68" t="s">
        <v>752</v>
      </c>
      <c r="E41" s="68">
        <v>1</v>
      </c>
      <c r="F41" s="68" t="s">
        <v>25</v>
      </c>
      <c r="G41" s="66" t="s">
        <v>837</v>
      </c>
      <c r="H41" s="66" t="s">
        <v>838</v>
      </c>
      <c r="I41" s="66" t="s">
        <v>25</v>
      </c>
      <c r="J41" s="66" t="s">
        <v>705</v>
      </c>
      <c r="K41" s="66" t="s">
        <v>839</v>
      </c>
    </row>
    <row r="42" spans="1:11" x14ac:dyDescent="0.15">
      <c r="A42" s="66" t="s">
        <v>840</v>
      </c>
      <c r="B42" s="66" t="s">
        <v>836</v>
      </c>
      <c r="C42" s="68" t="s">
        <v>729</v>
      </c>
      <c r="D42" s="68" t="s">
        <v>752</v>
      </c>
      <c r="E42" s="68">
        <v>2</v>
      </c>
      <c r="F42" s="68" t="s">
        <v>25</v>
      </c>
      <c r="G42" s="66" t="s">
        <v>841</v>
      </c>
      <c r="H42" s="66" t="s">
        <v>842</v>
      </c>
      <c r="I42" s="66" t="s">
        <v>25</v>
      </c>
      <c r="J42" s="66" t="s">
        <v>705</v>
      </c>
      <c r="K42" s="66" t="s">
        <v>839</v>
      </c>
    </row>
    <row r="43" spans="1:11" x14ac:dyDescent="0.15">
      <c r="A43" s="66" t="s">
        <v>843</v>
      </c>
      <c r="B43" s="66" t="s">
        <v>836</v>
      </c>
      <c r="C43" s="68" t="s">
        <v>729</v>
      </c>
      <c r="D43" s="68" t="s">
        <v>752</v>
      </c>
      <c r="E43" s="68">
        <v>3</v>
      </c>
      <c r="F43" s="68" t="s">
        <v>25</v>
      </c>
      <c r="G43" s="66" t="s">
        <v>844</v>
      </c>
      <c r="H43" s="66" t="s">
        <v>845</v>
      </c>
      <c r="I43" s="66" t="s">
        <v>25</v>
      </c>
      <c r="J43" s="66" t="s">
        <v>705</v>
      </c>
      <c r="K43" s="66" t="s">
        <v>839</v>
      </c>
    </row>
    <row r="44" spans="1:11" x14ac:dyDescent="0.15">
      <c r="A44" s="66" t="s">
        <v>846</v>
      </c>
      <c r="B44" s="66" t="s">
        <v>836</v>
      </c>
      <c r="C44" s="68" t="s">
        <v>729</v>
      </c>
      <c r="D44" s="68" t="s">
        <v>752</v>
      </c>
      <c r="E44" s="68">
        <v>4</v>
      </c>
      <c r="F44" s="68" t="s">
        <v>25</v>
      </c>
      <c r="G44" s="66" t="s">
        <v>847</v>
      </c>
      <c r="H44" s="66" t="s">
        <v>848</v>
      </c>
      <c r="I44" s="66" t="s">
        <v>25</v>
      </c>
      <c r="J44" s="66" t="s">
        <v>705</v>
      </c>
      <c r="K44" s="66" t="s">
        <v>839</v>
      </c>
    </row>
    <row r="45" spans="1:11" x14ac:dyDescent="0.15">
      <c r="A45" s="66" t="s">
        <v>849</v>
      </c>
      <c r="B45" s="66" t="s">
        <v>836</v>
      </c>
      <c r="C45" s="68" t="s">
        <v>729</v>
      </c>
      <c r="D45" s="68" t="s">
        <v>752</v>
      </c>
      <c r="E45" s="68">
        <v>5</v>
      </c>
      <c r="F45" s="68" t="s">
        <v>25</v>
      </c>
      <c r="G45" s="66" t="s">
        <v>850</v>
      </c>
      <c r="H45" s="66" t="s">
        <v>851</v>
      </c>
      <c r="I45" s="66" t="s">
        <v>25</v>
      </c>
      <c r="J45" s="66" t="s">
        <v>705</v>
      </c>
      <c r="K45" s="66" t="s">
        <v>839</v>
      </c>
    </row>
    <row r="46" spans="1:11" x14ac:dyDescent="0.15">
      <c r="A46" s="66" t="s">
        <v>852</v>
      </c>
      <c r="B46" s="66" t="s">
        <v>836</v>
      </c>
      <c r="C46" s="68" t="s">
        <v>729</v>
      </c>
      <c r="D46" s="68" t="s">
        <v>752</v>
      </c>
      <c r="E46" s="68">
        <v>6</v>
      </c>
      <c r="F46" s="68" t="s">
        <v>25</v>
      </c>
      <c r="G46" s="66" t="s">
        <v>853</v>
      </c>
      <c r="H46" s="66" t="s">
        <v>854</v>
      </c>
      <c r="I46" s="66" t="s">
        <v>25</v>
      </c>
      <c r="J46" s="66" t="s">
        <v>705</v>
      </c>
      <c r="K46" s="66" t="s">
        <v>839</v>
      </c>
    </row>
    <row r="47" spans="1:11" x14ac:dyDescent="0.15">
      <c r="A47" s="66" t="s">
        <v>855</v>
      </c>
      <c r="B47" s="66" t="s">
        <v>836</v>
      </c>
      <c r="C47" s="68" t="s">
        <v>729</v>
      </c>
      <c r="D47" s="68" t="s">
        <v>752</v>
      </c>
      <c r="E47" s="68">
        <v>7</v>
      </c>
      <c r="F47" s="68" t="s">
        <v>25</v>
      </c>
      <c r="G47" s="66" t="s">
        <v>742</v>
      </c>
      <c r="H47" s="66" t="s">
        <v>856</v>
      </c>
      <c r="I47" s="66" t="s">
        <v>25</v>
      </c>
      <c r="J47" s="66" t="s">
        <v>705</v>
      </c>
      <c r="K47" s="66" t="s">
        <v>839</v>
      </c>
    </row>
    <row r="48" spans="1:11" x14ac:dyDescent="0.15">
      <c r="A48" s="66" t="s">
        <v>857</v>
      </c>
      <c r="B48" s="66" t="s">
        <v>836</v>
      </c>
      <c r="C48" s="68" t="s">
        <v>729</v>
      </c>
      <c r="D48" s="68" t="s">
        <v>752</v>
      </c>
      <c r="E48" s="68">
        <v>8</v>
      </c>
      <c r="F48" s="68" t="s">
        <v>25</v>
      </c>
      <c r="G48" s="66" t="s">
        <v>858</v>
      </c>
      <c r="H48" s="66" t="s">
        <v>859</v>
      </c>
      <c r="I48" s="66" t="s">
        <v>25</v>
      </c>
      <c r="J48" s="66" t="s">
        <v>705</v>
      </c>
      <c r="K48" s="66" t="s">
        <v>839</v>
      </c>
    </row>
    <row r="49" spans="1:11" x14ac:dyDescent="0.15">
      <c r="A49" s="66" t="s">
        <v>860</v>
      </c>
      <c r="B49" s="66" t="s">
        <v>836</v>
      </c>
      <c r="C49" s="68" t="s">
        <v>729</v>
      </c>
      <c r="D49" s="68" t="s">
        <v>752</v>
      </c>
      <c r="E49" s="68">
        <v>9</v>
      </c>
      <c r="F49" s="68" t="s">
        <v>25</v>
      </c>
      <c r="G49" s="305" t="s">
        <v>861</v>
      </c>
      <c r="H49" s="305" t="s">
        <v>862</v>
      </c>
      <c r="I49" s="66" t="s">
        <v>25</v>
      </c>
      <c r="J49" s="66" t="s">
        <v>705</v>
      </c>
      <c r="K49" s="66" t="s">
        <v>839</v>
      </c>
    </row>
    <row r="50" spans="1:11" x14ac:dyDescent="0.15">
      <c r="A50" s="66" t="s">
        <v>863</v>
      </c>
      <c r="B50" s="66" t="s">
        <v>836</v>
      </c>
      <c r="C50" s="68" t="s">
        <v>729</v>
      </c>
      <c r="D50" s="68" t="s">
        <v>752</v>
      </c>
      <c r="E50" s="68">
        <v>10</v>
      </c>
      <c r="F50" s="68" t="s">
        <v>25</v>
      </c>
      <c r="G50" s="66" t="s">
        <v>864</v>
      </c>
      <c r="H50" s="66" t="s">
        <v>865</v>
      </c>
      <c r="I50" s="66" t="s">
        <v>25</v>
      </c>
      <c r="J50" s="66" t="s">
        <v>705</v>
      </c>
      <c r="K50" s="66" t="s">
        <v>839</v>
      </c>
    </row>
    <row r="51" spans="1:11" x14ac:dyDescent="0.15">
      <c r="A51" s="66" t="s">
        <v>866</v>
      </c>
      <c r="B51" s="66" t="s">
        <v>836</v>
      </c>
      <c r="C51" s="68" t="s">
        <v>729</v>
      </c>
      <c r="D51" s="68" t="s">
        <v>752</v>
      </c>
      <c r="E51" s="68">
        <v>11</v>
      </c>
      <c r="F51" s="68" t="s">
        <v>25</v>
      </c>
      <c r="G51" s="66" t="s">
        <v>867</v>
      </c>
      <c r="H51" s="66" t="s">
        <v>868</v>
      </c>
      <c r="I51" s="66" t="s">
        <v>25</v>
      </c>
      <c r="J51" s="66" t="s">
        <v>705</v>
      </c>
      <c r="K51" s="66" t="s">
        <v>839</v>
      </c>
    </row>
    <row r="52" spans="1:11" x14ac:dyDescent="0.15">
      <c r="A52" s="66" t="s">
        <v>869</v>
      </c>
      <c r="B52" s="66" t="s">
        <v>836</v>
      </c>
      <c r="C52" s="68" t="s">
        <v>729</v>
      </c>
      <c r="D52" s="68" t="s">
        <v>752</v>
      </c>
      <c r="E52" s="68">
        <v>12</v>
      </c>
      <c r="F52" s="68" t="s">
        <v>25</v>
      </c>
      <c r="G52" s="66" t="s">
        <v>870</v>
      </c>
      <c r="H52" s="66" t="s">
        <v>871</v>
      </c>
      <c r="I52" s="66" t="s">
        <v>25</v>
      </c>
      <c r="J52" s="66" t="s">
        <v>705</v>
      </c>
      <c r="K52" s="66" t="s">
        <v>839</v>
      </c>
    </row>
    <row r="53" spans="1:11" x14ac:dyDescent="0.15">
      <c r="A53" s="66" t="s">
        <v>872</v>
      </c>
      <c r="B53" s="66" t="s">
        <v>836</v>
      </c>
      <c r="C53" s="68" t="s">
        <v>729</v>
      </c>
      <c r="D53" s="68" t="s">
        <v>752</v>
      </c>
      <c r="E53" s="68">
        <v>13</v>
      </c>
      <c r="F53" s="68" t="s">
        <v>25</v>
      </c>
      <c r="G53" s="66" t="s">
        <v>873</v>
      </c>
      <c r="H53" s="66" t="s">
        <v>874</v>
      </c>
      <c r="I53" s="66" t="s">
        <v>25</v>
      </c>
      <c r="J53" s="66" t="s">
        <v>705</v>
      </c>
      <c r="K53" s="66" t="s">
        <v>839</v>
      </c>
    </row>
    <row r="54" spans="1:11" x14ac:dyDescent="0.15">
      <c r="A54" s="66" t="s">
        <v>875</v>
      </c>
      <c r="B54" s="66" t="s">
        <v>836</v>
      </c>
      <c r="C54" s="68" t="s">
        <v>729</v>
      </c>
      <c r="D54" s="68" t="s">
        <v>752</v>
      </c>
      <c r="E54" s="68">
        <v>14</v>
      </c>
      <c r="F54" s="68" t="s">
        <v>25</v>
      </c>
      <c r="G54" s="66" t="s">
        <v>876</v>
      </c>
      <c r="H54" s="66" t="s">
        <v>877</v>
      </c>
      <c r="I54" s="66" t="s">
        <v>25</v>
      </c>
      <c r="J54" s="66" t="s">
        <v>705</v>
      </c>
      <c r="K54" s="66" t="s">
        <v>839</v>
      </c>
    </row>
    <row r="55" spans="1:11" x14ac:dyDescent="0.15">
      <c r="A55" s="66" t="s">
        <v>878</v>
      </c>
      <c r="B55" s="66" t="s">
        <v>836</v>
      </c>
      <c r="C55" s="68" t="s">
        <v>729</v>
      </c>
      <c r="D55" s="68" t="s">
        <v>752</v>
      </c>
      <c r="E55" s="68">
        <v>15</v>
      </c>
      <c r="F55" s="68" t="s">
        <v>25</v>
      </c>
      <c r="G55" s="66" t="s">
        <v>879</v>
      </c>
      <c r="H55" s="66" t="s">
        <v>880</v>
      </c>
      <c r="I55" s="66" t="s">
        <v>25</v>
      </c>
      <c r="J55" s="66" t="s">
        <v>705</v>
      </c>
      <c r="K55" s="66" t="s">
        <v>839</v>
      </c>
    </row>
    <row r="56" spans="1:11" x14ac:dyDescent="0.15">
      <c r="A56" s="66" t="s">
        <v>881</v>
      </c>
      <c r="B56" s="66" t="s">
        <v>836</v>
      </c>
      <c r="C56" s="68" t="s">
        <v>729</v>
      </c>
      <c r="D56" s="68" t="s">
        <v>752</v>
      </c>
      <c r="E56" s="68">
        <v>16</v>
      </c>
      <c r="F56" s="68" t="s">
        <v>25</v>
      </c>
      <c r="G56" s="66" t="s">
        <v>882</v>
      </c>
      <c r="H56" s="66" t="s">
        <v>883</v>
      </c>
      <c r="I56" s="66" t="s">
        <v>25</v>
      </c>
      <c r="J56" s="66" t="s">
        <v>705</v>
      </c>
      <c r="K56" s="66" t="s">
        <v>839</v>
      </c>
    </row>
    <row r="57" spans="1:11" x14ac:dyDescent="0.15">
      <c r="A57" s="66" t="s">
        <v>884</v>
      </c>
      <c r="B57" s="66" t="s">
        <v>836</v>
      </c>
      <c r="C57" s="68" t="s">
        <v>729</v>
      </c>
      <c r="D57" s="68" t="s">
        <v>752</v>
      </c>
      <c r="E57" s="68">
        <v>17</v>
      </c>
      <c r="F57" s="68" t="s">
        <v>25</v>
      </c>
      <c r="G57" s="305" t="s">
        <v>885</v>
      </c>
      <c r="H57" s="305" t="s">
        <v>886</v>
      </c>
      <c r="I57" s="66" t="s">
        <v>25</v>
      </c>
      <c r="J57" s="66" t="s">
        <v>705</v>
      </c>
      <c r="K57" s="66" t="s">
        <v>839</v>
      </c>
    </row>
    <row r="58" spans="1:11" x14ac:dyDescent="0.15">
      <c r="A58" s="66" t="s">
        <v>887</v>
      </c>
      <c r="B58" s="66" t="s">
        <v>836</v>
      </c>
      <c r="C58" s="68" t="s">
        <v>729</v>
      </c>
      <c r="D58" s="68" t="s">
        <v>752</v>
      </c>
      <c r="E58" s="68">
        <v>18</v>
      </c>
      <c r="F58" s="68" t="s">
        <v>25</v>
      </c>
      <c r="G58" s="66" t="s">
        <v>753</v>
      </c>
      <c r="H58" s="66" t="s">
        <v>888</v>
      </c>
      <c r="I58" s="66" t="s">
        <v>25</v>
      </c>
      <c r="J58" s="66" t="s">
        <v>705</v>
      </c>
      <c r="K58" s="66" t="s">
        <v>839</v>
      </c>
    </row>
    <row r="59" spans="1:11" x14ac:dyDescent="0.15">
      <c r="A59" s="66" t="s">
        <v>889</v>
      </c>
      <c r="B59" s="66" t="s">
        <v>890</v>
      </c>
      <c r="C59" s="68" t="s">
        <v>891</v>
      </c>
      <c r="D59" s="68" t="s">
        <v>702</v>
      </c>
      <c r="E59" s="68">
        <v>1</v>
      </c>
      <c r="F59" s="68" t="s">
        <v>892</v>
      </c>
      <c r="G59" s="66" t="s">
        <v>749</v>
      </c>
      <c r="H59" s="66" t="s">
        <v>749</v>
      </c>
      <c r="I59" s="66" t="s">
        <v>893</v>
      </c>
      <c r="J59" s="66" t="s">
        <v>705</v>
      </c>
      <c r="K59" s="66" t="s">
        <v>706</v>
      </c>
    </row>
    <row r="60" spans="1:11" x14ac:dyDescent="0.15">
      <c r="A60" s="66" t="s">
        <v>894</v>
      </c>
      <c r="B60" s="66" t="s">
        <v>890</v>
      </c>
      <c r="C60" s="68" t="s">
        <v>891</v>
      </c>
      <c r="D60" s="68" t="s">
        <v>708</v>
      </c>
      <c r="E60" s="68">
        <v>2</v>
      </c>
      <c r="F60" s="68" t="s">
        <v>895</v>
      </c>
      <c r="G60" s="66" t="s">
        <v>896</v>
      </c>
      <c r="H60" s="66" t="s">
        <v>896</v>
      </c>
      <c r="I60" s="66" t="s">
        <v>893</v>
      </c>
      <c r="J60" s="66" t="s">
        <v>705</v>
      </c>
      <c r="K60" s="66" t="s">
        <v>706</v>
      </c>
    </row>
    <row r="61" spans="1:11" x14ac:dyDescent="0.15">
      <c r="A61" s="66" t="s">
        <v>897</v>
      </c>
      <c r="B61" s="66" t="s">
        <v>890</v>
      </c>
      <c r="C61" s="68" t="s">
        <v>891</v>
      </c>
      <c r="D61" s="68" t="s">
        <v>712</v>
      </c>
      <c r="E61" s="68">
        <v>3</v>
      </c>
      <c r="F61" s="68" t="s">
        <v>898</v>
      </c>
      <c r="G61" s="66" t="s">
        <v>899</v>
      </c>
      <c r="H61" s="66" t="s">
        <v>899</v>
      </c>
      <c r="I61" s="66" t="s">
        <v>893</v>
      </c>
      <c r="J61" s="66" t="s">
        <v>705</v>
      </c>
      <c r="K61" s="66" t="s">
        <v>706</v>
      </c>
    </row>
    <row r="62" spans="1:11" x14ac:dyDescent="0.15">
      <c r="A62" s="66" t="s">
        <v>900</v>
      </c>
      <c r="B62" s="66" t="s">
        <v>890</v>
      </c>
      <c r="C62" s="68" t="s">
        <v>891</v>
      </c>
      <c r="D62" s="68" t="s">
        <v>717</v>
      </c>
      <c r="E62" s="68">
        <v>4</v>
      </c>
      <c r="F62" s="68" t="s">
        <v>901</v>
      </c>
      <c r="G62" s="66" t="s">
        <v>902</v>
      </c>
      <c r="H62" s="66" t="s">
        <v>902</v>
      </c>
      <c r="I62" s="66" t="s">
        <v>903</v>
      </c>
      <c r="J62" s="66" t="s">
        <v>705</v>
      </c>
      <c r="K62" s="66" t="s">
        <v>706</v>
      </c>
    </row>
    <row r="63" spans="1:11" x14ac:dyDescent="0.15">
      <c r="A63" s="66" t="s">
        <v>904</v>
      </c>
      <c r="B63" s="66" t="s">
        <v>890</v>
      </c>
      <c r="C63" s="68" t="s">
        <v>891</v>
      </c>
      <c r="D63" s="68" t="s">
        <v>721</v>
      </c>
      <c r="E63" s="68">
        <v>5</v>
      </c>
      <c r="F63" s="68" t="s">
        <v>905</v>
      </c>
      <c r="G63" s="66" t="s">
        <v>906</v>
      </c>
      <c r="H63" s="66" t="s">
        <v>906</v>
      </c>
      <c r="I63" s="66" t="s">
        <v>907</v>
      </c>
      <c r="J63" s="66" t="s">
        <v>705</v>
      </c>
      <c r="K63" s="66" t="s">
        <v>706</v>
      </c>
    </row>
    <row r="64" spans="1:11" x14ac:dyDescent="0.15">
      <c r="A64" s="66" t="s">
        <v>908</v>
      </c>
      <c r="B64" s="66" t="s">
        <v>890</v>
      </c>
      <c r="C64" s="68" t="s">
        <v>891</v>
      </c>
      <c r="D64" s="68" t="s">
        <v>725</v>
      </c>
      <c r="E64" s="68">
        <v>6</v>
      </c>
      <c r="F64" s="68" t="s">
        <v>909</v>
      </c>
      <c r="G64" s="66" t="s">
        <v>910</v>
      </c>
      <c r="H64" s="66" t="s">
        <v>910</v>
      </c>
      <c r="I64" s="66" t="s">
        <v>907</v>
      </c>
      <c r="J64" s="66" t="s">
        <v>705</v>
      </c>
      <c r="K64" s="66" t="s">
        <v>706</v>
      </c>
    </row>
    <row r="65" spans="1:11" x14ac:dyDescent="0.15">
      <c r="A65" s="66" t="s">
        <v>911</v>
      </c>
      <c r="B65" s="66" t="s">
        <v>890</v>
      </c>
      <c r="C65" s="68" t="s">
        <v>891</v>
      </c>
      <c r="D65" s="68" t="s">
        <v>729</v>
      </c>
      <c r="E65" s="68">
        <v>7</v>
      </c>
      <c r="F65" s="68" t="s">
        <v>912</v>
      </c>
      <c r="G65" s="66" t="s">
        <v>913</v>
      </c>
      <c r="H65" s="66" t="s">
        <v>913</v>
      </c>
      <c r="I65" s="66" t="s">
        <v>907</v>
      </c>
      <c r="J65" s="66" t="s">
        <v>705</v>
      </c>
      <c r="K65" s="66" t="s">
        <v>706</v>
      </c>
    </row>
    <row r="66" spans="1:11" x14ac:dyDescent="0.15">
      <c r="A66" s="66" t="s">
        <v>914</v>
      </c>
      <c r="B66" s="66" t="s">
        <v>890</v>
      </c>
      <c r="C66" s="68" t="s">
        <v>891</v>
      </c>
      <c r="D66" s="68" t="s">
        <v>733</v>
      </c>
      <c r="E66" s="68">
        <v>8</v>
      </c>
      <c r="F66" s="68" t="s">
        <v>915</v>
      </c>
      <c r="G66" s="66" t="s">
        <v>916</v>
      </c>
      <c r="H66" s="66" t="s">
        <v>916</v>
      </c>
      <c r="I66" s="66" t="s">
        <v>903</v>
      </c>
      <c r="J66" s="66" t="s">
        <v>705</v>
      </c>
      <c r="K66" s="66" t="s">
        <v>706</v>
      </c>
    </row>
    <row r="67" spans="1:11" x14ac:dyDescent="0.15">
      <c r="A67" s="66" t="s">
        <v>917</v>
      </c>
      <c r="B67" s="66" t="s">
        <v>918</v>
      </c>
      <c r="C67" s="68" t="s">
        <v>708</v>
      </c>
      <c r="D67" s="68" t="s">
        <v>702</v>
      </c>
      <c r="E67" s="68">
        <v>1</v>
      </c>
      <c r="F67" s="68" t="s">
        <v>25</v>
      </c>
      <c r="G67" s="66" t="s">
        <v>919</v>
      </c>
      <c r="H67" s="66" t="s">
        <v>919</v>
      </c>
      <c r="I67" s="70" t="s">
        <v>25</v>
      </c>
      <c r="J67" s="66" t="s">
        <v>705</v>
      </c>
      <c r="K67" s="66" t="s">
        <v>706</v>
      </c>
    </row>
    <row r="68" spans="1:11" x14ac:dyDescent="0.15">
      <c r="A68" s="66" t="s">
        <v>920</v>
      </c>
      <c r="B68" s="66" t="s">
        <v>918</v>
      </c>
      <c r="C68" s="68" t="s">
        <v>708</v>
      </c>
      <c r="D68" s="68" t="s">
        <v>708</v>
      </c>
      <c r="E68" s="68">
        <v>2</v>
      </c>
      <c r="F68" s="68" t="s">
        <v>25</v>
      </c>
      <c r="G68" s="66" t="s">
        <v>921</v>
      </c>
      <c r="H68" s="66" t="s">
        <v>921</v>
      </c>
      <c r="I68" s="70" t="s">
        <v>25</v>
      </c>
      <c r="J68" s="66" t="s">
        <v>715</v>
      </c>
      <c r="K68" s="66" t="s">
        <v>706</v>
      </c>
    </row>
    <row r="69" spans="1:11" x14ac:dyDescent="0.15">
      <c r="A69" s="66" t="s">
        <v>922</v>
      </c>
      <c r="B69" s="66" t="s">
        <v>918</v>
      </c>
      <c r="C69" s="68" t="s">
        <v>708</v>
      </c>
      <c r="D69" s="68" t="s">
        <v>712</v>
      </c>
      <c r="E69" s="68">
        <v>3</v>
      </c>
      <c r="F69" s="68" t="s">
        <v>25</v>
      </c>
      <c r="G69" s="66" t="s">
        <v>923</v>
      </c>
      <c r="H69" s="66" t="s">
        <v>923</v>
      </c>
      <c r="I69" s="70" t="s">
        <v>25</v>
      </c>
      <c r="J69" s="66" t="s">
        <v>715</v>
      </c>
      <c r="K69" s="66" t="s">
        <v>706</v>
      </c>
    </row>
    <row r="70" spans="1:11" x14ac:dyDescent="0.15">
      <c r="A70" s="66" t="s">
        <v>924</v>
      </c>
      <c r="B70" s="66" t="s">
        <v>918</v>
      </c>
      <c r="C70" s="68" t="s">
        <v>708</v>
      </c>
      <c r="D70" s="68" t="s">
        <v>717</v>
      </c>
      <c r="E70" s="68">
        <v>4</v>
      </c>
      <c r="F70" s="68" t="s">
        <v>25</v>
      </c>
      <c r="G70" s="66" t="s">
        <v>925</v>
      </c>
      <c r="H70" s="66" t="s">
        <v>925</v>
      </c>
      <c r="I70" s="70" t="s">
        <v>25</v>
      </c>
      <c r="J70" s="66" t="s">
        <v>715</v>
      </c>
      <c r="K70" s="66" t="s">
        <v>706</v>
      </c>
    </row>
    <row r="71" spans="1:11" x14ac:dyDescent="0.15">
      <c r="A71" s="66" t="s">
        <v>926</v>
      </c>
      <c r="B71" s="66" t="s">
        <v>918</v>
      </c>
      <c r="C71" s="68" t="s">
        <v>708</v>
      </c>
      <c r="D71" s="68" t="s">
        <v>721</v>
      </c>
      <c r="E71" s="68">
        <v>5</v>
      </c>
      <c r="F71" s="68" t="s">
        <v>25</v>
      </c>
      <c r="G71" s="66" t="s">
        <v>927</v>
      </c>
      <c r="H71" s="66" t="s">
        <v>928</v>
      </c>
      <c r="I71" s="70" t="s">
        <v>25</v>
      </c>
      <c r="J71" s="66" t="s">
        <v>715</v>
      </c>
      <c r="K71" s="66" t="s">
        <v>706</v>
      </c>
    </row>
    <row r="72" spans="1:11" x14ac:dyDescent="0.15">
      <c r="A72" s="66" t="s">
        <v>929</v>
      </c>
      <c r="B72" s="66" t="s">
        <v>918</v>
      </c>
      <c r="C72" s="66" t="s">
        <v>708</v>
      </c>
      <c r="D72" s="66" t="s">
        <v>725</v>
      </c>
      <c r="E72" s="66">
        <v>6</v>
      </c>
      <c r="F72" s="66" t="s">
        <v>25</v>
      </c>
      <c r="G72" s="66" t="s">
        <v>930</v>
      </c>
      <c r="H72" s="69" t="s">
        <v>928</v>
      </c>
      <c r="I72" s="70" t="s">
        <v>25</v>
      </c>
      <c r="J72" s="66" t="s">
        <v>715</v>
      </c>
      <c r="K72" s="66" t="s">
        <v>706</v>
      </c>
    </row>
    <row r="73" spans="1:11" x14ac:dyDescent="0.15">
      <c r="A73" s="66" t="s">
        <v>931</v>
      </c>
      <c r="B73" s="66" t="s">
        <v>918</v>
      </c>
      <c r="C73" s="66" t="s">
        <v>708</v>
      </c>
      <c r="D73" s="66" t="s">
        <v>729</v>
      </c>
      <c r="E73" s="66">
        <v>7</v>
      </c>
      <c r="F73" s="66" t="s">
        <v>25</v>
      </c>
      <c r="G73" s="66" t="s">
        <v>932</v>
      </c>
      <c r="H73" s="69" t="s">
        <v>933</v>
      </c>
      <c r="I73" s="70" t="s">
        <v>25</v>
      </c>
      <c r="J73" s="66" t="s">
        <v>715</v>
      </c>
      <c r="K73" s="66" t="s">
        <v>706</v>
      </c>
    </row>
    <row r="74" spans="1:11" x14ac:dyDescent="0.15">
      <c r="A74" s="66" t="s">
        <v>934</v>
      </c>
      <c r="B74" s="66" t="s">
        <v>935</v>
      </c>
      <c r="C74" s="66" t="s">
        <v>725</v>
      </c>
      <c r="D74" s="66" t="s">
        <v>702</v>
      </c>
      <c r="E74" s="66">
        <v>1</v>
      </c>
      <c r="F74" s="66" t="s">
        <v>25</v>
      </c>
      <c r="G74" s="66" t="s">
        <v>718</v>
      </c>
      <c r="H74" s="69" t="s">
        <v>718</v>
      </c>
      <c r="I74" s="70" t="s">
        <v>25</v>
      </c>
      <c r="J74" s="66" t="s">
        <v>715</v>
      </c>
      <c r="K74" s="66" t="s">
        <v>706</v>
      </c>
    </row>
    <row r="75" spans="1:11" x14ac:dyDescent="0.15">
      <c r="A75" s="66" t="s">
        <v>936</v>
      </c>
      <c r="B75" s="66" t="s">
        <v>935</v>
      </c>
      <c r="C75" s="66" t="s">
        <v>725</v>
      </c>
      <c r="D75" s="66" t="s">
        <v>708</v>
      </c>
      <c r="E75" s="66">
        <v>2</v>
      </c>
      <c r="F75" s="66" t="s">
        <v>25</v>
      </c>
      <c r="G75" s="66" t="s">
        <v>722</v>
      </c>
      <c r="H75" s="69" t="s">
        <v>722</v>
      </c>
      <c r="I75" s="70" t="s">
        <v>25</v>
      </c>
      <c r="J75" s="66" t="s">
        <v>715</v>
      </c>
      <c r="K75" s="66" t="s">
        <v>706</v>
      </c>
    </row>
    <row r="76" spans="1:11" x14ac:dyDescent="0.15">
      <c r="A76" s="66" t="s">
        <v>937</v>
      </c>
      <c r="B76" s="66" t="s">
        <v>935</v>
      </c>
      <c r="C76" s="66" t="s">
        <v>725</v>
      </c>
      <c r="D76" s="66" t="s">
        <v>712</v>
      </c>
      <c r="E76" s="66">
        <v>3</v>
      </c>
      <c r="F76" s="66" t="s">
        <v>25</v>
      </c>
      <c r="G76" s="66" t="s">
        <v>938</v>
      </c>
      <c r="H76" s="69" t="s">
        <v>938</v>
      </c>
      <c r="I76" s="70" t="s">
        <v>25</v>
      </c>
      <c r="J76" s="66" t="s">
        <v>705</v>
      </c>
      <c r="K76" s="66" t="s">
        <v>706</v>
      </c>
    </row>
    <row r="77" spans="1:11" x14ac:dyDescent="0.15">
      <c r="A77" s="66" t="s">
        <v>939</v>
      </c>
      <c r="B77" s="66" t="s">
        <v>940</v>
      </c>
      <c r="C77" s="66" t="s">
        <v>752</v>
      </c>
      <c r="D77" s="66" t="s">
        <v>717</v>
      </c>
      <c r="E77" s="66">
        <v>1</v>
      </c>
      <c r="F77" s="66" t="s">
        <v>898</v>
      </c>
      <c r="G77" s="66" t="s">
        <v>941</v>
      </c>
      <c r="H77" s="69" t="s">
        <v>942</v>
      </c>
      <c r="I77" s="70" t="s">
        <v>25</v>
      </c>
      <c r="J77" s="66" t="s">
        <v>715</v>
      </c>
      <c r="K77" s="66" t="s">
        <v>943</v>
      </c>
    </row>
    <row r="78" spans="1:11" x14ac:dyDescent="0.15">
      <c r="A78" s="66" t="s">
        <v>944</v>
      </c>
      <c r="B78" s="66" t="s">
        <v>940</v>
      </c>
      <c r="C78" s="66" t="s">
        <v>752</v>
      </c>
      <c r="D78" s="66" t="s">
        <v>717</v>
      </c>
      <c r="E78" s="66">
        <v>2</v>
      </c>
      <c r="F78" s="66" t="s">
        <v>945</v>
      </c>
      <c r="G78" s="66" t="s">
        <v>946</v>
      </c>
      <c r="H78" s="69" t="s">
        <v>947</v>
      </c>
      <c r="I78" s="66" t="s">
        <v>25</v>
      </c>
      <c r="J78" s="66" t="s">
        <v>715</v>
      </c>
      <c r="K78" s="66" t="s">
        <v>943</v>
      </c>
    </row>
    <row r="79" spans="1:11" x14ac:dyDescent="0.15">
      <c r="A79" s="66" t="s">
        <v>948</v>
      </c>
      <c r="B79" s="66" t="s">
        <v>940</v>
      </c>
      <c r="C79" s="66" t="s">
        <v>752</v>
      </c>
      <c r="D79" s="66" t="s">
        <v>717</v>
      </c>
      <c r="E79" s="69">
        <v>3</v>
      </c>
      <c r="F79" s="66" t="s">
        <v>949</v>
      </c>
      <c r="G79" s="66" t="s">
        <v>950</v>
      </c>
      <c r="H79" s="69" t="s">
        <v>951</v>
      </c>
      <c r="I79" s="66" t="s">
        <v>25</v>
      </c>
      <c r="J79" s="66" t="s">
        <v>715</v>
      </c>
      <c r="K79" s="66" t="s">
        <v>943</v>
      </c>
    </row>
    <row r="80" spans="1:11" x14ac:dyDescent="0.15">
      <c r="A80" s="66" t="s">
        <v>952</v>
      </c>
      <c r="B80" s="66" t="s">
        <v>940</v>
      </c>
      <c r="C80" s="66" t="s">
        <v>752</v>
      </c>
      <c r="D80" s="66" t="s">
        <v>953</v>
      </c>
      <c r="E80" s="69">
        <v>1</v>
      </c>
      <c r="F80" s="66" t="s">
        <v>898</v>
      </c>
      <c r="G80" s="66" t="s">
        <v>954</v>
      </c>
      <c r="H80" s="69" t="s">
        <v>955</v>
      </c>
      <c r="I80" s="66" t="s">
        <v>25</v>
      </c>
      <c r="J80" s="66" t="s">
        <v>715</v>
      </c>
      <c r="K80" s="66" t="s">
        <v>943</v>
      </c>
    </row>
    <row r="81" spans="1:11" x14ac:dyDescent="0.15">
      <c r="A81" s="66" t="s">
        <v>956</v>
      </c>
      <c r="B81" s="66" t="s">
        <v>940</v>
      </c>
      <c r="C81" s="66" t="s">
        <v>752</v>
      </c>
      <c r="D81" s="66" t="s">
        <v>953</v>
      </c>
      <c r="E81" s="69">
        <v>2</v>
      </c>
      <c r="F81" s="66" t="s">
        <v>945</v>
      </c>
      <c r="G81" s="66" t="s">
        <v>957</v>
      </c>
      <c r="H81" s="71" t="s">
        <v>958</v>
      </c>
      <c r="I81" s="66" t="s">
        <v>25</v>
      </c>
      <c r="J81" s="66" t="s">
        <v>715</v>
      </c>
      <c r="K81" s="66" t="s">
        <v>943</v>
      </c>
    </row>
    <row r="82" spans="1:11" x14ac:dyDescent="0.15">
      <c r="A82" s="66" t="s">
        <v>959</v>
      </c>
      <c r="B82" s="66" t="s">
        <v>940</v>
      </c>
      <c r="C82" s="66" t="s">
        <v>752</v>
      </c>
      <c r="D82" s="66" t="s">
        <v>953</v>
      </c>
      <c r="E82" s="69">
        <v>3</v>
      </c>
      <c r="F82" s="66" t="s">
        <v>949</v>
      </c>
      <c r="G82" s="66" t="s">
        <v>960</v>
      </c>
      <c r="H82" s="69" t="s">
        <v>961</v>
      </c>
      <c r="I82" s="66" t="s">
        <v>25</v>
      </c>
      <c r="J82" s="66" t="s">
        <v>715</v>
      </c>
      <c r="K82" s="66" t="s">
        <v>943</v>
      </c>
    </row>
    <row r="83" spans="1:11" x14ac:dyDescent="0.15">
      <c r="A83" s="66" t="s">
        <v>962</v>
      </c>
      <c r="B83" s="66" t="s">
        <v>963</v>
      </c>
      <c r="C83" s="66" t="s">
        <v>721</v>
      </c>
      <c r="D83" s="66" t="s">
        <v>702</v>
      </c>
      <c r="E83" s="69">
        <v>1</v>
      </c>
      <c r="F83" s="66" t="s">
        <v>25</v>
      </c>
      <c r="G83" s="66" t="s">
        <v>964</v>
      </c>
      <c r="H83" s="71" t="s">
        <v>965</v>
      </c>
      <c r="I83" s="66" t="s">
        <v>966</v>
      </c>
      <c r="J83" s="66" t="s">
        <v>715</v>
      </c>
      <c r="K83" s="66" t="s">
        <v>706</v>
      </c>
    </row>
    <row r="84" spans="1:11" x14ac:dyDescent="0.15">
      <c r="A84" s="66" t="s">
        <v>967</v>
      </c>
      <c r="B84" s="66" t="s">
        <v>968</v>
      </c>
      <c r="C84" s="66" t="s">
        <v>717</v>
      </c>
      <c r="D84" s="66" t="s">
        <v>702</v>
      </c>
      <c r="E84" s="69">
        <v>1</v>
      </c>
      <c r="F84" s="66" t="s">
        <v>25</v>
      </c>
      <c r="G84" s="70" t="s">
        <v>969</v>
      </c>
      <c r="H84" s="69" t="s">
        <v>970</v>
      </c>
      <c r="I84" s="66" t="s">
        <v>25</v>
      </c>
      <c r="J84" s="66" t="s">
        <v>705</v>
      </c>
      <c r="K84" s="66" t="s">
        <v>706</v>
      </c>
    </row>
    <row r="85" spans="1:11" x14ac:dyDescent="0.15">
      <c r="A85" s="66" t="s">
        <v>971</v>
      </c>
      <c r="B85" s="66" t="s">
        <v>968</v>
      </c>
      <c r="C85" s="66" t="s">
        <v>717</v>
      </c>
      <c r="D85" s="66" t="s">
        <v>708</v>
      </c>
      <c r="E85" s="69">
        <v>2</v>
      </c>
      <c r="F85" s="66" t="s">
        <v>25</v>
      </c>
      <c r="G85" s="70" t="s">
        <v>972</v>
      </c>
      <c r="H85" s="69" t="s">
        <v>973</v>
      </c>
      <c r="I85" s="66" t="s">
        <v>25</v>
      </c>
      <c r="J85" s="66" t="s">
        <v>715</v>
      </c>
      <c r="K85" s="66" t="s">
        <v>706</v>
      </c>
    </row>
    <row r="86" spans="1:11" x14ac:dyDescent="0.15">
      <c r="A86" s="66" t="s">
        <v>974</v>
      </c>
      <c r="B86" s="66" t="s">
        <v>975</v>
      </c>
      <c r="C86" s="66" t="s">
        <v>702</v>
      </c>
      <c r="D86" s="66" t="s">
        <v>702</v>
      </c>
      <c r="E86" s="69">
        <v>1</v>
      </c>
      <c r="F86" s="66" t="s">
        <v>892</v>
      </c>
      <c r="G86" s="70" t="s">
        <v>976</v>
      </c>
      <c r="H86" s="71" t="s">
        <v>977</v>
      </c>
      <c r="I86" s="66" t="s">
        <v>978</v>
      </c>
      <c r="J86" s="66" t="s">
        <v>979</v>
      </c>
      <c r="K86" s="66" t="s">
        <v>706</v>
      </c>
    </row>
    <row r="87" spans="1:11" x14ac:dyDescent="0.15">
      <c r="A87" s="66" t="s">
        <v>980</v>
      </c>
      <c r="B87" s="66" t="s">
        <v>975</v>
      </c>
      <c r="C87" s="66" t="s">
        <v>702</v>
      </c>
      <c r="D87" s="66" t="s">
        <v>702</v>
      </c>
      <c r="E87" s="69">
        <v>2</v>
      </c>
      <c r="F87" s="66" t="s">
        <v>895</v>
      </c>
      <c r="G87" s="70" t="s">
        <v>976</v>
      </c>
      <c r="H87" s="71" t="s">
        <v>977</v>
      </c>
      <c r="I87" s="66" t="s">
        <v>981</v>
      </c>
      <c r="J87" s="66" t="s">
        <v>979</v>
      </c>
      <c r="K87" s="66" t="s">
        <v>706</v>
      </c>
    </row>
    <row r="88" spans="1:11" x14ac:dyDescent="0.15">
      <c r="A88" s="66" t="s">
        <v>982</v>
      </c>
      <c r="B88" s="66" t="s">
        <v>975</v>
      </c>
      <c r="C88" s="66" t="s">
        <v>702</v>
      </c>
      <c r="D88" s="66" t="s">
        <v>702</v>
      </c>
      <c r="E88" s="69">
        <v>3</v>
      </c>
      <c r="F88" s="66" t="s">
        <v>898</v>
      </c>
      <c r="G88" s="66" t="s">
        <v>976</v>
      </c>
      <c r="H88" s="71" t="s">
        <v>977</v>
      </c>
      <c r="I88" s="66" t="s">
        <v>983</v>
      </c>
      <c r="J88" s="66" t="s">
        <v>979</v>
      </c>
      <c r="K88" s="66" t="s">
        <v>706</v>
      </c>
    </row>
    <row r="89" spans="1:11" x14ac:dyDescent="0.15">
      <c r="A89" s="66" t="s">
        <v>984</v>
      </c>
      <c r="B89" s="66" t="s">
        <v>975</v>
      </c>
      <c r="C89" s="66" t="s">
        <v>702</v>
      </c>
      <c r="D89" s="66" t="s">
        <v>702</v>
      </c>
      <c r="E89" s="69">
        <v>4</v>
      </c>
      <c r="F89" s="66" t="s">
        <v>901</v>
      </c>
      <c r="G89" s="66" t="s">
        <v>976</v>
      </c>
      <c r="H89" s="71" t="s">
        <v>977</v>
      </c>
      <c r="I89" s="66" t="s">
        <v>985</v>
      </c>
      <c r="J89" s="66" t="s">
        <v>979</v>
      </c>
      <c r="K89" s="66" t="s">
        <v>706</v>
      </c>
    </row>
    <row r="90" spans="1:11" x14ac:dyDescent="0.15">
      <c r="A90" s="66" t="s">
        <v>986</v>
      </c>
      <c r="B90" s="66" t="s">
        <v>975</v>
      </c>
      <c r="C90" s="66" t="s">
        <v>702</v>
      </c>
      <c r="D90" s="66" t="s">
        <v>702</v>
      </c>
      <c r="E90" s="69">
        <v>5</v>
      </c>
      <c r="F90" s="66" t="s">
        <v>905</v>
      </c>
      <c r="G90" s="66" t="s">
        <v>976</v>
      </c>
      <c r="H90" s="302" t="s">
        <v>977</v>
      </c>
      <c r="I90" s="66" t="s">
        <v>987</v>
      </c>
      <c r="J90" s="66" t="s">
        <v>979</v>
      </c>
      <c r="K90" s="66" t="s">
        <v>706</v>
      </c>
    </row>
    <row r="91" spans="1:11" x14ac:dyDescent="0.15">
      <c r="A91" s="66" t="s">
        <v>988</v>
      </c>
      <c r="B91" s="66" t="s">
        <v>975</v>
      </c>
      <c r="C91" s="66" t="s">
        <v>702</v>
      </c>
      <c r="D91" s="66" t="s">
        <v>702</v>
      </c>
      <c r="E91" s="69">
        <v>6</v>
      </c>
      <c r="F91" s="66" t="s">
        <v>909</v>
      </c>
      <c r="G91" s="66" t="s">
        <v>976</v>
      </c>
      <c r="H91" s="302" t="s">
        <v>977</v>
      </c>
      <c r="I91" s="66" t="s">
        <v>989</v>
      </c>
      <c r="J91" s="66" t="s">
        <v>979</v>
      </c>
      <c r="K91" s="66" t="s">
        <v>706</v>
      </c>
    </row>
    <row r="92" spans="1:11" x14ac:dyDescent="0.15">
      <c r="A92" s="66" t="s">
        <v>990</v>
      </c>
      <c r="B92" s="66" t="s">
        <v>975</v>
      </c>
      <c r="C92" s="66" t="s">
        <v>702</v>
      </c>
      <c r="D92" s="66" t="s">
        <v>708</v>
      </c>
      <c r="E92" s="69">
        <v>7</v>
      </c>
      <c r="F92" s="305" t="s">
        <v>991</v>
      </c>
      <c r="G92" s="66" t="s">
        <v>992</v>
      </c>
      <c r="H92" s="302" t="s">
        <v>993</v>
      </c>
      <c r="I92" s="66" t="s">
        <v>978</v>
      </c>
      <c r="J92" s="66" t="s">
        <v>979</v>
      </c>
      <c r="K92" s="66" t="s">
        <v>706</v>
      </c>
    </row>
    <row r="93" spans="1:11" x14ac:dyDescent="0.15">
      <c r="A93" s="66" t="s">
        <v>994</v>
      </c>
      <c r="B93" s="66" t="s">
        <v>975</v>
      </c>
      <c r="C93" s="66" t="s">
        <v>702</v>
      </c>
      <c r="D93" s="66" t="s">
        <v>708</v>
      </c>
      <c r="E93" s="69">
        <v>8</v>
      </c>
      <c r="F93" s="66" t="s">
        <v>895</v>
      </c>
      <c r="G93" s="66" t="s">
        <v>992</v>
      </c>
      <c r="H93" s="302" t="s">
        <v>993</v>
      </c>
      <c r="I93" s="66" t="s">
        <v>981</v>
      </c>
      <c r="J93" s="66" t="s">
        <v>979</v>
      </c>
      <c r="K93" s="66" t="s">
        <v>706</v>
      </c>
    </row>
    <row r="94" spans="1:11" x14ac:dyDescent="0.15">
      <c r="A94" s="66" t="s">
        <v>995</v>
      </c>
      <c r="B94" s="66" t="s">
        <v>975</v>
      </c>
      <c r="C94" s="66" t="s">
        <v>702</v>
      </c>
      <c r="D94" s="66" t="s">
        <v>708</v>
      </c>
      <c r="E94" s="69">
        <v>9</v>
      </c>
      <c r="F94" s="66" t="s">
        <v>898</v>
      </c>
      <c r="G94" s="66" t="s">
        <v>992</v>
      </c>
      <c r="H94" s="302" t="s">
        <v>993</v>
      </c>
      <c r="I94" s="66" t="s">
        <v>983</v>
      </c>
      <c r="J94" s="66" t="s">
        <v>979</v>
      </c>
      <c r="K94" s="66" t="s">
        <v>706</v>
      </c>
    </row>
    <row r="95" spans="1:11" x14ac:dyDescent="0.15">
      <c r="A95" s="66" t="s">
        <v>996</v>
      </c>
      <c r="B95" s="66" t="s">
        <v>975</v>
      </c>
      <c r="C95" s="66" t="s">
        <v>702</v>
      </c>
      <c r="D95" s="66" t="s">
        <v>708</v>
      </c>
      <c r="E95" s="69">
        <v>10</v>
      </c>
      <c r="F95" s="66" t="s">
        <v>901</v>
      </c>
      <c r="G95" s="66" t="s">
        <v>992</v>
      </c>
      <c r="H95" s="302" t="s">
        <v>993</v>
      </c>
      <c r="I95" s="66" t="s">
        <v>985</v>
      </c>
      <c r="J95" s="66" t="s">
        <v>979</v>
      </c>
      <c r="K95" s="66" t="s">
        <v>706</v>
      </c>
    </row>
    <row r="96" spans="1:11" x14ac:dyDescent="0.15">
      <c r="A96" s="66" t="s">
        <v>997</v>
      </c>
      <c r="B96" s="66" t="s">
        <v>975</v>
      </c>
      <c r="C96" s="66" t="s">
        <v>702</v>
      </c>
      <c r="D96" s="66" t="s">
        <v>708</v>
      </c>
      <c r="E96" s="69">
        <v>11</v>
      </c>
      <c r="F96" s="66" t="s">
        <v>905</v>
      </c>
      <c r="G96" s="66" t="s">
        <v>992</v>
      </c>
      <c r="H96" s="302" t="s">
        <v>993</v>
      </c>
      <c r="I96" s="66" t="s">
        <v>987</v>
      </c>
      <c r="J96" s="66" t="s">
        <v>979</v>
      </c>
      <c r="K96" s="66" t="s">
        <v>706</v>
      </c>
    </row>
    <row r="97" spans="1:11" x14ac:dyDescent="0.15">
      <c r="A97" s="66" t="s">
        <v>998</v>
      </c>
      <c r="B97" s="66" t="s">
        <v>975</v>
      </c>
      <c r="C97" s="66" t="s">
        <v>702</v>
      </c>
      <c r="D97" s="66" t="s">
        <v>708</v>
      </c>
      <c r="E97" s="69">
        <v>12</v>
      </c>
      <c r="F97" s="66" t="s">
        <v>909</v>
      </c>
      <c r="G97" s="66" t="s">
        <v>992</v>
      </c>
      <c r="H97" s="302" t="s">
        <v>993</v>
      </c>
      <c r="I97" s="66" t="s">
        <v>989</v>
      </c>
      <c r="J97" s="66" t="s">
        <v>979</v>
      </c>
      <c r="K97" s="66" t="s">
        <v>706</v>
      </c>
    </row>
    <row r="98" spans="1:11" x14ac:dyDescent="0.15">
      <c r="A98" s="66" t="s">
        <v>999</v>
      </c>
      <c r="B98" s="66" t="s">
        <v>1000</v>
      </c>
      <c r="C98" s="66" t="s">
        <v>748</v>
      </c>
      <c r="D98" s="66" t="s">
        <v>1001</v>
      </c>
      <c r="E98" s="69">
        <v>1</v>
      </c>
      <c r="F98" s="66" t="s">
        <v>25</v>
      </c>
      <c r="G98" s="66" t="s">
        <v>1002</v>
      </c>
      <c r="H98" s="66" t="s">
        <v>1003</v>
      </c>
      <c r="I98" s="66" t="s">
        <v>25</v>
      </c>
      <c r="J98" s="66" t="s">
        <v>705</v>
      </c>
      <c r="K98" s="66" t="s">
        <v>706</v>
      </c>
    </row>
    <row r="99" spans="1:11" x14ac:dyDescent="0.15">
      <c r="A99" s="66" t="s">
        <v>1004</v>
      </c>
      <c r="B99" s="66" t="s">
        <v>1005</v>
      </c>
      <c r="C99" s="66" t="s">
        <v>1006</v>
      </c>
      <c r="D99" s="66" t="s">
        <v>1007</v>
      </c>
      <c r="E99" s="69">
        <v>1</v>
      </c>
      <c r="F99" s="66" t="s">
        <v>25</v>
      </c>
      <c r="G99" s="66" t="s">
        <v>1008</v>
      </c>
      <c r="H99" s="66" t="s">
        <v>1008</v>
      </c>
      <c r="I99" s="66" t="s">
        <v>25</v>
      </c>
      <c r="J99" s="66" t="s">
        <v>715</v>
      </c>
      <c r="K99" s="66" t="s">
        <v>706</v>
      </c>
    </row>
    <row r="100" spans="1:11" x14ac:dyDescent="0.15">
      <c r="A100" s="66" t="s">
        <v>1009</v>
      </c>
      <c r="B100" s="66" t="s">
        <v>1005</v>
      </c>
      <c r="C100" s="66" t="s">
        <v>1006</v>
      </c>
      <c r="D100" s="66" t="s">
        <v>1007</v>
      </c>
      <c r="E100" s="69">
        <v>2</v>
      </c>
      <c r="F100" s="66" t="s">
        <v>25</v>
      </c>
      <c r="G100" s="66" t="s">
        <v>1010</v>
      </c>
      <c r="H100" s="66" t="s">
        <v>1010</v>
      </c>
      <c r="I100" s="66" t="s">
        <v>25</v>
      </c>
      <c r="J100" s="66" t="s">
        <v>715</v>
      </c>
      <c r="K100" s="66" t="s">
        <v>706</v>
      </c>
    </row>
    <row r="101" spans="1:11" x14ac:dyDescent="0.15">
      <c r="A101" s="66" t="s">
        <v>1011</v>
      </c>
      <c r="B101" s="66" t="s">
        <v>1005</v>
      </c>
      <c r="C101" s="66" t="s">
        <v>1006</v>
      </c>
      <c r="D101" s="66" t="s">
        <v>1007</v>
      </c>
      <c r="E101" s="69">
        <v>3</v>
      </c>
      <c r="F101" s="66" t="s">
        <v>25</v>
      </c>
      <c r="G101" s="66" t="s">
        <v>1012</v>
      </c>
      <c r="H101" s="66" t="s">
        <v>1012</v>
      </c>
      <c r="I101" s="66" t="s">
        <v>25</v>
      </c>
      <c r="J101" s="66" t="s">
        <v>715</v>
      </c>
      <c r="K101" s="66" t="s">
        <v>706</v>
      </c>
    </row>
    <row r="102" spans="1:11" x14ac:dyDescent="0.15">
      <c r="A102" s="66" t="s">
        <v>1013</v>
      </c>
      <c r="B102" s="66" t="s">
        <v>1014</v>
      </c>
      <c r="C102" s="66" t="s">
        <v>741</v>
      </c>
      <c r="D102" s="66" t="s">
        <v>729</v>
      </c>
      <c r="E102" s="69">
        <v>1</v>
      </c>
      <c r="F102" s="66" t="s">
        <v>25</v>
      </c>
      <c r="G102" s="66" t="s">
        <v>1015</v>
      </c>
      <c r="H102" s="66">
        <v>301180719</v>
      </c>
      <c r="I102" s="66" t="s">
        <v>25</v>
      </c>
      <c r="J102" s="66" t="s">
        <v>705</v>
      </c>
      <c r="K102" s="66" t="s">
        <v>706</v>
      </c>
    </row>
    <row r="103" spans="1:11" x14ac:dyDescent="0.15">
      <c r="A103" s="66" t="s">
        <v>1016</v>
      </c>
      <c r="B103" s="66" t="s">
        <v>1014</v>
      </c>
      <c r="C103" s="66" t="s">
        <v>741</v>
      </c>
      <c r="D103" s="66" t="s">
        <v>729</v>
      </c>
      <c r="E103" s="69">
        <v>2</v>
      </c>
      <c r="F103" s="66" t="s">
        <v>25</v>
      </c>
      <c r="G103" s="66" t="s">
        <v>1017</v>
      </c>
      <c r="H103" s="66">
        <v>301190651</v>
      </c>
      <c r="I103" s="66" t="s">
        <v>25</v>
      </c>
      <c r="J103" s="66" t="s">
        <v>705</v>
      </c>
      <c r="K103" s="66" t="s">
        <v>706</v>
      </c>
    </row>
    <row r="104" spans="1:11" x14ac:dyDescent="0.15">
      <c r="A104" s="66" t="s">
        <v>1018</v>
      </c>
      <c r="B104" s="66" t="s">
        <v>1014</v>
      </c>
      <c r="C104" s="66" t="s">
        <v>741</v>
      </c>
      <c r="D104" s="66" t="s">
        <v>729</v>
      </c>
      <c r="E104" s="69">
        <v>3</v>
      </c>
      <c r="F104" s="66" t="s">
        <v>25</v>
      </c>
      <c r="G104" s="66" t="s">
        <v>1019</v>
      </c>
      <c r="H104" s="66">
        <v>301050004</v>
      </c>
      <c r="I104" s="66" t="s">
        <v>25</v>
      </c>
      <c r="J104" s="66" t="s">
        <v>705</v>
      </c>
      <c r="K104" s="66" t="s">
        <v>706</v>
      </c>
    </row>
    <row r="105" spans="1:11" x14ac:dyDescent="0.15">
      <c r="A105" s="66" t="s">
        <v>1020</v>
      </c>
      <c r="B105" s="66" t="s">
        <v>1014</v>
      </c>
      <c r="C105" s="66" t="s">
        <v>741</v>
      </c>
      <c r="D105" s="66" t="s">
        <v>729</v>
      </c>
      <c r="E105" s="69">
        <v>4</v>
      </c>
      <c r="F105" s="66" t="s">
        <v>25</v>
      </c>
      <c r="G105" s="66" t="s">
        <v>1021</v>
      </c>
      <c r="H105" s="66">
        <v>301030019</v>
      </c>
      <c r="I105" s="66" t="s">
        <v>25</v>
      </c>
      <c r="J105" s="66" t="s">
        <v>705</v>
      </c>
      <c r="K105" s="66" t="s">
        <v>706</v>
      </c>
    </row>
    <row r="106" spans="1:11" x14ac:dyDescent="0.15">
      <c r="A106" s="66" t="s">
        <v>1022</v>
      </c>
      <c r="B106" s="66" t="s">
        <v>1014</v>
      </c>
      <c r="C106" s="66" t="s">
        <v>741</v>
      </c>
      <c r="D106" s="66" t="s">
        <v>729</v>
      </c>
      <c r="E106" s="69">
        <v>5</v>
      </c>
      <c r="F106" s="66" t="s">
        <v>25</v>
      </c>
      <c r="G106" s="66" t="s">
        <v>1023</v>
      </c>
      <c r="H106" s="66">
        <v>301030021</v>
      </c>
      <c r="I106" s="66" t="s">
        <v>25</v>
      </c>
      <c r="J106" s="66" t="s">
        <v>705</v>
      </c>
      <c r="K106" s="66" t="s">
        <v>706</v>
      </c>
    </row>
    <row r="107" spans="1:11" x14ac:dyDescent="0.15">
      <c r="A107" s="66" t="s">
        <v>1024</v>
      </c>
      <c r="B107" s="66" t="s">
        <v>1014</v>
      </c>
      <c r="C107" s="66" t="s">
        <v>741</v>
      </c>
      <c r="D107" s="66" t="s">
        <v>729</v>
      </c>
      <c r="E107" s="69">
        <v>6</v>
      </c>
      <c r="F107" s="66" t="s">
        <v>25</v>
      </c>
      <c r="G107" s="66" t="s">
        <v>1025</v>
      </c>
      <c r="H107" s="66">
        <v>301020003</v>
      </c>
      <c r="I107" s="66" t="s">
        <v>25</v>
      </c>
      <c r="J107" s="66" t="s">
        <v>705</v>
      </c>
      <c r="K107" s="66" t="s">
        <v>706</v>
      </c>
    </row>
    <row r="108" spans="1:11" x14ac:dyDescent="0.15">
      <c r="A108" s="304" t="s">
        <v>1026</v>
      </c>
      <c r="B108" s="304" t="s">
        <v>1027</v>
      </c>
      <c r="C108" s="304" t="s">
        <v>1028</v>
      </c>
      <c r="D108" s="304" t="s">
        <v>702</v>
      </c>
      <c r="E108" s="74">
        <v>1</v>
      </c>
      <c r="F108" s="304" t="s">
        <v>25</v>
      </c>
      <c r="G108" s="303" t="s">
        <v>1029</v>
      </c>
      <c r="H108" s="74">
        <v>321192701</v>
      </c>
      <c r="I108" s="304" t="s">
        <v>25</v>
      </c>
      <c r="J108" s="66" t="s">
        <v>705</v>
      </c>
      <c r="K108" s="66" t="s">
        <v>706</v>
      </c>
    </row>
    <row r="109" spans="1:11" x14ac:dyDescent="0.15">
      <c r="A109" s="304" t="s">
        <v>1030</v>
      </c>
      <c r="B109" s="304" t="s">
        <v>1027</v>
      </c>
      <c r="C109" s="304" t="s">
        <v>1028</v>
      </c>
      <c r="D109" s="304" t="s">
        <v>708</v>
      </c>
      <c r="E109" s="74">
        <v>2</v>
      </c>
      <c r="F109" s="304" t="s">
        <v>25</v>
      </c>
      <c r="G109" s="304" t="s">
        <v>1031</v>
      </c>
      <c r="H109" s="74">
        <v>321192204</v>
      </c>
      <c r="I109" s="304" t="s">
        <v>25</v>
      </c>
      <c r="J109" s="66" t="s">
        <v>705</v>
      </c>
      <c r="K109" s="66" t="s">
        <v>706</v>
      </c>
    </row>
    <row r="110" spans="1:11" x14ac:dyDescent="0.15">
      <c r="A110" s="304" t="s">
        <v>1032</v>
      </c>
      <c r="B110" s="304" t="s">
        <v>1027</v>
      </c>
      <c r="C110" s="304" t="s">
        <v>1028</v>
      </c>
      <c r="D110" s="304" t="s">
        <v>712</v>
      </c>
      <c r="E110" s="74">
        <v>3</v>
      </c>
      <c r="F110" s="304" t="s">
        <v>25</v>
      </c>
      <c r="G110" s="304" t="s">
        <v>1033</v>
      </c>
      <c r="H110" s="74">
        <v>321193501</v>
      </c>
      <c r="I110" s="304" t="s">
        <v>25</v>
      </c>
      <c r="J110" s="66" t="s">
        <v>705</v>
      </c>
      <c r="K110" s="66" t="s">
        <v>706</v>
      </c>
    </row>
    <row r="111" spans="1:11" x14ac:dyDescent="0.15">
      <c r="A111" s="304" t="s">
        <v>1034</v>
      </c>
      <c r="B111" s="304" t="s">
        <v>1027</v>
      </c>
      <c r="C111" s="304" t="s">
        <v>1028</v>
      </c>
      <c r="D111" s="304" t="s">
        <v>717</v>
      </c>
      <c r="E111" s="74">
        <v>4</v>
      </c>
      <c r="F111" s="304" t="s">
        <v>25</v>
      </c>
      <c r="G111" s="304" t="s">
        <v>1035</v>
      </c>
      <c r="H111" s="74">
        <v>321193201</v>
      </c>
      <c r="I111" s="304" t="s">
        <v>25</v>
      </c>
      <c r="J111" s="66" t="s">
        <v>705</v>
      </c>
      <c r="K111" s="66" t="s">
        <v>706</v>
      </c>
    </row>
    <row r="112" spans="1:11" x14ac:dyDescent="0.15">
      <c r="A112" s="304" t="s">
        <v>1036</v>
      </c>
      <c r="B112" s="304" t="s">
        <v>1027</v>
      </c>
      <c r="C112" s="304" t="s">
        <v>1028</v>
      </c>
      <c r="D112" s="304" t="s">
        <v>721</v>
      </c>
      <c r="E112" s="74">
        <v>5</v>
      </c>
      <c r="F112" s="304" t="s">
        <v>25</v>
      </c>
      <c r="G112" s="304" t="s">
        <v>1037</v>
      </c>
      <c r="H112" s="74">
        <v>321192212</v>
      </c>
      <c r="I112" s="304" t="s">
        <v>25</v>
      </c>
      <c r="J112" s="66" t="s">
        <v>705</v>
      </c>
      <c r="K112" s="66" t="s">
        <v>706</v>
      </c>
    </row>
    <row r="113" spans="1:11" x14ac:dyDescent="0.15">
      <c r="A113" s="304" t="s">
        <v>1038</v>
      </c>
      <c r="B113" s="304" t="s">
        <v>1039</v>
      </c>
      <c r="C113" s="304" t="s">
        <v>953</v>
      </c>
      <c r="D113" s="304" t="s">
        <v>702</v>
      </c>
      <c r="E113" s="74">
        <v>1</v>
      </c>
      <c r="F113" s="304" t="s">
        <v>25</v>
      </c>
      <c r="G113" s="304" t="s">
        <v>1040</v>
      </c>
      <c r="H113" s="74">
        <v>321192701</v>
      </c>
      <c r="I113" s="304" t="s">
        <v>25</v>
      </c>
      <c r="J113" s="66" t="s">
        <v>705</v>
      </c>
      <c r="K113" s="66" t="s">
        <v>706</v>
      </c>
    </row>
    <row r="114" spans="1:11" x14ac:dyDescent="0.15">
      <c r="A114" s="304" t="s">
        <v>1041</v>
      </c>
      <c r="B114" s="304" t="s">
        <v>1039</v>
      </c>
      <c r="C114" s="304" t="s">
        <v>953</v>
      </c>
      <c r="D114" s="304" t="s">
        <v>708</v>
      </c>
      <c r="E114" s="74">
        <v>2</v>
      </c>
      <c r="F114" s="304" t="s">
        <v>25</v>
      </c>
      <c r="G114" s="304" t="s">
        <v>1042</v>
      </c>
      <c r="H114" s="74">
        <v>321181302</v>
      </c>
      <c r="I114" s="304" t="s">
        <v>25</v>
      </c>
      <c r="J114" s="66" t="s">
        <v>705</v>
      </c>
      <c r="K114" s="66" t="s">
        <v>706</v>
      </c>
    </row>
    <row r="115" spans="1:11" x14ac:dyDescent="0.15">
      <c r="A115" s="304" t="s">
        <v>1043</v>
      </c>
      <c r="B115" s="304" t="s">
        <v>1039</v>
      </c>
      <c r="C115" s="304" t="s">
        <v>953</v>
      </c>
      <c r="D115" s="304" t="s">
        <v>712</v>
      </c>
      <c r="E115" s="74">
        <v>3</v>
      </c>
      <c r="F115" s="304" t="s">
        <v>25</v>
      </c>
      <c r="G115" s="304" t="s">
        <v>1044</v>
      </c>
      <c r="H115" s="74">
        <v>321192212</v>
      </c>
      <c r="I115" s="304" t="s">
        <v>25</v>
      </c>
      <c r="J115" s="66" t="s">
        <v>705</v>
      </c>
      <c r="K115" s="66" t="s">
        <v>706</v>
      </c>
    </row>
    <row r="116" spans="1:11" x14ac:dyDescent="0.15">
      <c r="A116" s="304" t="s">
        <v>1045</v>
      </c>
      <c r="B116" s="304" t="s">
        <v>1039</v>
      </c>
      <c r="C116" s="304" t="s">
        <v>953</v>
      </c>
      <c r="D116" s="304" t="s">
        <v>717</v>
      </c>
      <c r="E116" s="74">
        <v>4</v>
      </c>
      <c r="F116" s="304" t="s">
        <v>25</v>
      </c>
      <c r="G116" s="304" t="s">
        <v>1046</v>
      </c>
      <c r="H116" s="74">
        <v>321190601</v>
      </c>
      <c r="I116" s="304" t="s">
        <v>25</v>
      </c>
      <c r="J116" s="66" t="s">
        <v>705</v>
      </c>
      <c r="K116" s="66" t="s">
        <v>706</v>
      </c>
    </row>
    <row r="117" spans="1:11" x14ac:dyDescent="0.15">
      <c r="A117" s="305" t="s">
        <v>1047</v>
      </c>
      <c r="B117" s="305" t="s">
        <v>1048</v>
      </c>
      <c r="C117" s="66" t="s">
        <v>1049</v>
      </c>
      <c r="D117" s="66" t="s">
        <v>702</v>
      </c>
      <c r="E117" s="69">
        <v>1</v>
      </c>
      <c r="F117" s="66" t="s">
        <v>25</v>
      </c>
      <c r="G117" s="305" t="s">
        <v>1050</v>
      </c>
      <c r="H117" s="304" t="s">
        <v>25</v>
      </c>
      <c r="I117" s="304" t="s">
        <v>25</v>
      </c>
      <c r="J117" s="66" t="s">
        <v>705</v>
      </c>
      <c r="K117" s="66" t="s">
        <v>706</v>
      </c>
    </row>
    <row r="118" spans="1:11" x14ac:dyDescent="0.15">
      <c r="A118" s="66" t="s">
        <v>1051</v>
      </c>
      <c r="B118" s="66" t="s">
        <v>1052</v>
      </c>
      <c r="C118" s="66" t="s">
        <v>1007</v>
      </c>
      <c r="D118" s="66" t="s">
        <v>702</v>
      </c>
      <c r="E118" s="69">
        <v>1</v>
      </c>
      <c r="F118" s="66" t="s">
        <v>25</v>
      </c>
      <c r="G118" s="305" t="s">
        <v>1053</v>
      </c>
      <c r="H118" s="66" t="s">
        <v>1054</v>
      </c>
      <c r="I118" s="66">
        <v>75</v>
      </c>
      <c r="J118" s="66" t="s">
        <v>979</v>
      </c>
      <c r="K118" s="66" t="s">
        <v>706</v>
      </c>
    </row>
    <row r="119" spans="1:11" x14ac:dyDescent="0.15">
      <c r="A119" s="66" t="s">
        <v>1055</v>
      </c>
      <c r="B119" s="66" t="s">
        <v>1052</v>
      </c>
      <c r="C119" s="66" t="s">
        <v>1007</v>
      </c>
      <c r="D119" s="66" t="s">
        <v>708</v>
      </c>
      <c r="E119" s="69">
        <v>2</v>
      </c>
      <c r="F119" s="66" t="s">
        <v>25</v>
      </c>
      <c r="G119" s="305" t="s">
        <v>1056</v>
      </c>
      <c r="H119" s="66" t="s">
        <v>1057</v>
      </c>
      <c r="I119" s="66">
        <v>75</v>
      </c>
      <c r="J119" s="66" t="s">
        <v>979</v>
      </c>
      <c r="K119" s="66" t="s">
        <v>706</v>
      </c>
    </row>
  </sheetData>
  <phoneticPr fontId="4"/>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E6AEAC6530E514792DF8AB1A2192557" ma:contentTypeVersion="8" ma:contentTypeDescription="新しいドキュメントを作成します。" ma:contentTypeScope="" ma:versionID="7086557a758fa10d995dfce2780ac561">
  <xsd:schema xmlns:xsd="http://www.w3.org/2001/XMLSchema" xmlns:xs="http://www.w3.org/2001/XMLSchema" xmlns:p="http://schemas.microsoft.com/office/2006/metadata/properties" xmlns:ns2="c3b08bc5-da99-4475-9cea-8190f020cc59" xmlns:ns3="9e7ab9cb-f097-457f-85cf-fa02fba73cb2" targetNamespace="http://schemas.microsoft.com/office/2006/metadata/properties" ma:root="true" ma:fieldsID="7bc5d9f932e27e0081b410f447ea7187" ns2:_="" ns3:_="">
    <xsd:import namespace="c3b08bc5-da99-4475-9cea-8190f020cc59"/>
    <xsd:import namespace="9e7ab9cb-f097-457f-85cf-fa02fba73cb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b08bc5-da99-4475-9cea-8190f020cc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5b78dc83-ca9e-435d-bf5b-fd312d7f555f"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7ab9cb-f097-457f-85cf-fa02fba73cb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8d1b821-2ae0-469d-9839-9db5403fabaf}" ma:internalName="TaxCatchAll" ma:showField="CatchAllData" ma:web="9e7ab9cb-f097-457f-85cf-fa02fba73c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001356-B4BE-4EA0-83EC-52EF0760C6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b08bc5-da99-4475-9cea-8190f020cc59"/>
    <ds:schemaRef ds:uri="9e7ab9cb-f097-457f-85cf-fa02fba73c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0694C1-7E73-451B-9184-BC7C4370C5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vt:i4>
      </vt:variant>
    </vt:vector>
  </HeadingPairs>
  <TitlesOfParts>
    <vt:vector size="15" baseType="lpstr">
      <vt:lpstr>入力シート</vt:lpstr>
      <vt:lpstr>入力シート（2事業場以降）</vt:lpstr>
      <vt:lpstr>様式第1（通常）</vt:lpstr>
      <vt:lpstr>様式第1（10事業場30台）</vt:lpstr>
      <vt:lpstr>様式第1（50事業場150台）</vt:lpstr>
      <vt:lpstr>中間シート</vt:lpstr>
      <vt:lpstr>プルダウン</vt:lpstr>
      <vt:lpstr>インポート</vt:lpstr>
      <vt:lpstr>補助対象機器一覧20220831</vt:lpstr>
      <vt:lpstr>認証書等・整備士証明等</vt:lpstr>
      <vt:lpstr>認証書等・整備士証明等!Print_Area</vt:lpstr>
      <vt:lpstr>'様式第1（10事業場30台）'!Print_Area</vt:lpstr>
      <vt:lpstr>'様式第1（50事業場150台）'!Print_Area</vt:lpstr>
      <vt:lpstr>'様式第1（通常）'!Print_Area</vt:lpstr>
      <vt:lpstr>補助対象機器一覧20220831!補助対象機器一覧_コード番号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2022-08-09T00:58:30Z</dcterms:created>
  <dcterms:modified xsi:type="dcterms:W3CDTF">2022-09-01T04:45:30Z</dcterms:modified>
  <cp:category/>
  <cp:contentStatus/>
</cp:coreProperties>
</file>