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5.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filterPrivacy="1" codeName="ThisWorkbook" defaultThemeVersion="124226"/>
  <xr:revisionPtr revIDLastSave="0" documentId="13_ncr:1_{078F3D9C-1D7F-44BC-AD88-4FF8F0716948}" xr6:coauthVersionLast="47" xr6:coauthVersionMax="47" xr10:uidLastSave="{00000000-0000-0000-0000-000000000000}"/>
  <workbookProtection workbookAlgorithmName="SHA-512" workbookHashValue="3Dl57vjz7RPp8MC4xB1b+Jbidz+ebfT+mx7X2vBZJFO2t3cUCC9fl0XWGkxFov2JEMreN4DUlRaN7TonAvhreQ==" workbookSaltValue="ztzu2HccVipyml/tHtN4yA==" workbookSpinCount="100000" lockStructure="1"/>
  <bookViews>
    <workbookView xWindow="2865" yWindow="480" windowWidth="20565" windowHeight="14985" xr2:uid="{00000000-000D-0000-FFFF-FFFF00000000}"/>
  </bookViews>
  <sheets>
    <sheet name="使い方" sheetId="7" r:id="rId1"/>
    <sheet name="入力シート" sheetId="2" r:id="rId2"/>
    <sheet name="金額入力シート" sheetId="27" r:id="rId3"/>
    <sheet name="エラー確認シート" sheetId="10" r:id="rId4"/>
    <sheet name="反映シート" sheetId="14" state="hidden" r:id="rId5"/>
    <sheet name="エラー判定" sheetId="18" state="hidden" r:id="rId6"/>
    <sheet name="リスト" sheetId="8" state="hidden" r:id="rId7"/>
    <sheet name="メモ" sheetId="15" state="hidden" r:id="rId8"/>
    <sheet name="めも２" sheetId="19" state="hidden" r:id="rId9"/>
    <sheet name="様式第１_本紙" sheetId="1" r:id="rId10"/>
    <sheet name="様式第１_別紙１" sheetId="3" r:id="rId11"/>
    <sheet name="様式第１_別紙2 (代表申請者)" sheetId="6" r:id="rId12"/>
    <sheet name="様式第１_別紙2 (共同申請者)" sheetId="9" r:id="rId13"/>
    <sheet name="様式第１_別紙2 (予備)" sheetId="11" r:id="rId14"/>
    <sheet name="車両動態管理システム" sheetId="23" r:id="rId15"/>
    <sheet name="予約受付システム等" sheetId="22" r:id="rId16"/>
    <sheet name="配車計画システム" sheetId="21" r:id="rId17"/>
    <sheet name="AI・IoTによるシステム連係ツール " sheetId="20" r:id="rId18"/>
    <sheet name="インポート" sheetId="25" state="hidden" r:id="rId19"/>
  </sheets>
  <definedNames>
    <definedName name="_xlnm.Print_Area" localSheetId="17">'AI・IoTによるシステム連係ツール '!$A$1:$AS$37</definedName>
    <definedName name="_xlnm.Print_Area" localSheetId="14">車両動態管理システム!$A$1:$AS$42</definedName>
    <definedName name="_xlnm.Print_Area" localSheetId="16">配車計画システム!$A$1:$AS$41</definedName>
    <definedName name="_xlnm.Print_Area" localSheetId="15">予約受付システム等!$A$1:$AS$39</definedName>
    <definedName name="_xlnm.Print_Area" localSheetId="10">様式第１_別紙１!$A$1:$M$29</definedName>
    <definedName name="_xlnm.Print_Area" localSheetId="12">'様式第１_別紙2 (共同申請者)'!$A$1:$P$34</definedName>
    <definedName name="_xlnm.Print_Area" localSheetId="11">'様式第１_別紙2 (代表申請者)'!$A$1:$P$34</definedName>
    <definedName name="_xlnm.Print_Area" localSheetId="13">'様式第１_別紙2 (予備)'!$A$1:$P$34</definedName>
    <definedName name="_xlnm.Print_Area" localSheetId="9">様式第１_本紙!$A$1:$W$48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8" l="1"/>
  <c r="G375" i="14"/>
  <c r="G373" i="14"/>
  <c r="I152" i="2" l="1"/>
  <c r="E6" i="27" l="1"/>
  <c r="Q437" i="14"/>
  <c r="Q435" i="14"/>
  <c r="Q433" i="14"/>
  <c r="Q431" i="14"/>
  <c r="Q429" i="14"/>
  <c r="Q427" i="14"/>
  <c r="Q423" i="14"/>
  <c r="Q421" i="14"/>
  <c r="Q419" i="14"/>
  <c r="Q417" i="14"/>
  <c r="Q415" i="14"/>
  <c r="Q413" i="14"/>
  <c r="Q80" i="14"/>
  <c r="O80" i="14"/>
  <c r="Q41" i="14"/>
  <c r="O41" i="14"/>
  <c r="Q6" i="27"/>
  <c r="Q4" i="27"/>
  <c r="M12" i="27" l="1"/>
  <c r="I240" i="2"/>
  <c r="I242" i="2"/>
  <c r="J112" i="27"/>
  <c r="J106" i="27"/>
  <c r="J82" i="27"/>
  <c r="J102" i="27"/>
  <c r="F88" i="27"/>
  <c r="J26" i="27"/>
  <c r="F64" i="27"/>
  <c r="F96" i="27"/>
  <c r="F108" i="27"/>
  <c r="J84" i="27"/>
  <c r="F84" i="27"/>
  <c r="J50" i="27"/>
  <c r="J34" i="27"/>
  <c r="F86" i="27"/>
  <c r="J64" i="27"/>
  <c r="J70" i="27"/>
  <c r="J74" i="27"/>
  <c r="J110" i="27"/>
  <c r="J98" i="27"/>
  <c r="F104" i="27"/>
  <c r="J20" i="27"/>
  <c r="F78" i="27"/>
  <c r="J68" i="27"/>
  <c r="J86" i="27"/>
  <c r="J28" i="27"/>
  <c r="J56" i="27"/>
  <c r="J88" i="27"/>
  <c r="F68" i="27"/>
  <c r="F106" i="27"/>
  <c r="J42" i="27"/>
  <c r="J76" i="27"/>
  <c r="F80" i="27"/>
  <c r="J104" i="27"/>
  <c r="J30" i="27"/>
  <c r="J94" i="27"/>
  <c r="J108" i="27"/>
  <c r="J36" i="27"/>
  <c r="J66" i="27"/>
  <c r="Q3" i="27"/>
  <c r="J32" i="27"/>
  <c r="J96" i="27"/>
  <c r="F90" i="27"/>
  <c r="F110" i="27"/>
  <c r="J38" i="27"/>
  <c r="J80" i="27"/>
  <c r="J48" i="27"/>
  <c r="J24" i="27"/>
  <c r="J100" i="27"/>
  <c r="F76" i="27"/>
  <c r="F70" i="27"/>
  <c r="J44" i="27"/>
  <c r="J40" i="27"/>
  <c r="F72" i="27"/>
  <c r="F92" i="27"/>
  <c r="F112" i="27"/>
  <c r="J60" i="27"/>
  <c r="J52" i="27"/>
  <c r="J18" i="27"/>
  <c r="F102" i="27"/>
  <c r="F98" i="27"/>
  <c r="F74" i="27"/>
  <c r="F100" i="27"/>
  <c r="J62" i="27"/>
  <c r="J54" i="27"/>
  <c r="F66" i="27"/>
  <c r="J78" i="27"/>
  <c r="F94" i="27"/>
  <c r="J46" i="27"/>
  <c r="J90" i="27"/>
  <c r="J72" i="27"/>
  <c r="J92" i="27"/>
  <c r="J58" i="27"/>
  <c r="F82" i="27"/>
  <c r="J22" i="27"/>
  <c r="E80" i="14"/>
  <c r="E41" i="14"/>
  <c r="B102" i="25"/>
  <c r="B9" i="25"/>
  <c r="Q1" i="27" l="1"/>
  <c r="O12" i="27" s="1"/>
  <c r="I246" i="2" s="1"/>
  <c r="M18" i="27"/>
  <c r="B109" i="25"/>
  <c r="N390" i="2"/>
  <c r="N374" i="2"/>
  <c r="C453" i="2" l="1"/>
  <c r="M457" i="2" l="1"/>
  <c r="Q457" i="2"/>
  <c r="O457" i="2"/>
  <c r="K457" i="2"/>
  <c r="I457" i="2"/>
  <c r="F457" i="2"/>
  <c r="C457" i="2"/>
  <c r="H61" i="10" l="1"/>
  <c r="E49" i="14"/>
  <c r="W49" i="14" s="1"/>
  <c r="O49" i="14" s="1"/>
  <c r="B14" i="25" s="1"/>
  <c r="C446" i="2" l="1"/>
  <c r="N152" i="2" l="1"/>
  <c r="N150" i="2"/>
  <c r="E53" i="14" l="1"/>
  <c r="O53" i="14" s="1"/>
  <c r="E40" i="18" l="1"/>
  <c r="I244" i="2" l="1"/>
  <c r="C412" i="2"/>
  <c r="I256" i="2"/>
  <c r="G379" i="14"/>
  <c r="I218" i="2"/>
  <c r="I195" i="2"/>
  <c r="E238" i="18" l="1"/>
  <c r="S238" i="18" s="1"/>
  <c r="B111" i="25"/>
  <c r="C10" i="14"/>
  <c r="E8" i="18"/>
  <c r="X8" i="18" l="1"/>
  <c r="F15" i="10"/>
  <c r="O5" i="14"/>
  <c r="E15" i="14" s="1"/>
  <c r="M5" i="14"/>
  <c r="E13" i="14" s="1"/>
  <c r="H15" i="10" l="1"/>
  <c r="Q15" i="10"/>
  <c r="C1" i="8"/>
  <c r="B1" i="8"/>
  <c r="E71" i="14"/>
  <c r="B7" i="25"/>
  <c r="C4" i="8"/>
  <c r="C3" i="8"/>
  <c r="C2" i="8"/>
  <c r="B3" i="8"/>
  <c r="B2" i="8"/>
  <c r="B4" i="8"/>
  <c r="B6" i="25"/>
  <c r="M128" i="2"/>
  <c r="C76" i="14"/>
  <c r="E58" i="18" l="1"/>
  <c r="F47" i="10" s="1"/>
  <c r="H47" i="10" s="1"/>
  <c r="E110" i="14"/>
  <c r="B12" i="2"/>
  <c r="G389" i="14"/>
  <c r="E444" i="14"/>
  <c r="E295" i="18" s="1"/>
  <c r="G393" i="14"/>
  <c r="G391" i="14"/>
  <c r="C450" i="14"/>
  <c r="G387" i="14"/>
  <c r="Q450" i="14"/>
  <c r="M450" i="14"/>
  <c r="O450" i="14"/>
  <c r="K450" i="14"/>
  <c r="I450" i="14"/>
  <c r="G450" i="14"/>
  <c r="E450" i="14"/>
  <c r="E108" i="14"/>
  <c r="E88" i="14"/>
  <c r="W88" i="14" s="1"/>
  <c r="O88" i="14" s="1"/>
  <c r="B24" i="25" s="1"/>
  <c r="E104" i="14"/>
  <c r="E89" i="18" s="1"/>
  <c r="E92" i="14"/>
  <c r="O92" i="14" s="1"/>
  <c r="E82" i="14"/>
  <c r="E96" i="14"/>
  <c r="O96" i="14" s="1"/>
  <c r="B26" i="25" s="1"/>
  <c r="E106" i="14"/>
  <c r="E91" i="18" s="1"/>
  <c r="F71" i="10" s="1"/>
  <c r="E90" i="14"/>
  <c r="O90" i="14" s="1"/>
  <c r="E86" i="14"/>
  <c r="O86" i="14" s="1"/>
  <c r="B23" i="25" s="1"/>
  <c r="E98" i="14"/>
  <c r="E83" i="18" s="1"/>
  <c r="E84" i="14"/>
  <c r="O84" i="14" s="1"/>
  <c r="B22" i="25" s="1"/>
  <c r="E100" i="14"/>
  <c r="O100" i="14" s="1"/>
  <c r="B28" i="25" s="1"/>
  <c r="E102" i="14"/>
  <c r="O102" i="14" s="1"/>
  <c r="C37" i="14"/>
  <c r="M130" i="2"/>
  <c r="M132" i="2" s="1"/>
  <c r="M134" i="2" s="1"/>
  <c r="M136" i="2" s="1"/>
  <c r="M124" i="2"/>
  <c r="C5" i="14"/>
  <c r="C143" i="2"/>
  <c r="N388" i="2"/>
  <c r="G5" i="14"/>
  <c r="Z134" i="14" l="1"/>
  <c r="O110" i="14"/>
  <c r="E95" i="18"/>
  <c r="F75" i="10" s="1"/>
  <c r="E93" i="18"/>
  <c r="Q478" i="14"/>
  <c r="E474" i="14"/>
  <c r="G468" i="14"/>
  <c r="I478" i="14"/>
  <c r="K472" i="14"/>
  <c r="M466" i="14"/>
  <c r="O460" i="14"/>
  <c r="Q454" i="14"/>
  <c r="G478" i="14"/>
  <c r="I472" i="14"/>
  <c r="K466" i="14"/>
  <c r="M460" i="14"/>
  <c r="O454" i="14"/>
  <c r="E478" i="14"/>
  <c r="G472" i="14"/>
  <c r="I466" i="14"/>
  <c r="K460" i="14"/>
  <c r="M454" i="14"/>
  <c r="Q476" i="14"/>
  <c r="E472" i="14"/>
  <c r="G466" i="14"/>
  <c r="I460" i="14"/>
  <c r="K454" i="14"/>
  <c r="O476" i="14"/>
  <c r="Q470" i="14"/>
  <c r="E466" i="14"/>
  <c r="G460" i="14"/>
  <c r="I454" i="14"/>
  <c r="M476" i="14"/>
  <c r="O470" i="14"/>
  <c r="Q464" i="14"/>
  <c r="E460" i="14"/>
  <c r="G454" i="14"/>
  <c r="K476" i="14"/>
  <c r="M470" i="14"/>
  <c r="O464" i="14"/>
  <c r="Q458" i="14"/>
  <c r="E454" i="14"/>
  <c r="I476" i="14"/>
  <c r="K470" i="14"/>
  <c r="M464" i="14"/>
  <c r="O458" i="14"/>
  <c r="Q452" i="14"/>
  <c r="G476" i="14"/>
  <c r="I470" i="14"/>
  <c r="K464" i="14"/>
  <c r="M458" i="14"/>
  <c r="O452" i="14"/>
  <c r="E476" i="14"/>
  <c r="G470" i="14"/>
  <c r="I464" i="14"/>
  <c r="K458" i="14"/>
  <c r="M452" i="14"/>
  <c r="E470" i="14"/>
  <c r="G464" i="14"/>
  <c r="I458" i="14"/>
  <c r="K452" i="14"/>
  <c r="Q468" i="14"/>
  <c r="E464" i="14"/>
  <c r="I452" i="14"/>
  <c r="M474" i="14"/>
  <c r="O468" i="14"/>
  <c r="E458" i="14"/>
  <c r="K474" i="14"/>
  <c r="Q456" i="14"/>
  <c r="K468" i="14"/>
  <c r="G474" i="14"/>
  <c r="E468" i="14"/>
  <c r="M478" i="14"/>
  <c r="E462" i="14"/>
  <c r="Q460" i="14"/>
  <c r="G458" i="14"/>
  <c r="G452" i="14"/>
  <c r="O462" i="14"/>
  <c r="E452" i="14"/>
  <c r="O456" i="14"/>
  <c r="I468" i="14"/>
  <c r="Q472" i="14"/>
  <c r="M472" i="14"/>
  <c r="Q474" i="14"/>
  <c r="M468" i="14"/>
  <c r="I474" i="14"/>
  <c r="K462" i="14"/>
  <c r="K456" i="14"/>
  <c r="I456" i="14"/>
  <c r="O472" i="14"/>
  <c r="G456" i="14"/>
  <c r="O474" i="14"/>
  <c r="M462" i="14"/>
  <c r="I462" i="14"/>
  <c r="G462" i="14"/>
  <c r="Q466" i="14"/>
  <c r="O466" i="14"/>
  <c r="Q462" i="14"/>
  <c r="M456" i="14"/>
  <c r="O478" i="14"/>
  <c r="K478" i="14"/>
  <c r="E456" i="14"/>
  <c r="C452" i="14"/>
  <c r="C301" i="18" s="1"/>
  <c r="C478" i="14"/>
  <c r="C474" i="14"/>
  <c r="C470" i="14"/>
  <c r="C466" i="14"/>
  <c r="C462" i="14"/>
  <c r="C458" i="14"/>
  <c r="C454" i="14"/>
  <c r="C476" i="14"/>
  <c r="C472" i="14"/>
  <c r="C468" i="14"/>
  <c r="C464" i="14"/>
  <c r="C460" i="14"/>
  <c r="C456" i="14"/>
  <c r="C7" i="9"/>
  <c r="B25" i="25"/>
  <c r="E67" i="18"/>
  <c r="B21" i="25"/>
  <c r="E65" i="18"/>
  <c r="F51" i="10" s="1"/>
  <c r="B20" i="25"/>
  <c r="E245" i="18"/>
  <c r="S245" i="18" s="1"/>
  <c r="B112" i="25"/>
  <c r="E249" i="18"/>
  <c r="S249" i="18" s="1"/>
  <c r="B114" i="25"/>
  <c r="E251" i="18"/>
  <c r="S251" i="18" s="1"/>
  <c r="B115" i="25"/>
  <c r="E247" i="18"/>
  <c r="S247" i="18" s="1"/>
  <c r="B113" i="25"/>
  <c r="C130" i="14"/>
  <c r="C126" i="14"/>
  <c r="Z126" i="14" s="1"/>
  <c r="C128" i="14"/>
  <c r="Z128" i="14" s="1"/>
  <c r="C124" i="14"/>
  <c r="Z124" i="14" s="1"/>
  <c r="C299" i="18"/>
  <c r="S89" i="18"/>
  <c r="F73" i="10"/>
  <c r="H73" i="10" s="1"/>
  <c r="S83" i="18"/>
  <c r="G82" i="14"/>
  <c r="E69" i="18" s="1"/>
  <c r="O98" i="14"/>
  <c r="B27" i="25" s="1"/>
  <c r="E71" i="18"/>
  <c r="E75" i="18"/>
  <c r="E87" i="18"/>
  <c r="S87" i="18" s="1"/>
  <c r="E85" i="18"/>
  <c r="S85" i="18" s="1"/>
  <c r="E81" i="18"/>
  <c r="F65" i="10" s="1"/>
  <c r="E77" i="18"/>
  <c r="O104" i="14"/>
  <c r="M110" i="14"/>
  <c r="B29" i="25" s="1"/>
  <c r="E73" i="18"/>
  <c r="C120" i="14"/>
  <c r="C122" i="14"/>
  <c r="Z122" i="14" s="1"/>
  <c r="C116" i="14"/>
  <c r="O71" i="14"/>
  <c r="M71" i="14"/>
  <c r="B19" i="25" s="1"/>
  <c r="B442" i="2"/>
  <c r="E47" i="14"/>
  <c r="E45" i="14"/>
  <c r="O45" i="14" s="1"/>
  <c r="B12" i="25" s="1"/>
  <c r="H75" i="10" l="1"/>
  <c r="Q75" i="10"/>
  <c r="P3" i="23"/>
  <c r="S67" i="18"/>
  <c r="X65" i="18"/>
  <c r="F49" i="10" s="1"/>
  <c r="B36" i="25"/>
  <c r="AM27" i="21"/>
  <c r="B31" i="25"/>
  <c r="Z120" i="14"/>
  <c r="X245" i="18"/>
  <c r="F99" i="10" s="1"/>
  <c r="H99" i="10" s="1"/>
  <c r="B30" i="25"/>
  <c r="Q245" i="18"/>
  <c r="S65" i="18"/>
  <c r="I172" i="14"/>
  <c r="B50" i="25" s="1"/>
  <c r="B34" i="25"/>
  <c r="F53" i="10"/>
  <c r="I174" i="14"/>
  <c r="B51" i="25" s="1"/>
  <c r="B35" i="25"/>
  <c r="I170" i="14"/>
  <c r="B49" i="25" s="1"/>
  <c r="B33" i="25"/>
  <c r="I168" i="14"/>
  <c r="B48" i="25" s="1"/>
  <c r="B32" i="25"/>
  <c r="H71" i="10"/>
  <c r="I215" i="14"/>
  <c r="B60" i="25" s="1"/>
  <c r="I211" i="14"/>
  <c r="I223" i="14"/>
  <c r="I217" i="14"/>
  <c r="I203" i="14"/>
  <c r="I149" i="14"/>
  <c r="I145" i="14"/>
  <c r="B40" i="25" s="1"/>
  <c r="I143" i="14"/>
  <c r="B39" i="25" s="1"/>
  <c r="I152" i="14"/>
  <c r="I184" i="14"/>
  <c r="B53" i="25" s="1"/>
  <c r="I196" i="14"/>
  <c r="B57" i="25" s="1"/>
  <c r="I166" i="14"/>
  <c r="I190" i="14"/>
  <c r="B55" i="25" s="1"/>
  <c r="I188" i="14"/>
  <c r="B54" i="25" s="1"/>
  <c r="X75" i="18"/>
  <c r="I159" i="14"/>
  <c r="I157" i="14"/>
  <c r="I155" i="14"/>
  <c r="B44" i="25" s="1"/>
  <c r="M140" i="2"/>
  <c r="X3" i="21"/>
  <c r="N8" i="21"/>
  <c r="N7" i="21"/>
  <c r="N5" i="21"/>
  <c r="AM17" i="21"/>
  <c r="N14" i="21"/>
  <c r="N6" i="21"/>
  <c r="Q83" i="18"/>
  <c r="F67" i="10" s="1"/>
  <c r="Q87" i="18"/>
  <c r="F69" i="10" s="1"/>
  <c r="H69" i="10" s="1"/>
  <c r="X79" i="18"/>
  <c r="S71" i="18"/>
  <c r="F57" i="10"/>
  <c r="H57" i="10" s="1"/>
  <c r="S73" i="18"/>
  <c r="F59" i="10"/>
  <c r="S69" i="18"/>
  <c r="F55" i="10"/>
  <c r="N8" i="23"/>
  <c r="G127" i="18"/>
  <c r="K126" i="14"/>
  <c r="Q126" i="14"/>
  <c r="K128" i="14"/>
  <c r="G265" i="14"/>
  <c r="B73" i="25" s="1"/>
  <c r="G267" i="14"/>
  <c r="G263" i="14"/>
  <c r="B72" i="25" s="1"/>
  <c r="R130" i="14"/>
  <c r="N34" i="21"/>
  <c r="X29" i="21"/>
  <c r="N40" i="21"/>
  <c r="N5" i="23"/>
  <c r="C132" i="14"/>
  <c r="L20" i="3" s="1"/>
  <c r="N14" i="23"/>
  <c r="R116" i="14"/>
  <c r="G241" i="14"/>
  <c r="B65" i="25" s="1"/>
  <c r="Q122" i="14"/>
  <c r="K122" i="14"/>
  <c r="G255" i="14"/>
  <c r="B70" i="25" s="1"/>
  <c r="R120" i="14"/>
  <c r="L12" i="3" s="1"/>
  <c r="G253" i="14"/>
  <c r="B69" i="25" s="1"/>
  <c r="G129" i="18"/>
  <c r="K120" i="14"/>
  <c r="G251" i="14"/>
  <c r="B68" i="25" s="1"/>
  <c r="Q120" i="14"/>
  <c r="G125" i="18"/>
  <c r="Q124" i="14"/>
  <c r="K124" i="14"/>
  <c r="N41" i="23"/>
  <c r="N6" i="23"/>
  <c r="X30" i="23"/>
  <c r="X3" i="23"/>
  <c r="AM22" i="23"/>
  <c r="N35" i="23"/>
  <c r="G243" i="14"/>
  <c r="B66" i="25" s="1"/>
  <c r="G245" i="14"/>
  <c r="B67" i="25" s="1"/>
  <c r="N7" i="23"/>
  <c r="G247" i="14"/>
  <c r="B81" i="25" s="1"/>
  <c r="N32" i="23"/>
  <c r="N31" i="21"/>
  <c r="N32" i="21"/>
  <c r="N33" i="23"/>
  <c r="N33" i="21"/>
  <c r="N34" i="23"/>
  <c r="AM16" i="23"/>
  <c r="G43" i="14"/>
  <c r="E32" i="18" s="1"/>
  <c r="F27" i="10" s="1"/>
  <c r="O47" i="14"/>
  <c r="B13" i="25" s="1"/>
  <c r="C301" i="14"/>
  <c r="R118" i="14" l="1"/>
  <c r="AB120" i="14"/>
  <c r="I258" i="2" s="1"/>
  <c r="Q49" i="10"/>
  <c r="H51" i="10"/>
  <c r="F61" i="10"/>
  <c r="Q61" i="10" s="1"/>
  <c r="I176" i="14"/>
  <c r="B52" i="25" s="1"/>
  <c r="G123" i="18"/>
  <c r="G109" i="18"/>
  <c r="B42" i="25"/>
  <c r="G147" i="18"/>
  <c r="B58" i="25"/>
  <c r="AM26" i="21"/>
  <c r="B61" i="25"/>
  <c r="G158" i="18"/>
  <c r="B63" i="25"/>
  <c r="G151" i="18"/>
  <c r="B59" i="25"/>
  <c r="I15" i="3"/>
  <c r="B74" i="25"/>
  <c r="AM27" i="23"/>
  <c r="B45" i="25"/>
  <c r="AM28" i="23"/>
  <c r="B46" i="25"/>
  <c r="G121" i="18"/>
  <c r="B47" i="25"/>
  <c r="B43" i="25"/>
  <c r="I230" i="14"/>
  <c r="B64" i="25" s="1"/>
  <c r="B37" i="25"/>
  <c r="I147" i="14"/>
  <c r="G112" i="18" s="1"/>
  <c r="H67" i="10"/>
  <c r="I219" i="14"/>
  <c r="H53" i="10"/>
  <c r="AM23" i="23"/>
  <c r="C485" i="14"/>
  <c r="L8" i="3"/>
  <c r="F63" i="10"/>
  <c r="H65" i="10"/>
  <c r="G325" i="14"/>
  <c r="B94" i="25" s="1"/>
  <c r="G323" i="14"/>
  <c r="B93" i="25" s="1"/>
  <c r="AM15" i="21"/>
  <c r="AM23" i="21"/>
  <c r="AM25" i="21"/>
  <c r="N31" i="22"/>
  <c r="N7" i="22"/>
  <c r="AM25" i="22"/>
  <c r="N6" i="22"/>
  <c r="AM16" i="22"/>
  <c r="AG12" i="22"/>
  <c r="AM24" i="22"/>
  <c r="N5" i="22"/>
  <c r="AM23" i="22"/>
  <c r="N4" i="22"/>
  <c r="AM21" i="22"/>
  <c r="T3" i="22"/>
  <c r="AM20" i="22"/>
  <c r="P3" i="22"/>
  <c r="AM19" i="22"/>
  <c r="AM18" i="22"/>
  <c r="AM17" i="22"/>
  <c r="N14" i="22"/>
  <c r="N13" i="22"/>
  <c r="N12" i="22"/>
  <c r="AK11" i="22"/>
  <c r="AB11" i="22"/>
  <c r="N11" i="22"/>
  <c r="N9" i="22"/>
  <c r="N8" i="22"/>
  <c r="X3" i="22"/>
  <c r="K132" i="14"/>
  <c r="N7" i="20"/>
  <c r="AM17" i="20"/>
  <c r="N14" i="20"/>
  <c r="N6" i="20"/>
  <c r="X3" i="20"/>
  <c r="N8" i="20"/>
  <c r="N5" i="20"/>
  <c r="I192" i="14"/>
  <c r="AM24" i="23"/>
  <c r="G305" i="14"/>
  <c r="B86" i="25" s="1"/>
  <c r="G307" i="14"/>
  <c r="B87" i="25" s="1"/>
  <c r="Q65" i="18"/>
  <c r="I6" i="3"/>
  <c r="H55" i="10"/>
  <c r="H59" i="10"/>
  <c r="G269" i="14"/>
  <c r="G327" i="14"/>
  <c r="G315" i="14"/>
  <c r="B90" i="25" s="1"/>
  <c r="G317" i="14"/>
  <c r="B91" i="25" s="1"/>
  <c r="N29" i="20"/>
  <c r="N28" i="20"/>
  <c r="N27" i="20"/>
  <c r="G277" i="14"/>
  <c r="G275" i="14"/>
  <c r="G279" i="14"/>
  <c r="G165" i="18"/>
  <c r="X25" i="20"/>
  <c r="N36" i="20"/>
  <c r="N30" i="20"/>
  <c r="G257" i="14"/>
  <c r="N29" i="22"/>
  <c r="R132" i="14"/>
  <c r="G313" i="14"/>
  <c r="B89" i="25" s="1"/>
  <c r="R134" i="14"/>
  <c r="K130" i="14"/>
  <c r="B11" i="3" s="1"/>
  <c r="I9" i="3"/>
  <c r="G135" i="18"/>
  <c r="G133" i="18"/>
  <c r="R122" i="14"/>
  <c r="G140" i="18"/>
  <c r="N32" i="22"/>
  <c r="X27" i="22"/>
  <c r="N38" i="22"/>
  <c r="N30" i="22"/>
  <c r="G114" i="18"/>
  <c r="AM26" i="23"/>
  <c r="AM25" i="23"/>
  <c r="E403" i="14"/>
  <c r="E257" i="18" s="1"/>
  <c r="G377" i="14"/>
  <c r="AG12" i="21"/>
  <c r="G369" i="14"/>
  <c r="G367" i="14"/>
  <c r="G363" i="14"/>
  <c r="G361" i="14"/>
  <c r="E220" i="18" s="1"/>
  <c r="S220" i="18" s="1"/>
  <c r="G357" i="14"/>
  <c r="M349" i="14"/>
  <c r="M39" i="1" s="1"/>
  <c r="I349" i="14"/>
  <c r="K39" i="1" s="1"/>
  <c r="E349" i="14"/>
  <c r="I39" i="1" s="1"/>
  <c r="I14" i="3"/>
  <c r="I13" i="3"/>
  <c r="I11" i="3"/>
  <c r="I10" i="3"/>
  <c r="I7" i="3"/>
  <c r="E69" i="14"/>
  <c r="E67" i="14"/>
  <c r="E65" i="14"/>
  <c r="E63" i="14"/>
  <c r="E61" i="14"/>
  <c r="AK11" i="21" s="1"/>
  <c r="E59" i="14"/>
  <c r="AB11" i="21" s="1"/>
  <c r="E57" i="14"/>
  <c r="N11" i="21" s="1"/>
  <c r="E51" i="14"/>
  <c r="N9" i="21" s="1"/>
  <c r="O11" i="1"/>
  <c r="O10" i="1"/>
  <c r="E43" i="14"/>
  <c r="M29" i="14"/>
  <c r="M3" i="9" s="1"/>
  <c r="I29" i="14"/>
  <c r="K3" i="9" s="1"/>
  <c r="E29" i="14"/>
  <c r="I3" i="9" s="1"/>
  <c r="C21" i="14"/>
  <c r="C137" i="14" l="1"/>
  <c r="H63" i="10"/>
  <c r="H49" i="10"/>
  <c r="Q63" i="10"/>
  <c r="Q425" i="14"/>
  <c r="Q411" i="14"/>
  <c r="I433" i="14"/>
  <c r="I423" i="14"/>
  <c r="I413" i="14"/>
  <c r="K437" i="14"/>
  <c r="K427" i="14"/>
  <c r="C413" i="14"/>
  <c r="I417" i="14"/>
  <c r="G437" i="14"/>
  <c r="O431" i="14"/>
  <c r="G427" i="14"/>
  <c r="O421" i="14"/>
  <c r="G417" i="14"/>
  <c r="O411" i="14"/>
  <c r="E437" i="14"/>
  <c r="E427" i="14"/>
  <c r="M421" i="14"/>
  <c r="E417" i="14"/>
  <c r="K431" i="14"/>
  <c r="C417" i="14"/>
  <c r="O435" i="14"/>
  <c r="O425" i="14"/>
  <c r="O415" i="14"/>
  <c r="M435" i="14"/>
  <c r="M425" i="14"/>
  <c r="M415" i="14"/>
  <c r="C431" i="14"/>
  <c r="K425" i="14"/>
  <c r="I435" i="14"/>
  <c r="O419" i="14"/>
  <c r="M419" i="14"/>
  <c r="C425" i="14"/>
  <c r="C415" i="14"/>
  <c r="O413" i="14"/>
  <c r="M433" i="14"/>
  <c r="K423" i="14"/>
  <c r="O437" i="14"/>
  <c r="G433" i="14"/>
  <c r="O427" i="14"/>
  <c r="G423" i="14"/>
  <c r="O417" i="14"/>
  <c r="G413" i="14"/>
  <c r="M437" i="14"/>
  <c r="M427" i="14"/>
  <c r="E423" i="14"/>
  <c r="M417" i="14"/>
  <c r="E413" i="14"/>
  <c r="C433" i="14"/>
  <c r="C423" i="14"/>
  <c r="K417" i="14"/>
  <c r="I437" i="14"/>
  <c r="I427" i="14"/>
  <c r="C437" i="14"/>
  <c r="K421" i="14"/>
  <c r="I431" i="14"/>
  <c r="I421" i="14"/>
  <c r="G431" i="14"/>
  <c r="G421" i="14"/>
  <c r="E431" i="14"/>
  <c r="E421" i="14"/>
  <c r="K435" i="14"/>
  <c r="C421" i="14"/>
  <c r="I425" i="14"/>
  <c r="I415" i="14"/>
  <c r="G435" i="14"/>
  <c r="G425" i="14"/>
  <c r="E425" i="14"/>
  <c r="E415" i="14"/>
  <c r="K429" i="14"/>
  <c r="I419" i="14"/>
  <c r="O433" i="14"/>
  <c r="O423" i="14"/>
  <c r="M423" i="14"/>
  <c r="K433" i="14"/>
  <c r="E433" i="14"/>
  <c r="M431" i="14"/>
  <c r="M411" i="14"/>
  <c r="C427" i="14"/>
  <c r="K411" i="14"/>
  <c r="K415" i="14"/>
  <c r="G415" i="14"/>
  <c r="M429" i="14"/>
  <c r="K419" i="14"/>
  <c r="I429" i="14"/>
  <c r="G429" i="14"/>
  <c r="G419" i="14"/>
  <c r="E419" i="14"/>
  <c r="C429" i="14"/>
  <c r="O429" i="14"/>
  <c r="M413" i="14"/>
  <c r="E435" i="14"/>
  <c r="C419" i="14"/>
  <c r="C435" i="14"/>
  <c r="K413" i="14"/>
  <c r="E429" i="14"/>
  <c r="I411" i="14"/>
  <c r="G411" i="14"/>
  <c r="E411" i="14"/>
  <c r="C11" i="10"/>
  <c r="C411" i="14"/>
  <c r="N13" i="21"/>
  <c r="B110" i="25"/>
  <c r="N12" i="21"/>
  <c r="B108" i="25"/>
  <c r="S2" i="1"/>
  <c r="B8" i="25"/>
  <c r="N4" i="21"/>
  <c r="B11" i="25"/>
  <c r="G259" i="14"/>
  <c r="B82" i="25" s="1"/>
  <c r="B71" i="25"/>
  <c r="G337" i="14"/>
  <c r="B99" i="25" s="1"/>
  <c r="B78" i="25"/>
  <c r="AM22" i="22"/>
  <c r="B56" i="25"/>
  <c r="G335" i="14"/>
  <c r="B98" i="25" s="1"/>
  <c r="B77" i="25"/>
  <c r="AM24" i="21"/>
  <c r="B62" i="25"/>
  <c r="H15" i="3"/>
  <c r="B95" i="25"/>
  <c r="G271" i="14"/>
  <c r="B75" i="25"/>
  <c r="G107" i="18"/>
  <c r="X105" i="18" s="1"/>
  <c r="B41" i="25"/>
  <c r="G333" i="14"/>
  <c r="B76" i="25"/>
  <c r="T3" i="20"/>
  <c r="B10" i="25"/>
  <c r="G153" i="18"/>
  <c r="Q145" i="18" s="1"/>
  <c r="F83" i="10" s="1"/>
  <c r="P3" i="20"/>
  <c r="T3" i="21"/>
  <c r="P3" i="21"/>
  <c r="N4" i="20"/>
  <c r="N9" i="20"/>
  <c r="N11" i="20"/>
  <c r="AB11" i="20"/>
  <c r="AK11" i="20"/>
  <c r="N12" i="20"/>
  <c r="N13" i="20"/>
  <c r="AG12" i="20"/>
  <c r="AM15" i="20"/>
  <c r="I183" i="2"/>
  <c r="AM15" i="22"/>
  <c r="I8" i="3"/>
  <c r="N4" i="23"/>
  <c r="T3" i="23"/>
  <c r="N12" i="23"/>
  <c r="N13" i="23"/>
  <c r="N11" i="23"/>
  <c r="AB11" i="23"/>
  <c r="O51" i="14"/>
  <c r="N9" i="23"/>
  <c r="AG12" i="23"/>
  <c r="AK11" i="23"/>
  <c r="I19" i="3"/>
  <c r="I17" i="3"/>
  <c r="I18" i="3"/>
  <c r="Q119" i="18"/>
  <c r="F81" i="10" s="1"/>
  <c r="X119" i="18"/>
  <c r="F85" i="10"/>
  <c r="X161" i="18"/>
  <c r="G281" i="14"/>
  <c r="B79" i="25" s="1"/>
  <c r="I12" i="3"/>
  <c r="AM21" i="23"/>
  <c r="T29" i="21"/>
  <c r="T25" i="20"/>
  <c r="P25" i="20"/>
  <c r="T27" i="22"/>
  <c r="P27" i="22"/>
  <c r="T30" i="23"/>
  <c r="P29" i="21"/>
  <c r="P30" i="23"/>
  <c r="AK38" i="23"/>
  <c r="AK35" i="22"/>
  <c r="AK33" i="20"/>
  <c r="AK37" i="21"/>
  <c r="N31" i="20"/>
  <c r="N33" i="22"/>
  <c r="N36" i="23"/>
  <c r="N35" i="21"/>
  <c r="AG38" i="21"/>
  <c r="AG39" i="23"/>
  <c r="AG36" i="22"/>
  <c r="AG34" i="20"/>
  <c r="N33" i="20"/>
  <c r="N37" i="21"/>
  <c r="N38" i="23"/>
  <c r="N35" i="22"/>
  <c r="K26" i="3"/>
  <c r="N35" i="20"/>
  <c r="N39" i="21"/>
  <c r="N37" i="22"/>
  <c r="N40" i="23"/>
  <c r="AB38" i="23"/>
  <c r="AB37" i="21"/>
  <c r="AB35" i="22"/>
  <c r="AB33" i="20"/>
  <c r="K25" i="3"/>
  <c r="N34" i="20"/>
  <c r="N39" i="23"/>
  <c r="N36" i="22"/>
  <c r="N38" i="21"/>
  <c r="I16" i="3"/>
  <c r="N28" i="22"/>
  <c r="N31" i="23"/>
  <c r="N26" i="20"/>
  <c r="N30" i="21"/>
  <c r="P357" i="14"/>
  <c r="P361" i="14"/>
  <c r="B26" i="3" s="1"/>
  <c r="P363" i="14"/>
  <c r="B27" i="3" s="1"/>
  <c r="P367" i="14"/>
  <c r="B106" i="25" s="1"/>
  <c r="P369" i="14"/>
  <c r="B107" i="25" s="1"/>
  <c r="O59" i="14"/>
  <c r="B17" i="25" s="1"/>
  <c r="O61" i="14"/>
  <c r="B18" i="25" s="1"/>
  <c r="O65" i="14"/>
  <c r="O57" i="14"/>
  <c r="B16" i="25" s="1"/>
  <c r="O63" i="14"/>
  <c r="C7" i="6"/>
  <c r="Q3" i="1"/>
  <c r="D16" i="1" s="1"/>
  <c r="I3" i="6"/>
  <c r="I3" i="11"/>
  <c r="U3" i="1"/>
  <c r="M3" i="6"/>
  <c r="M3" i="11"/>
  <c r="S3" i="1"/>
  <c r="K3" i="6"/>
  <c r="K3" i="11"/>
  <c r="O9" i="1"/>
  <c r="O12" i="1"/>
  <c r="H19" i="3"/>
  <c r="H7" i="3"/>
  <c r="H6" i="3"/>
  <c r="H9" i="3"/>
  <c r="H10" i="3"/>
  <c r="H11" i="3"/>
  <c r="H13" i="3"/>
  <c r="H14" i="3"/>
  <c r="B83" i="25" l="1"/>
  <c r="L16" i="3"/>
  <c r="H83" i="10"/>
  <c r="Q83" i="10"/>
  <c r="H81" i="10"/>
  <c r="Q81" i="10"/>
  <c r="H85" i="10"/>
  <c r="Q85" i="10"/>
  <c r="B103" i="25"/>
  <c r="B25" i="3"/>
  <c r="B104" i="25"/>
  <c r="H18" i="3"/>
  <c r="Q107" i="18"/>
  <c r="F79" i="10" s="1"/>
  <c r="B105" i="25"/>
  <c r="B38" i="25"/>
  <c r="B15" i="25"/>
  <c r="H17" i="3"/>
  <c r="B97" i="25"/>
  <c r="X145" i="18"/>
  <c r="G283" i="14"/>
  <c r="G287" i="14"/>
  <c r="I20" i="3"/>
  <c r="H8" i="3"/>
  <c r="H16" i="3"/>
  <c r="H12" i="3"/>
  <c r="G25" i="3"/>
  <c r="O13" i="1"/>
  <c r="G309" i="14"/>
  <c r="B88" i="25" s="1"/>
  <c r="G339" i="14"/>
  <c r="B100" i="25" s="1"/>
  <c r="G329" i="14"/>
  <c r="B96" i="25" s="1"/>
  <c r="G319" i="14"/>
  <c r="B92" i="25" s="1"/>
  <c r="H79" i="10" l="1"/>
  <c r="Q79" i="10"/>
  <c r="H20" i="3"/>
  <c r="I286" i="2"/>
  <c r="B80" i="25"/>
  <c r="G289" i="14"/>
  <c r="B84" i="25"/>
  <c r="L21" i="3"/>
  <c r="I21" i="3"/>
  <c r="H21" i="3"/>
  <c r="E103" i="18"/>
  <c r="G343" i="14"/>
  <c r="I342" i="2" l="1"/>
  <c r="B101" i="25"/>
  <c r="I288" i="2"/>
  <c r="B85" i="25"/>
  <c r="G24" i="1"/>
  <c r="E212" i="18" l="1"/>
  <c r="X212" i="18" s="1"/>
  <c r="X20" i="18"/>
  <c r="E14" i="18"/>
  <c r="F17" i="10" s="1"/>
  <c r="Q17" i="10" s="1"/>
  <c r="E101" i="18"/>
  <c r="E236" i="18"/>
  <c r="S236" i="18" s="1"/>
  <c r="L27" i="9"/>
  <c r="J27" i="9"/>
  <c r="L26" i="9"/>
  <c r="J26" i="9"/>
  <c r="L25" i="9"/>
  <c r="J25" i="9"/>
  <c r="L24" i="9"/>
  <c r="J24" i="9"/>
  <c r="L23" i="9"/>
  <c r="J23" i="9"/>
  <c r="L22" i="9"/>
  <c r="J22" i="9"/>
  <c r="L21" i="9"/>
  <c r="J21" i="9"/>
  <c r="L20" i="9"/>
  <c r="J20" i="9"/>
  <c r="L19" i="9"/>
  <c r="J19" i="9"/>
  <c r="L18" i="9"/>
  <c r="J18" i="9"/>
  <c r="L17" i="9"/>
  <c r="J17" i="9"/>
  <c r="L16" i="9"/>
  <c r="J16" i="9"/>
  <c r="L15" i="9"/>
  <c r="J15" i="9"/>
  <c r="L14" i="9"/>
  <c r="J14" i="9"/>
  <c r="L13" i="9"/>
  <c r="J13" i="9"/>
  <c r="L27" i="6"/>
  <c r="J27" i="6"/>
  <c r="L26" i="6"/>
  <c r="J26" i="6"/>
  <c r="L25" i="6"/>
  <c r="J25" i="6"/>
  <c r="L24" i="6"/>
  <c r="J24" i="6"/>
  <c r="L23" i="6"/>
  <c r="J23" i="6"/>
  <c r="L22" i="6"/>
  <c r="J22" i="6"/>
  <c r="L21" i="6"/>
  <c r="J21" i="6"/>
  <c r="L20" i="6"/>
  <c r="J20" i="6"/>
  <c r="L19" i="6"/>
  <c r="J19" i="6"/>
  <c r="L18" i="6"/>
  <c r="J18" i="6"/>
  <c r="L17" i="6"/>
  <c r="J17" i="6"/>
  <c r="L16" i="6"/>
  <c r="J16" i="6"/>
  <c r="L15" i="6"/>
  <c r="J15" i="6"/>
  <c r="L14" i="6"/>
  <c r="J14" i="6"/>
  <c r="E218" i="18"/>
  <c r="M27" i="6"/>
  <c r="M26" i="6"/>
  <c r="M25" i="6"/>
  <c r="M24" i="6"/>
  <c r="M23" i="6"/>
  <c r="M22" i="6"/>
  <c r="M21" i="6"/>
  <c r="M20" i="6"/>
  <c r="M19" i="6"/>
  <c r="M18" i="6"/>
  <c r="M17" i="6"/>
  <c r="M16" i="6"/>
  <c r="M15" i="6"/>
  <c r="M14" i="6"/>
  <c r="K27" i="6"/>
  <c r="K26" i="6"/>
  <c r="K25" i="6"/>
  <c r="K24" i="6"/>
  <c r="K23" i="6"/>
  <c r="K22" i="6"/>
  <c r="K21" i="6"/>
  <c r="K20" i="6"/>
  <c r="K19" i="6"/>
  <c r="K18" i="6"/>
  <c r="K17" i="6"/>
  <c r="K16" i="6"/>
  <c r="K15" i="6"/>
  <c r="K14" i="6"/>
  <c r="I27" i="6"/>
  <c r="I26" i="6"/>
  <c r="I25" i="6"/>
  <c r="I24" i="6"/>
  <c r="I23" i="6"/>
  <c r="I22" i="6"/>
  <c r="I21" i="6"/>
  <c r="I20" i="6"/>
  <c r="I19" i="6"/>
  <c r="I18" i="6"/>
  <c r="I17" i="6"/>
  <c r="I16" i="6"/>
  <c r="I15" i="6"/>
  <c r="I14" i="6"/>
  <c r="H27" i="6"/>
  <c r="H26" i="6"/>
  <c r="H25" i="6"/>
  <c r="H24" i="6"/>
  <c r="H23" i="6"/>
  <c r="H22" i="6"/>
  <c r="H21" i="6"/>
  <c r="H20" i="6"/>
  <c r="H19" i="6"/>
  <c r="H18" i="6"/>
  <c r="H17" i="6"/>
  <c r="H16" i="6"/>
  <c r="H15" i="6"/>
  <c r="H14" i="6"/>
  <c r="G27" i="6"/>
  <c r="G26" i="6"/>
  <c r="G25" i="6"/>
  <c r="G24" i="6"/>
  <c r="G23" i="6"/>
  <c r="G22" i="6"/>
  <c r="G21" i="6"/>
  <c r="G20" i="6"/>
  <c r="G19" i="6"/>
  <c r="G18" i="6"/>
  <c r="G17" i="6"/>
  <c r="G16" i="6"/>
  <c r="G15" i="6"/>
  <c r="G14" i="6"/>
  <c r="F27" i="6"/>
  <c r="E27" i="6"/>
  <c r="F26" i="6"/>
  <c r="E26" i="6"/>
  <c r="F25" i="6"/>
  <c r="E25" i="6"/>
  <c r="F24" i="6"/>
  <c r="E24" i="6"/>
  <c r="F23" i="6"/>
  <c r="E23" i="6"/>
  <c r="F22" i="6"/>
  <c r="E22" i="6"/>
  <c r="F21" i="6"/>
  <c r="E21" i="6"/>
  <c r="F20" i="6"/>
  <c r="E20" i="6"/>
  <c r="F19" i="6"/>
  <c r="E19" i="6"/>
  <c r="F18" i="6"/>
  <c r="E18" i="6"/>
  <c r="F17" i="6"/>
  <c r="E17" i="6"/>
  <c r="F16" i="6"/>
  <c r="E16" i="6"/>
  <c r="F15" i="6"/>
  <c r="E15" i="6"/>
  <c r="F14" i="6"/>
  <c r="E14" i="6"/>
  <c r="C27" i="6"/>
  <c r="C26" i="6"/>
  <c r="C25" i="6"/>
  <c r="C24" i="6"/>
  <c r="C23" i="6"/>
  <c r="C22" i="6"/>
  <c r="C21" i="6"/>
  <c r="C20" i="6"/>
  <c r="C19" i="6"/>
  <c r="C18" i="6"/>
  <c r="C17" i="6"/>
  <c r="C16" i="6"/>
  <c r="C15" i="6"/>
  <c r="C263" i="18"/>
  <c r="I412" i="2"/>
  <c r="X101" i="18" l="1"/>
  <c r="F77" i="10"/>
  <c r="S218" i="18"/>
  <c r="F19" i="10"/>
  <c r="H17" i="10"/>
  <c r="C309" i="18"/>
  <c r="I307" i="18"/>
  <c r="E325" i="18"/>
  <c r="O301" i="18"/>
  <c r="G325" i="18"/>
  <c r="C315" i="18"/>
  <c r="Q307" i="18"/>
  <c r="O319" i="18"/>
  <c r="M309" i="18"/>
  <c r="O309" i="18"/>
  <c r="M327" i="18"/>
  <c r="O305" i="18"/>
  <c r="F91" i="10"/>
  <c r="G307" i="18"/>
  <c r="K18" i="9"/>
  <c r="E26" i="9"/>
  <c r="K16" i="9"/>
  <c r="G17" i="9"/>
  <c r="M17" i="9"/>
  <c r="C18" i="9"/>
  <c r="I18" i="9"/>
  <c r="H16" i="9"/>
  <c r="K305" i="18"/>
  <c r="G19" i="9"/>
  <c r="I311" i="18"/>
  <c r="F22" i="9"/>
  <c r="G317" i="18"/>
  <c r="E25" i="9"/>
  <c r="E323" i="18"/>
  <c r="M27" i="9"/>
  <c r="Q327" i="18"/>
  <c r="I27" i="9"/>
  <c r="I16" i="9"/>
  <c r="M305" i="18"/>
  <c r="H19" i="9"/>
  <c r="K311" i="18"/>
  <c r="G22" i="9"/>
  <c r="I317" i="18"/>
  <c r="F25" i="9"/>
  <c r="G323" i="18"/>
  <c r="K26" i="9"/>
  <c r="O325" i="18"/>
  <c r="I19" i="9"/>
  <c r="M311" i="18"/>
  <c r="H22" i="9"/>
  <c r="K317" i="18"/>
  <c r="G25" i="9"/>
  <c r="I323" i="18"/>
  <c r="M16" i="9"/>
  <c r="Q305" i="18"/>
  <c r="H25" i="9"/>
  <c r="K323" i="18"/>
  <c r="I22" i="9"/>
  <c r="M317" i="18"/>
  <c r="M19" i="9"/>
  <c r="Q311" i="18"/>
  <c r="E20" i="9"/>
  <c r="E313" i="18"/>
  <c r="E17" i="9"/>
  <c r="E307" i="18"/>
  <c r="K22" i="9"/>
  <c r="O317" i="18"/>
  <c r="K25" i="9"/>
  <c r="O323" i="18"/>
  <c r="F20" i="9"/>
  <c r="G313" i="18"/>
  <c r="E23" i="9"/>
  <c r="E319" i="18"/>
  <c r="M25" i="9"/>
  <c r="Q323" i="18"/>
  <c r="C16" i="9"/>
  <c r="C305" i="18"/>
  <c r="I25" i="9"/>
  <c r="M323" i="18"/>
  <c r="C17" i="9"/>
  <c r="C307" i="18"/>
  <c r="M22" i="9"/>
  <c r="Q317" i="18"/>
  <c r="C19" i="9"/>
  <c r="C311" i="18"/>
  <c r="H17" i="9"/>
  <c r="K307" i="18"/>
  <c r="G20" i="9"/>
  <c r="I313" i="18"/>
  <c r="F23" i="9"/>
  <c r="G319" i="18"/>
  <c r="I17" i="9"/>
  <c r="M307" i="18"/>
  <c r="H20" i="9"/>
  <c r="K313" i="18"/>
  <c r="G23" i="9"/>
  <c r="I319" i="18"/>
  <c r="K19" i="9"/>
  <c r="O311" i="18"/>
  <c r="C20" i="9"/>
  <c r="C313" i="18"/>
  <c r="H23" i="9"/>
  <c r="K319" i="18"/>
  <c r="K17" i="9"/>
  <c r="O307" i="18"/>
  <c r="I20" i="9"/>
  <c r="M313" i="18"/>
  <c r="G26" i="9"/>
  <c r="I325" i="18"/>
  <c r="C22" i="9"/>
  <c r="C317" i="18"/>
  <c r="K20" i="9"/>
  <c r="O313" i="18"/>
  <c r="I23" i="9"/>
  <c r="M319" i="18"/>
  <c r="H26" i="9"/>
  <c r="K325" i="18"/>
  <c r="F17" i="9"/>
  <c r="C23" i="9"/>
  <c r="C319" i="18"/>
  <c r="E18" i="9"/>
  <c r="E309" i="18"/>
  <c r="M20" i="9"/>
  <c r="Q313" i="18"/>
  <c r="I26" i="9"/>
  <c r="M325" i="18"/>
  <c r="M23" i="9"/>
  <c r="Q319" i="18"/>
  <c r="C25" i="9"/>
  <c r="C323" i="18"/>
  <c r="M26" i="9"/>
  <c r="Q325" i="18"/>
  <c r="G21" i="9"/>
  <c r="I315" i="18"/>
  <c r="C24" i="9"/>
  <c r="C321" i="18"/>
  <c r="G18" i="9"/>
  <c r="I309" i="18"/>
  <c r="C26" i="9"/>
  <c r="C325" i="18"/>
  <c r="E24" i="9"/>
  <c r="E321" i="18"/>
  <c r="H18" i="9"/>
  <c r="K309" i="18"/>
  <c r="E27" i="9"/>
  <c r="E327" i="18"/>
  <c r="F27" i="9"/>
  <c r="G327" i="18"/>
  <c r="I21" i="9"/>
  <c r="M315" i="18"/>
  <c r="H24" i="9"/>
  <c r="K321" i="18"/>
  <c r="G27" i="9"/>
  <c r="I327" i="18"/>
  <c r="C21" i="9"/>
  <c r="F18" i="9"/>
  <c r="G309" i="18"/>
  <c r="F21" i="9"/>
  <c r="G315" i="18"/>
  <c r="F24" i="9"/>
  <c r="G321" i="18"/>
  <c r="C27" i="9"/>
  <c r="C327" i="18"/>
  <c r="H21" i="9"/>
  <c r="K315" i="18"/>
  <c r="G24" i="9"/>
  <c r="I321" i="18"/>
  <c r="E16" i="9"/>
  <c r="E305" i="18"/>
  <c r="M18" i="9"/>
  <c r="Q309" i="18"/>
  <c r="K21" i="9"/>
  <c r="O315" i="18"/>
  <c r="I24" i="9"/>
  <c r="M321" i="18"/>
  <c r="H27" i="9"/>
  <c r="K327" i="18"/>
  <c r="K23" i="9"/>
  <c r="E21" i="9"/>
  <c r="E315" i="18"/>
  <c r="F16" i="9"/>
  <c r="G305" i="18"/>
  <c r="E19" i="9"/>
  <c r="E311" i="18"/>
  <c r="M21" i="9"/>
  <c r="Q315" i="18"/>
  <c r="K24" i="9"/>
  <c r="O321" i="18"/>
  <c r="G16" i="9"/>
  <c r="I305" i="18"/>
  <c r="F19" i="9"/>
  <c r="G311" i="18"/>
  <c r="E22" i="9"/>
  <c r="E317" i="18"/>
  <c r="M24" i="9"/>
  <c r="Q321" i="18"/>
  <c r="K27" i="9"/>
  <c r="O327" i="18"/>
  <c r="F26" i="9"/>
  <c r="F13" i="9"/>
  <c r="G299" i="18"/>
  <c r="G13" i="9"/>
  <c r="I299" i="18"/>
  <c r="H13" i="9"/>
  <c r="K299" i="18"/>
  <c r="I13" i="9"/>
  <c r="M299" i="18"/>
  <c r="C13" i="9"/>
  <c r="K13" i="9"/>
  <c r="O299" i="18"/>
  <c r="M13" i="9"/>
  <c r="Q299" i="18"/>
  <c r="E14" i="9"/>
  <c r="E301" i="18"/>
  <c r="E13" i="9"/>
  <c r="E299" i="18"/>
  <c r="F14" i="9"/>
  <c r="G301" i="18"/>
  <c r="G14" i="9"/>
  <c r="I301" i="18"/>
  <c r="H14" i="9"/>
  <c r="K301" i="18"/>
  <c r="I14" i="9"/>
  <c r="M301" i="18"/>
  <c r="M14" i="9"/>
  <c r="Q301" i="18"/>
  <c r="C14" i="9"/>
  <c r="K14" i="9"/>
  <c r="C15" i="9"/>
  <c r="C303" i="18"/>
  <c r="F15" i="9"/>
  <c r="G303" i="18"/>
  <c r="G15" i="9"/>
  <c r="I303" i="18"/>
  <c r="H15" i="9"/>
  <c r="K303" i="18"/>
  <c r="I15" i="9"/>
  <c r="M303" i="18"/>
  <c r="K15" i="9"/>
  <c r="O303" i="18"/>
  <c r="M15" i="9"/>
  <c r="Q303" i="18"/>
  <c r="E15" i="9"/>
  <c r="E303" i="18"/>
  <c r="K289" i="18"/>
  <c r="C285" i="18"/>
  <c r="K279" i="18"/>
  <c r="C275" i="18"/>
  <c r="K269" i="18"/>
  <c r="C265" i="18"/>
  <c r="I289" i="18"/>
  <c r="Q283" i="18"/>
  <c r="I279" i="18"/>
  <c r="Q273" i="18"/>
  <c r="I269" i="18"/>
  <c r="Q263" i="18"/>
  <c r="G289" i="18"/>
  <c r="O283" i="18"/>
  <c r="G279" i="18"/>
  <c r="O273" i="18"/>
  <c r="G269" i="18"/>
  <c r="O263" i="18"/>
  <c r="E289" i="18"/>
  <c r="M283" i="18"/>
  <c r="E279" i="18"/>
  <c r="M273" i="18"/>
  <c r="E269" i="18"/>
  <c r="M263" i="18"/>
  <c r="C289" i="18"/>
  <c r="K283" i="18"/>
  <c r="C279" i="18"/>
  <c r="K273" i="18"/>
  <c r="C269" i="18"/>
  <c r="K263" i="18"/>
  <c r="M287" i="18"/>
  <c r="M277" i="18"/>
  <c r="M267" i="18"/>
  <c r="C273" i="18"/>
  <c r="Q281" i="18"/>
  <c r="O281" i="18"/>
  <c r="G267" i="18"/>
  <c r="M271" i="18"/>
  <c r="K271" i="18"/>
  <c r="Q285" i="18"/>
  <c r="G271" i="18"/>
  <c r="E281" i="18"/>
  <c r="M265" i="18"/>
  <c r="C271" i="18"/>
  <c r="Q289" i="18"/>
  <c r="Q269" i="18"/>
  <c r="G275" i="18"/>
  <c r="E285" i="18"/>
  <c r="M269" i="18"/>
  <c r="Q287" i="18"/>
  <c r="I283" i="18"/>
  <c r="Q277" i="18"/>
  <c r="I273" i="18"/>
  <c r="Q267" i="18"/>
  <c r="I263" i="18"/>
  <c r="O277" i="18"/>
  <c r="O267" i="18"/>
  <c r="E283" i="18"/>
  <c r="E263" i="18"/>
  <c r="C283" i="18"/>
  <c r="K267" i="18"/>
  <c r="I277" i="18"/>
  <c r="I267" i="18"/>
  <c r="O271" i="18"/>
  <c r="M281" i="18"/>
  <c r="C277" i="18"/>
  <c r="Q275" i="18"/>
  <c r="Q265" i="18"/>
  <c r="O275" i="18"/>
  <c r="M275" i="18"/>
  <c r="C281" i="18"/>
  <c r="Q279" i="18"/>
  <c r="G285" i="18"/>
  <c r="G265" i="18"/>
  <c r="E275" i="18"/>
  <c r="O287" i="18"/>
  <c r="G283" i="18"/>
  <c r="G273" i="18"/>
  <c r="G263" i="18"/>
  <c r="E273" i="18"/>
  <c r="K287" i="18"/>
  <c r="K277" i="18"/>
  <c r="I287" i="18"/>
  <c r="Q271" i="18"/>
  <c r="G277" i="18"/>
  <c r="E287" i="18"/>
  <c r="E277" i="18"/>
  <c r="C287" i="18"/>
  <c r="I281" i="18"/>
  <c r="O285" i="18"/>
  <c r="O265" i="18"/>
  <c r="E271" i="18"/>
  <c r="K285" i="18"/>
  <c r="K265" i="18"/>
  <c r="I275" i="18"/>
  <c r="O289" i="18"/>
  <c r="O279" i="18"/>
  <c r="M279" i="18"/>
  <c r="G287" i="18"/>
  <c r="E267" i="18"/>
  <c r="K281" i="18"/>
  <c r="C267" i="18"/>
  <c r="I271" i="18"/>
  <c r="G281" i="18"/>
  <c r="M285" i="18"/>
  <c r="K275" i="18"/>
  <c r="I285" i="18"/>
  <c r="I265" i="18"/>
  <c r="O269" i="18"/>
  <c r="M289" i="18"/>
  <c r="E265" i="18"/>
  <c r="C14" i="6"/>
  <c r="E232" i="18"/>
  <c r="S232" i="18" s="1"/>
  <c r="E234" i="18"/>
  <c r="S234" i="18" s="1"/>
  <c r="F105" i="10"/>
  <c r="E28" i="18"/>
  <c r="F23" i="10" s="1"/>
  <c r="E228" i="18"/>
  <c r="S228" i="18" s="1"/>
  <c r="H91" i="10" l="1"/>
  <c r="Q91" i="10"/>
  <c r="H105" i="10"/>
  <c r="Q105" i="10"/>
  <c r="H77" i="10"/>
  <c r="Q77" i="10"/>
  <c r="H19" i="10"/>
  <c r="Q19" i="10"/>
  <c r="X295" i="18"/>
  <c r="X257" i="18"/>
  <c r="S28" i="18"/>
  <c r="F101" i="10"/>
  <c r="Q232" i="18"/>
  <c r="S299" i="18"/>
  <c r="S327" i="18"/>
  <c r="S325" i="18"/>
  <c r="S317" i="18"/>
  <c r="S305" i="18"/>
  <c r="S315" i="18"/>
  <c r="S321" i="18"/>
  <c r="S309" i="18"/>
  <c r="S311" i="18"/>
  <c r="S301" i="18"/>
  <c r="S303" i="18"/>
  <c r="S313" i="18"/>
  <c r="S323" i="18"/>
  <c r="S307" i="18"/>
  <c r="S319" i="18"/>
  <c r="S269" i="18"/>
  <c r="S287" i="18"/>
  <c r="S277" i="18"/>
  <c r="S281" i="18"/>
  <c r="S289" i="18"/>
  <c r="S271" i="18"/>
  <c r="S285" i="18"/>
  <c r="S267" i="18"/>
  <c r="S265" i="18"/>
  <c r="S283" i="18"/>
  <c r="S275" i="18"/>
  <c r="S279" i="18"/>
  <c r="S273" i="18"/>
  <c r="E226" i="18"/>
  <c r="S226" i="18" s="1"/>
  <c r="E222" i="18"/>
  <c r="X218" i="18" s="1"/>
  <c r="E174" i="18"/>
  <c r="H101" i="10" l="1"/>
  <c r="Q101" i="10"/>
  <c r="S222" i="18"/>
  <c r="Q218" i="18" s="1"/>
  <c r="H93" i="10" s="1"/>
  <c r="S174" i="18"/>
  <c r="F107" i="10"/>
  <c r="Q226" i="18"/>
  <c r="F95" i="10" s="1"/>
  <c r="F97" i="10"/>
  <c r="Q97" i="10" s="1"/>
  <c r="E56" i="18"/>
  <c r="F45" i="10" s="1"/>
  <c r="H45" i="10" s="1"/>
  <c r="E54" i="18"/>
  <c r="F43" i="10" s="1"/>
  <c r="H43" i="10" s="1"/>
  <c r="E44" i="18"/>
  <c r="F37" i="10" s="1"/>
  <c r="E36" i="18"/>
  <c r="F31" i="10" s="1"/>
  <c r="E34" i="18"/>
  <c r="F29" i="10" s="1"/>
  <c r="E206" i="18"/>
  <c r="S206" i="18" s="1"/>
  <c r="E202" i="18"/>
  <c r="S202" i="18" s="1"/>
  <c r="E198" i="18"/>
  <c r="S198" i="18" s="1"/>
  <c r="E194" i="18"/>
  <c r="X194" i="18" s="1"/>
  <c r="E182" i="18"/>
  <c r="S182" i="18" s="1"/>
  <c r="H29" i="10" l="1"/>
  <c r="H27" i="10"/>
  <c r="H95" i="10"/>
  <c r="Q95" i="10"/>
  <c r="H107" i="10"/>
  <c r="Q107" i="10"/>
  <c r="F93" i="10"/>
  <c r="Q93" i="10" s="1"/>
  <c r="S34" i="18"/>
  <c r="S36" i="18"/>
  <c r="S194" i="18"/>
  <c r="Q194" i="18" s="1"/>
  <c r="F89" i="10" s="1"/>
  <c r="Q89" i="10" s="1"/>
  <c r="E30" i="18"/>
  <c r="F25" i="10" s="1"/>
  <c r="E186" i="18"/>
  <c r="S186" i="18" s="1"/>
  <c r="E178" i="18"/>
  <c r="X174" i="18" s="1"/>
  <c r="E52" i="18"/>
  <c r="S52" i="18" s="1"/>
  <c r="E50" i="18"/>
  <c r="S50" i="18" s="1"/>
  <c r="E48" i="18"/>
  <c r="S48" i="18" s="1"/>
  <c r="E46" i="18"/>
  <c r="S46" i="18" s="1"/>
  <c r="E38" i="18"/>
  <c r="H33" i="10" s="1"/>
  <c r="K339" i="14"/>
  <c r="H25" i="10" l="1"/>
  <c r="H23" i="10"/>
  <c r="H31" i="10"/>
  <c r="Q99" i="10"/>
  <c r="X46" i="18"/>
  <c r="X28" i="18"/>
  <c r="F21" i="10" s="1"/>
  <c r="X38" i="18"/>
  <c r="F33" i="10" s="1"/>
  <c r="Q33" i="10" s="1"/>
  <c r="S30" i="18"/>
  <c r="S178" i="18"/>
  <c r="Q174" i="18" s="1"/>
  <c r="S32" i="18"/>
  <c r="H89" i="10"/>
  <c r="Q50" i="18"/>
  <c r="F41" i="10" s="1"/>
  <c r="H41" i="10" s="1"/>
  <c r="Q46" i="18"/>
  <c r="F39" i="10" s="1"/>
  <c r="K281" i="14"/>
  <c r="Q412" i="2"/>
  <c r="O412" i="2"/>
  <c r="M412" i="2"/>
  <c r="K412" i="2"/>
  <c r="F412" i="2"/>
  <c r="E409" i="14" s="1"/>
  <c r="C408" i="2"/>
  <c r="H39" i="10" l="1"/>
  <c r="H37" i="10"/>
  <c r="F35" i="10"/>
  <c r="H35" i="10" s="1"/>
  <c r="Q21" i="10"/>
  <c r="H21" i="10"/>
  <c r="Q28" i="18"/>
  <c r="C3" i="18"/>
  <c r="F87" i="10"/>
  <c r="E13" i="6"/>
  <c r="Q409" i="14"/>
  <c r="C409" i="14"/>
  <c r="G409" i="14"/>
  <c r="O409" i="14"/>
  <c r="I409" i="14"/>
  <c r="K409" i="14"/>
  <c r="M409" i="14"/>
  <c r="N372" i="2"/>
  <c r="H87" i="10" l="1"/>
  <c r="Q87" i="10"/>
  <c r="S263" i="18"/>
  <c r="M13" i="6"/>
  <c r="G13" i="6"/>
  <c r="I13" i="6"/>
  <c r="H13" i="6"/>
  <c r="K13" i="6"/>
  <c r="F13" i="6"/>
  <c r="C13" i="6"/>
  <c r="J19" i="3"/>
  <c r="J18" i="3"/>
  <c r="J17" i="3"/>
  <c r="J15" i="3"/>
  <c r="J14" i="3"/>
  <c r="J13" i="3"/>
  <c r="J11" i="3"/>
  <c r="J10" i="3"/>
  <c r="F103" i="10" l="1"/>
  <c r="Q103" i="10" s="1"/>
  <c r="K5" i="14" s="1"/>
  <c r="C9" i="10" s="1"/>
  <c r="J20" i="3"/>
  <c r="J16" i="3"/>
  <c r="J9" i="3"/>
  <c r="J12" i="3" s="1"/>
  <c r="H103" i="10" l="1"/>
  <c r="J7" i="3"/>
  <c r="J6" i="3"/>
  <c r="J8" i="3" l="1"/>
  <c r="J21" i="3" s="1"/>
  <c r="M336" i="2"/>
  <c r="M334" i="2"/>
  <c r="M332" i="2"/>
  <c r="M326" i="2"/>
  <c r="M324" i="2"/>
  <c r="M322" i="2"/>
  <c r="M316" i="2"/>
  <c r="M304" i="2"/>
  <c r="M312" i="2"/>
  <c r="M314" i="2"/>
  <c r="M306" i="2"/>
  <c r="I338" i="2" l="1"/>
  <c r="I328" i="2"/>
  <c r="I318" i="2"/>
  <c r="I308" i="2"/>
  <c r="I280" i="2"/>
  <c r="I268" i="2"/>
  <c r="I270" i="2" s="1"/>
  <c r="I282" i="2" l="1"/>
  <c r="H31" i="1" l="1"/>
  <c r="H32" i="1"/>
  <c r="L13" i="6"/>
  <c r="J13" i="6"/>
</calcChain>
</file>

<file path=xl/sharedStrings.xml><?xml version="1.0" encoding="utf-8"?>
<sst xmlns="http://schemas.openxmlformats.org/spreadsheetml/2006/main" count="1479" uniqueCount="663">
  <si>
    <t>使い方</t>
    <rPh sb="0" eb="1">
      <t>ツカ</t>
    </rPh>
    <rPh sb="2" eb="3">
      <t>カタ</t>
    </rPh>
    <phoneticPr fontId="5"/>
  </si>
  <si>
    <t>入力シート</t>
    <rPh sb="0" eb="2">
      <t>ニュウリョク</t>
    </rPh>
    <phoneticPr fontId="5"/>
  </si>
  <si>
    <t>はじめに…</t>
    <phoneticPr fontId="5"/>
  </si>
  <si>
    <r>
      <rPr>
        <sz val="11"/>
        <color rgb="FFFF0000"/>
        <rFont val="ＭＳ Ｐゴシック"/>
        <family val="3"/>
        <charset val="128"/>
        <scheme val="minor"/>
      </rPr>
      <t>※</t>
    </r>
    <r>
      <rPr>
        <sz val="11"/>
        <color theme="1"/>
        <rFont val="ＭＳ Ｐゴシック"/>
        <family val="2"/>
        <scheme val="minor"/>
      </rPr>
      <t>の箇所は必須項目です。入力漏れがないよう注意してください。</t>
    </r>
    <rPh sb="2" eb="4">
      <t>カショ</t>
    </rPh>
    <rPh sb="5" eb="7">
      <t>ヒッス</t>
    </rPh>
    <rPh sb="7" eb="9">
      <t>コウモク</t>
    </rPh>
    <rPh sb="12" eb="14">
      <t>ニュウリョク</t>
    </rPh>
    <rPh sb="14" eb="15">
      <t>モ</t>
    </rPh>
    <rPh sb="21" eb="23">
      <t>チュウイ</t>
    </rPh>
    <phoneticPr fontId="5"/>
  </si>
  <si>
    <t>１．文書番号を入力してください。（空欄可）</t>
    <rPh sb="2" eb="4">
      <t>ブンショ</t>
    </rPh>
    <rPh sb="4" eb="6">
      <t>バンゴウ</t>
    </rPh>
    <rPh sb="7" eb="9">
      <t>ニュウリョク</t>
    </rPh>
    <rPh sb="17" eb="19">
      <t>クウラン</t>
    </rPh>
    <rPh sb="19" eb="20">
      <t>カ</t>
    </rPh>
    <phoneticPr fontId="5"/>
  </si>
  <si>
    <t>文書番号は、申請者が必要に応じて使用してください。</t>
    <rPh sb="0" eb="2">
      <t>ブンショ</t>
    </rPh>
    <rPh sb="2" eb="4">
      <t>バンゴウ</t>
    </rPh>
    <rPh sb="6" eb="9">
      <t>シンセイシャ</t>
    </rPh>
    <rPh sb="10" eb="12">
      <t>ヒツヨウ</t>
    </rPh>
    <rPh sb="13" eb="14">
      <t>オウ</t>
    </rPh>
    <rPh sb="16" eb="18">
      <t>シヨウ</t>
    </rPh>
    <phoneticPr fontId="5"/>
  </si>
  <si>
    <t>【注意】補助金は、代表申請者にお支払いいたしますのでお気を付けください。</t>
    <rPh sb="1" eb="3">
      <t>チュウイ</t>
    </rPh>
    <rPh sb="4" eb="7">
      <t>ホジョキン</t>
    </rPh>
    <rPh sb="9" eb="11">
      <t>ダイヒョウ</t>
    </rPh>
    <rPh sb="11" eb="14">
      <t>シンセイシャ</t>
    </rPh>
    <rPh sb="16" eb="18">
      <t>シハラ</t>
    </rPh>
    <rPh sb="27" eb="28">
      <t>キ</t>
    </rPh>
    <rPh sb="29" eb="30">
      <t>ツ</t>
    </rPh>
    <phoneticPr fontId="5"/>
  </si>
  <si>
    <t>住所</t>
    <rPh sb="0" eb="2">
      <t>ジュウショ</t>
    </rPh>
    <phoneticPr fontId="5"/>
  </si>
  <si>
    <t xml:space="preserve">郵便番号　 </t>
    <rPh sb="0" eb="4">
      <t>ユウビンバンゴウ</t>
    </rPh>
    <phoneticPr fontId="5"/>
  </si>
  <si>
    <t>-</t>
    <phoneticPr fontId="5"/>
  </si>
  <si>
    <t>都道府県 　</t>
    <rPh sb="0" eb="4">
      <t>トドウフケン</t>
    </rPh>
    <phoneticPr fontId="5"/>
  </si>
  <si>
    <t>鹿児島県</t>
  </si>
  <si>
    <t>プルダウンで選択してください。</t>
    <rPh sb="6" eb="8">
      <t>センタク</t>
    </rPh>
    <phoneticPr fontId="5"/>
  </si>
  <si>
    <t>　例)東京都</t>
    <rPh sb="1" eb="2">
      <t>レイ</t>
    </rPh>
    <rPh sb="3" eb="5">
      <t>トウキョウ</t>
    </rPh>
    <rPh sb="5" eb="6">
      <t>ト</t>
    </rPh>
    <phoneticPr fontId="5"/>
  </si>
  <si>
    <t>市区町村 　</t>
    <rPh sb="0" eb="2">
      <t>シク</t>
    </rPh>
    <rPh sb="2" eb="4">
      <t>チョウソン</t>
    </rPh>
    <phoneticPr fontId="5"/>
  </si>
  <si>
    <t>町名地番 　</t>
    <rPh sb="0" eb="2">
      <t>チョウメイ</t>
    </rPh>
    <rPh sb="2" eb="4">
      <t>チバン</t>
    </rPh>
    <phoneticPr fontId="5"/>
  </si>
  <si>
    <t>地番は略式表記</t>
    <rPh sb="0" eb="2">
      <t>チバン</t>
    </rPh>
    <rPh sb="3" eb="5">
      <t>リャクシキ</t>
    </rPh>
    <rPh sb="5" eb="7">
      <t>ヒョウキ</t>
    </rPh>
    <phoneticPr fontId="5"/>
  </si>
  <si>
    <t>建物名称 　</t>
    <rPh sb="0" eb="2">
      <t>タテモノ</t>
    </rPh>
    <rPh sb="2" eb="4">
      <t>メイショウ</t>
    </rPh>
    <phoneticPr fontId="5"/>
  </si>
  <si>
    <t>階数はF表記</t>
    <rPh sb="0" eb="2">
      <t>カイスウ</t>
    </rPh>
    <rPh sb="4" eb="6">
      <t>ヒョウキ</t>
    </rPh>
    <phoneticPr fontId="5"/>
  </si>
  <si>
    <t>法人名 　</t>
    <rPh sb="0" eb="2">
      <t>ホウジン</t>
    </rPh>
    <rPh sb="2" eb="3">
      <t>メイ</t>
    </rPh>
    <phoneticPr fontId="5"/>
  </si>
  <si>
    <t>代表者</t>
  </si>
  <si>
    <t>　役職名は、申請者情報と同じ表記で入力してください。</t>
    <rPh sb="1" eb="4">
      <t>ヤクショクメイ</t>
    </rPh>
    <rPh sb="6" eb="9">
      <t>シンセイシャ</t>
    </rPh>
    <rPh sb="9" eb="11">
      <t>ジョウホウ</t>
    </rPh>
    <rPh sb="12" eb="13">
      <t>オナ</t>
    </rPh>
    <rPh sb="14" eb="16">
      <t>ヒョウキ</t>
    </rPh>
    <rPh sb="17" eb="19">
      <t>ニュウリョク</t>
    </rPh>
    <phoneticPr fontId="5"/>
  </si>
  <si>
    <t>役職名 　</t>
    <rPh sb="0" eb="2">
      <t>ヤクショク</t>
    </rPh>
    <rPh sb="2" eb="3">
      <t>メイ</t>
    </rPh>
    <phoneticPr fontId="5"/>
  </si>
  <si>
    <t>姓 　</t>
    <rPh sb="0" eb="1">
      <t>セイ</t>
    </rPh>
    <phoneticPr fontId="5"/>
  </si>
  <si>
    <t>名 　</t>
    <rPh sb="0" eb="1">
      <t>メイ</t>
    </rPh>
    <phoneticPr fontId="5"/>
  </si>
  <si>
    <t>セイ（全角） 　</t>
    <rPh sb="3" eb="5">
      <t>ゼンカク</t>
    </rPh>
    <phoneticPr fontId="5"/>
  </si>
  <si>
    <t>メイ（全角） 　</t>
    <rPh sb="3" eb="5">
      <t>ゼンカク</t>
    </rPh>
    <phoneticPr fontId="5"/>
  </si>
  <si>
    <t>生年月日 　</t>
    <rPh sb="0" eb="2">
      <t>セイネン</t>
    </rPh>
    <rPh sb="2" eb="4">
      <t>ガッピ</t>
    </rPh>
    <phoneticPr fontId="5"/>
  </si>
  <si>
    <t>　例）昭和32年7月29日の場合、【1957/7/29】と入力</t>
    <rPh sb="1" eb="2">
      <t>レイ</t>
    </rPh>
    <rPh sb="7" eb="8">
      <t>ネン</t>
    </rPh>
    <rPh sb="9" eb="10">
      <t>ガツ</t>
    </rPh>
    <rPh sb="12" eb="13">
      <t>ニチ</t>
    </rPh>
    <rPh sb="14" eb="16">
      <t>バアイ</t>
    </rPh>
    <rPh sb="29" eb="31">
      <t>ニュウリョク</t>
    </rPh>
    <phoneticPr fontId="5"/>
  </si>
  <si>
    <t>性別 　</t>
    <rPh sb="0" eb="2">
      <t>セイベツ</t>
    </rPh>
    <phoneticPr fontId="5"/>
  </si>
  <si>
    <t>　プルダウンで選択してください。</t>
    <rPh sb="7" eb="9">
      <t>センタク</t>
    </rPh>
    <phoneticPr fontId="5"/>
  </si>
  <si>
    <t>①車両動態管理システム</t>
    <phoneticPr fontId="5"/>
  </si>
  <si>
    <t>予約受付システム等は以下の該当するシステムにプルダウンでチェックを入れてください。</t>
    <rPh sb="0" eb="2">
      <t>ヨヤク</t>
    </rPh>
    <rPh sb="2" eb="4">
      <t>ウケツケ</t>
    </rPh>
    <rPh sb="8" eb="9">
      <t>トウ</t>
    </rPh>
    <rPh sb="10" eb="12">
      <t>イカ</t>
    </rPh>
    <rPh sb="13" eb="15">
      <t>ガイトウ</t>
    </rPh>
    <rPh sb="33" eb="34">
      <t>イ</t>
    </rPh>
    <phoneticPr fontId="5"/>
  </si>
  <si>
    <t>②予約受付システム</t>
    <phoneticPr fontId="5"/>
  </si>
  <si>
    <t>③ＡＳＮシステム</t>
    <phoneticPr fontId="5"/>
  </si>
  <si>
    <t>④受注情報事前確認システム</t>
    <phoneticPr fontId="5"/>
  </si>
  <si>
    <t>⑤パレット等管理システム</t>
    <phoneticPr fontId="5"/>
  </si>
  <si>
    <t>⑥パレタイズシステム</t>
    <phoneticPr fontId="5"/>
  </si>
  <si>
    <t>⑦配車計画システム</t>
    <phoneticPr fontId="5"/>
  </si>
  <si>
    <t>⑧ＡＩ・ＩоＴによるシステム連係ツール</t>
  </si>
  <si>
    <t>　　※⑧のみ単独で申請することはできません。必ず①～⑦のいずれか1つ以上のシステムとともに申請</t>
    <rPh sb="6" eb="8">
      <t>タンドク</t>
    </rPh>
    <rPh sb="9" eb="11">
      <t>シンセイ</t>
    </rPh>
    <rPh sb="22" eb="23">
      <t>カナラ</t>
    </rPh>
    <rPh sb="34" eb="36">
      <t>イジョウ</t>
    </rPh>
    <phoneticPr fontId="5"/>
  </si>
  <si>
    <t>　　　 してください。</t>
    <phoneticPr fontId="5"/>
  </si>
  <si>
    <t>（枠内の色が白い箇所のみ入力してください。）</t>
    <rPh sb="1" eb="3">
      <t>ワクナイ</t>
    </rPh>
    <rPh sb="4" eb="5">
      <t>イロ</t>
    </rPh>
    <rPh sb="6" eb="7">
      <t>シロ</t>
    </rPh>
    <rPh sb="8" eb="10">
      <t>カショ</t>
    </rPh>
    <rPh sb="12" eb="14">
      <t>ニュウリョク</t>
    </rPh>
    <phoneticPr fontId="5"/>
  </si>
  <si>
    <t>・車両動態管理システム</t>
    <rPh sb="1" eb="3">
      <t>シャリョウ</t>
    </rPh>
    <rPh sb="3" eb="5">
      <t>ドウタイ</t>
    </rPh>
    <rPh sb="5" eb="7">
      <t>カンリ</t>
    </rPh>
    <phoneticPr fontId="5"/>
  </si>
  <si>
    <t>設備費</t>
    <rPh sb="0" eb="3">
      <t>セツビヒ</t>
    </rPh>
    <phoneticPr fontId="5"/>
  </si>
  <si>
    <t>諸経費</t>
    <rPh sb="0" eb="3">
      <t>ショケイヒ</t>
    </rPh>
    <phoneticPr fontId="5"/>
  </si>
  <si>
    <t>　取付工賃、システムライセンス、利用費等</t>
    <rPh sb="1" eb="3">
      <t>トリツケ</t>
    </rPh>
    <rPh sb="3" eb="5">
      <t>コウチン</t>
    </rPh>
    <rPh sb="16" eb="18">
      <t>リヨウ</t>
    </rPh>
    <rPh sb="18" eb="19">
      <t>ヒ</t>
    </rPh>
    <rPh sb="19" eb="20">
      <t>トウ</t>
    </rPh>
    <phoneticPr fontId="5"/>
  </si>
  <si>
    <t>合計</t>
    <rPh sb="0" eb="2">
      <t>ゴウケイ</t>
    </rPh>
    <phoneticPr fontId="5"/>
  </si>
  <si>
    <t>補助金の額</t>
    <rPh sb="0" eb="2">
      <t>ホジョ</t>
    </rPh>
    <rPh sb="4" eb="5">
      <t>ガク</t>
    </rPh>
    <phoneticPr fontId="5"/>
  </si>
  <si>
    <t>・予約受付システム等</t>
    <rPh sb="1" eb="3">
      <t>ヨヤク</t>
    </rPh>
    <rPh sb="3" eb="5">
      <t>ウケツケ</t>
    </rPh>
    <rPh sb="9" eb="10">
      <t>トウ</t>
    </rPh>
    <phoneticPr fontId="5"/>
  </si>
  <si>
    <t>設計開発費</t>
    <rPh sb="0" eb="2">
      <t>セッケイ</t>
    </rPh>
    <rPh sb="2" eb="4">
      <t>カイハツ</t>
    </rPh>
    <rPh sb="4" eb="5">
      <t>ヒ</t>
    </rPh>
    <phoneticPr fontId="5"/>
  </si>
  <si>
    <t>　個別のシステムを設計・開発するための費用</t>
    <rPh sb="1" eb="3">
      <t>コベツ</t>
    </rPh>
    <rPh sb="9" eb="11">
      <t>セッケイ</t>
    </rPh>
    <rPh sb="12" eb="14">
      <t>カイハツ</t>
    </rPh>
    <rPh sb="19" eb="21">
      <t>ヒヨウ</t>
    </rPh>
    <phoneticPr fontId="5"/>
  </si>
  <si>
    <t>　システムを運用するために必要な機器や装置</t>
    <rPh sb="6" eb="8">
      <t>ウンヨウ</t>
    </rPh>
    <rPh sb="13" eb="15">
      <t>ヒツヨウ</t>
    </rPh>
    <rPh sb="16" eb="18">
      <t>キキ</t>
    </rPh>
    <rPh sb="19" eb="21">
      <t>ソウチ</t>
    </rPh>
    <phoneticPr fontId="5"/>
  </si>
  <si>
    <t>・配車計画システム</t>
    <rPh sb="1" eb="3">
      <t>ハイシャ</t>
    </rPh>
    <rPh sb="3" eb="5">
      <t>ケイカク</t>
    </rPh>
    <phoneticPr fontId="5"/>
  </si>
  <si>
    <t>・AI・IoTによるシステム連係ツール</t>
    <rPh sb="14" eb="16">
      <t>レンケイ</t>
    </rPh>
    <phoneticPr fontId="5"/>
  </si>
  <si>
    <t>・合計金額</t>
    <rPh sb="1" eb="3">
      <t>ゴウケイ</t>
    </rPh>
    <rPh sb="3" eb="5">
      <t>キンガク</t>
    </rPh>
    <phoneticPr fontId="5"/>
  </si>
  <si>
    <t>補助対象経費</t>
    <rPh sb="0" eb="2">
      <t>ホジョ</t>
    </rPh>
    <rPh sb="2" eb="4">
      <t>タイショウ</t>
    </rPh>
    <rPh sb="4" eb="6">
      <t>ケイヒ</t>
    </rPh>
    <phoneticPr fontId="5"/>
  </si>
  <si>
    <t>補助金の額</t>
    <rPh sb="0" eb="3">
      <t>ホジョキン</t>
    </rPh>
    <rPh sb="4" eb="5">
      <t>ガク</t>
    </rPh>
    <phoneticPr fontId="5"/>
  </si>
  <si>
    <t>【注意】補助金の額は、交付決定時に金額が変わることがあります。</t>
    <rPh sb="1" eb="3">
      <t>チュウイ</t>
    </rPh>
    <rPh sb="4" eb="7">
      <t>ホジョキン</t>
    </rPh>
    <rPh sb="8" eb="9">
      <t>ガク</t>
    </rPh>
    <rPh sb="11" eb="13">
      <t>コウフ</t>
    </rPh>
    <rPh sb="13" eb="15">
      <t>ケッテイ</t>
    </rPh>
    <rPh sb="15" eb="16">
      <t>ジ</t>
    </rPh>
    <rPh sb="17" eb="19">
      <t>キンガク</t>
    </rPh>
    <rPh sb="20" eb="21">
      <t>カ</t>
    </rPh>
    <phoneticPr fontId="5"/>
  </si>
  <si>
    <r>
      <t>さい。</t>
    </r>
    <r>
      <rPr>
        <sz val="11"/>
        <color rgb="FFFF0000"/>
        <rFont val="ＭＳ Ｐゴシック"/>
        <family val="3"/>
        <charset val="128"/>
        <scheme val="minor"/>
      </rPr>
      <t>※</t>
    </r>
    <r>
      <rPr>
        <sz val="11"/>
        <color theme="1"/>
        <rFont val="ＭＳ Ｐゴシック"/>
        <family val="2"/>
        <scheme val="minor"/>
      </rPr>
      <t>（枠内の色が白い箇所のみ入力してください。）</t>
    </r>
    <rPh sb="5" eb="7">
      <t>ワクナイ</t>
    </rPh>
    <rPh sb="8" eb="9">
      <t>イロ</t>
    </rPh>
    <rPh sb="10" eb="11">
      <t>シロ</t>
    </rPh>
    <rPh sb="12" eb="14">
      <t>カショ</t>
    </rPh>
    <rPh sb="16" eb="18">
      <t>ニュウリョク</t>
    </rPh>
    <phoneticPr fontId="5"/>
  </si>
  <si>
    <t>　　　　　（補助事業に要する経費とは、補助対象経費を含む事業全体にかかる経費のことです。）</t>
    <rPh sb="6" eb="8">
      <t>ホジョ</t>
    </rPh>
    <rPh sb="8" eb="10">
      <t>ジギョウ</t>
    </rPh>
    <rPh sb="11" eb="12">
      <t>ヨウ</t>
    </rPh>
    <rPh sb="14" eb="16">
      <t>ケイヒ</t>
    </rPh>
    <rPh sb="19" eb="21">
      <t>ホジョ</t>
    </rPh>
    <rPh sb="21" eb="23">
      <t>タイショウ</t>
    </rPh>
    <rPh sb="23" eb="25">
      <t>ケイヒ</t>
    </rPh>
    <rPh sb="26" eb="27">
      <t>フク</t>
    </rPh>
    <rPh sb="28" eb="30">
      <t>ジギョウ</t>
    </rPh>
    <rPh sb="30" eb="32">
      <t>ゼンタイ</t>
    </rPh>
    <rPh sb="36" eb="38">
      <t>ケイヒ</t>
    </rPh>
    <phoneticPr fontId="5"/>
  </si>
  <si>
    <t>補助対象経費と同額</t>
    <phoneticPr fontId="5"/>
  </si>
  <si>
    <t>補助対象経費以外に導入にかかる費用がない場合はプルダウンからチェックをしてください。</t>
    <rPh sb="0" eb="2">
      <t>ホジョ</t>
    </rPh>
    <rPh sb="2" eb="4">
      <t>タイショウ</t>
    </rPh>
    <rPh sb="4" eb="6">
      <t>ケイヒ</t>
    </rPh>
    <rPh sb="6" eb="8">
      <t>イガイ</t>
    </rPh>
    <rPh sb="9" eb="11">
      <t>ドウニュウ</t>
    </rPh>
    <rPh sb="15" eb="17">
      <t>ヒヨウ</t>
    </rPh>
    <rPh sb="20" eb="22">
      <t>バアイ</t>
    </rPh>
    <phoneticPr fontId="5"/>
  </si>
  <si>
    <t>補助事業に要する経費</t>
    <rPh sb="0" eb="2">
      <t>ホジョ</t>
    </rPh>
    <rPh sb="2" eb="4">
      <t>ジギョウ</t>
    </rPh>
    <rPh sb="5" eb="6">
      <t>ヨウ</t>
    </rPh>
    <rPh sb="8" eb="10">
      <t>ケイヒ</t>
    </rPh>
    <phoneticPr fontId="5"/>
  </si>
  <si>
    <t>法人名</t>
    <rPh sb="0" eb="2">
      <t>ホウジン</t>
    </rPh>
    <rPh sb="2" eb="3">
      <t>メイ</t>
    </rPh>
    <phoneticPr fontId="5"/>
  </si>
  <si>
    <t>　↑代表申請者の法人名と異なる場合にのみ入力してください</t>
    <rPh sb="2" eb="4">
      <t>ダイヒョウ</t>
    </rPh>
    <rPh sb="4" eb="7">
      <t>シンセイシャ</t>
    </rPh>
    <rPh sb="8" eb="10">
      <t>ホウジン</t>
    </rPh>
    <rPh sb="10" eb="11">
      <t>メイ</t>
    </rPh>
    <rPh sb="12" eb="13">
      <t>コト</t>
    </rPh>
    <rPh sb="15" eb="17">
      <t>バアイ</t>
    </rPh>
    <rPh sb="20" eb="22">
      <t>ニュウリョク</t>
    </rPh>
    <phoneticPr fontId="5"/>
  </si>
  <si>
    <t>担当部署</t>
    <rPh sb="0" eb="2">
      <t>タントウ</t>
    </rPh>
    <rPh sb="2" eb="4">
      <t>ブショ</t>
    </rPh>
    <phoneticPr fontId="5"/>
  </si>
  <si>
    <t>役職名</t>
    <rPh sb="0" eb="2">
      <t>ヤクショク</t>
    </rPh>
    <rPh sb="2" eb="3">
      <t>メイ</t>
    </rPh>
    <phoneticPr fontId="5"/>
  </si>
  <si>
    <t>・氏名</t>
    <rPh sb="1" eb="3">
      <t>シメイ</t>
    </rPh>
    <phoneticPr fontId="5"/>
  </si>
  <si>
    <t>姓</t>
    <rPh sb="0" eb="1">
      <t>セイ</t>
    </rPh>
    <phoneticPr fontId="5"/>
  </si>
  <si>
    <t>名</t>
    <rPh sb="0" eb="1">
      <t>メイ</t>
    </rPh>
    <phoneticPr fontId="5"/>
  </si>
  <si>
    <t>・連絡先</t>
    <rPh sb="1" eb="4">
      <t>レンラクサキ</t>
    </rPh>
    <phoneticPr fontId="5"/>
  </si>
  <si>
    <t>電話番号</t>
    <rPh sb="0" eb="2">
      <t>デンワ</t>
    </rPh>
    <rPh sb="2" eb="4">
      <t>バンゴウ</t>
    </rPh>
    <phoneticPr fontId="5"/>
  </si>
  <si>
    <t>FAX番号</t>
    <rPh sb="3" eb="5">
      <t>バンゴウ</t>
    </rPh>
    <phoneticPr fontId="5"/>
  </si>
  <si>
    <t>E-mailアドレス</t>
    <phoneticPr fontId="5"/>
  </si>
  <si>
    <t>（アカウント）</t>
    <phoneticPr fontId="5"/>
  </si>
  <si>
    <t>（ドメイン）</t>
    <phoneticPr fontId="5"/>
  </si>
  <si>
    <t>@</t>
    <phoneticPr fontId="5"/>
  </si>
  <si>
    <t>郵便番号</t>
    <rPh sb="0" eb="4">
      <t>ユウビンバンゴウ</t>
    </rPh>
    <phoneticPr fontId="5"/>
  </si>
  <si>
    <t>都道府県</t>
    <rPh sb="0" eb="4">
      <t>トドウフケン</t>
    </rPh>
    <phoneticPr fontId="5"/>
  </si>
  <si>
    <t>青森県</t>
  </si>
  <si>
    <t>市区町村</t>
    <rPh sb="0" eb="2">
      <t>シク</t>
    </rPh>
    <rPh sb="2" eb="4">
      <t>チョウソン</t>
    </rPh>
    <phoneticPr fontId="5"/>
  </si>
  <si>
    <t>町名地番</t>
    <rPh sb="0" eb="2">
      <t>チョウメイ</t>
    </rPh>
    <rPh sb="2" eb="4">
      <t>チバン</t>
    </rPh>
    <phoneticPr fontId="5"/>
  </si>
  <si>
    <t>建物名称</t>
    <rPh sb="0" eb="2">
      <t>タテモノ</t>
    </rPh>
    <rPh sb="2" eb="4">
      <t>メイショウ</t>
    </rPh>
    <phoneticPr fontId="5"/>
  </si>
  <si>
    <t>　　　</t>
    <phoneticPr fontId="5"/>
  </si>
  <si>
    <r>
      <t>　入力してください。</t>
    </r>
    <r>
      <rPr>
        <sz val="11"/>
        <color rgb="FFFF0000"/>
        <rFont val="ＭＳ Ｐゴシック"/>
        <family val="3"/>
        <charset val="128"/>
        <scheme val="minor"/>
      </rPr>
      <t>※</t>
    </r>
    <r>
      <rPr>
        <sz val="11"/>
        <rFont val="ＭＳ Ｐゴシック"/>
        <family val="3"/>
        <charset val="128"/>
        <scheme val="minor"/>
      </rPr>
      <t>（枠内の色が白い箇所のみ入力してください。）</t>
    </r>
    <rPh sb="1" eb="3">
      <t>ニュウリョク</t>
    </rPh>
    <phoneticPr fontId="5"/>
  </si>
  <si>
    <t>役員の人数</t>
    <rPh sb="0" eb="2">
      <t>ヤクイン</t>
    </rPh>
    <rPh sb="3" eb="5">
      <t>ニンズウ</t>
    </rPh>
    <phoneticPr fontId="5"/>
  </si>
  <si>
    <t>役職</t>
    <rPh sb="0" eb="2">
      <t>ヤクショク</t>
    </rPh>
    <phoneticPr fontId="5"/>
  </si>
  <si>
    <t>セイ（全角）</t>
    <rPh sb="3" eb="5">
      <t>ゼンカク</t>
    </rPh>
    <phoneticPr fontId="5"/>
  </si>
  <si>
    <t>メイ（全角）</t>
    <phoneticPr fontId="5"/>
  </si>
  <si>
    <t>生年月日</t>
    <rPh sb="0" eb="2">
      <t>セイネン</t>
    </rPh>
    <rPh sb="2" eb="4">
      <t>ガッピ</t>
    </rPh>
    <phoneticPr fontId="5"/>
  </si>
  <si>
    <t>性別</t>
    <rPh sb="0" eb="2">
      <t>セイベツ</t>
    </rPh>
    <phoneticPr fontId="5"/>
  </si>
  <si>
    <t>セイ（全角）</t>
    <phoneticPr fontId="5"/>
  </si>
  <si>
    <t>（荷主等の場合は、連係するトラック事業者に確認してください。）</t>
    <rPh sb="1" eb="3">
      <t>ニヌシ</t>
    </rPh>
    <rPh sb="3" eb="4">
      <t>トウ</t>
    </rPh>
    <rPh sb="5" eb="7">
      <t>バアイ</t>
    </rPh>
    <rPh sb="9" eb="11">
      <t>レンケイ</t>
    </rPh>
    <rPh sb="17" eb="19">
      <t>ジギョウ</t>
    </rPh>
    <rPh sb="19" eb="20">
      <t>シャ</t>
    </rPh>
    <rPh sb="21" eb="23">
      <t>カクニン</t>
    </rPh>
    <phoneticPr fontId="5"/>
  </si>
  <si>
    <t>確認シート</t>
    <rPh sb="0" eb="2">
      <t>カクニン</t>
    </rPh>
    <phoneticPr fontId="5"/>
  </si>
  <si>
    <t>入力シート１～１２の各項目の入力が終わりましたか？終わったらプルダウンから「はい」を選択してください。</t>
    <rPh sb="0" eb="2">
      <t>ニュウリョク</t>
    </rPh>
    <rPh sb="10" eb="13">
      <t>カクコウモク</t>
    </rPh>
    <rPh sb="14" eb="16">
      <t>ニュウリョク</t>
    </rPh>
    <rPh sb="17" eb="18">
      <t>オ</t>
    </rPh>
    <rPh sb="25" eb="26">
      <t>オ</t>
    </rPh>
    <rPh sb="42" eb="44">
      <t>センタク</t>
    </rPh>
    <phoneticPr fontId="5"/>
  </si>
  <si>
    <t>項目</t>
    <rPh sb="0" eb="2">
      <t>コウモク</t>
    </rPh>
    <phoneticPr fontId="5"/>
  </si>
  <si>
    <t>入力状況</t>
    <rPh sb="0" eb="2">
      <t>ニュウリョク</t>
    </rPh>
    <rPh sb="2" eb="4">
      <t>ジョウキョウ</t>
    </rPh>
    <phoneticPr fontId="5"/>
  </si>
  <si>
    <t>備考</t>
    <rPh sb="0" eb="2">
      <t>ビコウ</t>
    </rPh>
    <phoneticPr fontId="5"/>
  </si>
  <si>
    <t>　１．文書番号</t>
    <rPh sb="3" eb="5">
      <t>ブンショ</t>
    </rPh>
    <rPh sb="5" eb="7">
      <t>バンゴウ</t>
    </rPh>
    <phoneticPr fontId="5"/>
  </si>
  <si>
    <t>　２．文書作成日</t>
    <rPh sb="3" eb="5">
      <t>ブンショ</t>
    </rPh>
    <rPh sb="5" eb="7">
      <t>サクセイ</t>
    </rPh>
    <rPh sb="7" eb="8">
      <t>ビ</t>
    </rPh>
    <phoneticPr fontId="5"/>
  </si>
  <si>
    <t>　３．代表申請者の住所</t>
    <rPh sb="3" eb="5">
      <t>ダイヒョウ</t>
    </rPh>
    <rPh sb="5" eb="8">
      <t>シンセイシャ</t>
    </rPh>
    <rPh sb="9" eb="11">
      <t>ジュウショ</t>
    </rPh>
    <phoneticPr fontId="5"/>
  </si>
  <si>
    <t>　　　代表申請者の法人名</t>
    <rPh sb="3" eb="5">
      <t>ダイヒョウ</t>
    </rPh>
    <rPh sb="5" eb="8">
      <t>シンセイシャ</t>
    </rPh>
    <rPh sb="9" eb="11">
      <t>ホウジン</t>
    </rPh>
    <rPh sb="11" eb="12">
      <t>メイ</t>
    </rPh>
    <phoneticPr fontId="5"/>
  </si>
  <si>
    <t>　　　代表申請者の代表者の役職</t>
    <rPh sb="3" eb="5">
      <t>ダイヒョウ</t>
    </rPh>
    <rPh sb="5" eb="8">
      <t>シンセイシャ</t>
    </rPh>
    <rPh sb="9" eb="12">
      <t>ダイヒョウシャ</t>
    </rPh>
    <rPh sb="13" eb="15">
      <t>ヤクショク</t>
    </rPh>
    <phoneticPr fontId="5"/>
  </si>
  <si>
    <t>　　　担当者の氏名</t>
    <rPh sb="3" eb="6">
      <t>タントウシャ</t>
    </rPh>
    <rPh sb="7" eb="9">
      <t>シメイ</t>
    </rPh>
    <phoneticPr fontId="5"/>
  </si>
  <si>
    <t>　　　担当者の連絡先</t>
    <rPh sb="3" eb="6">
      <t>タントウシャ</t>
    </rPh>
    <rPh sb="7" eb="10">
      <t>レンラクサキ</t>
    </rPh>
    <phoneticPr fontId="5"/>
  </si>
  <si>
    <t>単独・共同</t>
    <rPh sb="0" eb="2">
      <t>タンドク</t>
    </rPh>
    <rPh sb="3" eb="5">
      <t>キョウドウ</t>
    </rPh>
    <phoneticPr fontId="5"/>
  </si>
  <si>
    <t>1=単独</t>
    <rPh sb="2" eb="4">
      <t>タンドク</t>
    </rPh>
    <phoneticPr fontId="5"/>
  </si>
  <si>
    <t>入力完了</t>
    <rPh sb="0" eb="2">
      <t>ニュウリョク</t>
    </rPh>
    <rPh sb="2" eb="4">
      <t>カンリョウ</t>
    </rPh>
    <phoneticPr fontId="5"/>
  </si>
  <si>
    <t>1=完了</t>
    <rPh sb="2" eb="4">
      <t>カンリョウ</t>
    </rPh>
    <phoneticPr fontId="5"/>
  </si>
  <si>
    <t>NG個数</t>
    <rPh sb="2" eb="4">
      <t>コスウ</t>
    </rPh>
    <phoneticPr fontId="5"/>
  </si>
  <si>
    <t>2=共同</t>
    <rPh sb="2" eb="4">
      <t>キョウドウ</t>
    </rPh>
    <phoneticPr fontId="5"/>
  </si>
  <si>
    <t>2=未完</t>
    <rPh sb="2" eb="4">
      <t>ミカン</t>
    </rPh>
    <phoneticPr fontId="5"/>
  </si>
  <si>
    <t>１．文書番号（空欄可）</t>
    <rPh sb="2" eb="4">
      <t>ブンショ</t>
    </rPh>
    <rPh sb="4" eb="6">
      <t>バンゴウ</t>
    </rPh>
    <rPh sb="7" eb="9">
      <t>クウラン</t>
    </rPh>
    <rPh sb="9" eb="10">
      <t>カ</t>
    </rPh>
    <phoneticPr fontId="5"/>
  </si>
  <si>
    <t>空欄時に自動でハイフン、半角変換</t>
    <rPh sb="0" eb="2">
      <t>クウラン</t>
    </rPh>
    <rPh sb="2" eb="3">
      <t>ジ</t>
    </rPh>
    <rPh sb="4" eb="6">
      <t>ジドウ</t>
    </rPh>
    <rPh sb="12" eb="14">
      <t>ハンカク</t>
    </rPh>
    <rPh sb="14" eb="16">
      <t>ヘンカン</t>
    </rPh>
    <phoneticPr fontId="5"/>
  </si>
  <si>
    <t>令和</t>
    <rPh sb="0" eb="2">
      <t>レイワ</t>
    </rPh>
    <phoneticPr fontId="5"/>
  </si>
  <si>
    <t>年</t>
    <rPh sb="0" eb="1">
      <t>ネン</t>
    </rPh>
    <phoneticPr fontId="5"/>
  </si>
  <si>
    <t>月</t>
    <rPh sb="0" eb="1">
      <t>ツキ</t>
    </rPh>
    <phoneticPr fontId="5"/>
  </si>
  <si>
    <t>日</t>
    <rPh sb="0" eb="1">
      <t>ニチ</t>
    </rPh>
    <phoneticPr fontId="5"/>
  </si>
  <si>
    <t>和暦年月日に分割</t>
    <rPh sb="0" eb="2">
      <t>ワレキ</t>
    </rPh>
    <rPh sb="2" eb="5">
      <t>ネンガッピ</t>
    </rPh>
    <rPh sb="6" eb="8">
      <t>ブンカツ</t>
    </rPh>
    <phoneticPr fontId="5"/>
  </si>
  <si>
    <t>３．代表申請者の住所、法人名、代表者の役職名、氏名、生年月日、性別</t>
    <rPh sb="2" eb="4">
      <t>ダイヒョウ</t>
    </rPh>
    <rPh sb="4" eb="7">
      <t>シンセイシャ</t>
    </rPh>
    <rPh sb="8" eb="10">
      <t>ジュウショ</t>
    </rPh>
    <rPh sb="11" eb="13">
      <t>ホウジン</t>
    </rPh>
    <rPh sb="13" eb="14">
      <t>メイ</t>
    </rPh>
    <rPh sb="15" eb="18">
      <t>ダイヒョウシャ</t>
    </rPh>
    <rPh sb="19" eb="22">
      <t>ヤクショクメイ</t>
    </rPh>
    <rPh sb="23" eb="25">
      <t>シメイ</t>
    </rPh>
    <rPh sb="26" eb="28">
      <t>セイネン</t>
    </rPh>
    <rPh sb="28" eb="30">
      <t>ガッピ</t>
    </rPh>
    <rPh sb="31" eb="33">
      <t>セイベツ</t>
    </rPh>
    <phoneticPr fontId="5"/>
  </si>
  <si>
    <t>←市区町村用判断関数</t>
    <rPh sb="1" eb="5">
      <t>シクチョウソン</t>
    </rPh>
    <rPh sb="5" eb="6">
      <t>ヨウ</t>
    </rPh>
    <rPh sb="6" eb="8">
      <t>ハンダン</t>
    </rPh>
    <rPh sb="8" eb="10">
      <t>カンスウ</t>
    </rPh>
    <phoneticPr fontId="5"/>
  </si>
  <si>
    <t>全角統一</t>
    <rPh sb="0" eb="2">
      <t>ゼンカク</t>
    </rPh>
    <rPh sb="2" eb="4">
      <t>トウイツ</t>
    </rPh>
    <phoneticPr fontId="5"/>
  </si>
  <si>
    <t>空欄削除</t>
    <rPh sb="0" eb="2">
      <t>クウラン</t>
    </rPh>
    <rPh sb="2" eb="4">
      <t>サクジョ</t>
    </rPh>
    <phoneticPr fontId="5"/>
  </si>
  <si>
    <t>メイ（全角）</t>
    <rPh sb="3" eb="5">
      <t>ゼンカク</t>
    </rPh>
    <phoneticPr fontId="5"/>
  </si>
  <si>
    <t>①車両動態管理システム</t>
    <rPh sb="1" eb="3">
      <t>シャリョウ</t>
    </rPh>
    <rPh sb="3" eb="5">
      <t>ドウタイ</t>
    </rPh>
    <rPh sb="5" eb="7">
      <t>カンリ</t>
    </rPh>
    <phoneticPr fontId="5"/>
  </si>
  <si>
    <t>下記の水色箇所に関数があるため注意</t>
    <rPh sb="0" eb="2">
      <t>カキ</t>
    </rPh>
    <rPh sb="3" eb="5">
      <t>ミズイロ</t>
    </rPh>
    <rPh sb="5" eb="7">
      <t>カショ</t>
    </rPh>
    <rPh sb="8" eb="10">
      <t>カンスウ</t>
    </rPh>
    <rPh sb="15" eb="17">
      <t>チュウイ</t>
    </rPh>
    <phoneticPr fontId="5"/>
  </si>
  <si>
    <t>⑦配車計画システム</t>
  </si>
  <si>
    <t>補助対象経費と同額</t>
    <rPh sb="0" eb="2">
      <t>ホジョ</t>
    </rPh>
    <rPh sb="2" eb="4">
      <t>タイショウ</t>
    </rPh>
    <rPh sb="4" eb="6">
      <t>ケイヒ</t>
    </rPh>
    <rPh sb="7" eb="9">
      <t>ドウガク</t>
    </rPh>
    <phoneticPr fontId="5"/>
  </si>
  <si>
    <t>氏名</t>
    <rPh sb="0" eb="2">
      <t>シメイ</t>
    </rPh>
    <phoneticPr fontId="5"/>
  </si>
  <si>
    <t>シメイ</t>
    <phoneticPr fontId="5"/>
  </si>
  <si>
    <t>元号</t>
    <rPh sb="0" eb="2">
      <t>ゲンゴウ</t>
    </rPh>
    <phoneticPr fontId="5"/>
  </si>
  <si>
    <t>日</t>
    <rPh sb="0" eb="1">
      <t>ヒ</t>
    </rPh>
    <phoneticPr fontId="5"/>
  </si>
  <si>
    <t>エラー確認</t>
    <rPh sb="3" eb="5">
      <t>カクニン</t>
    </rPh>
    <phoneticPr fontId="5"/>
  </si>
  <si>
    <t>３．代表申請者の情報</t>
    <rPh sb="2" eb="4">
      <t>ダイヒョウ</t>
    </rPh>
    <rPh sb="4" eb="7">
      <t>シンセイシャ</t>
    </rPh>
    <rPh sb="8" eb="10">
      <t>ジョウホウ</t>
    </rPh>
    <phoneticPr fontId="5"/>
  </si>
  <si>
    <t>北海道</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</si>
  <si>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</si>
  <si>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</si>
  <si>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</si>
  <si>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</si>
  <si>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</si>
  <si>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</si>
  <si>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</si>
  <si>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</si>
  <si>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</si>
  <si>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</si>
  <si>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</si>
  <si>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</si>
  <si>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</si>
  <si>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</si>
  <si>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</si>
  <si>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</si>
  <si>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</si>
  <si>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</si>
  <si>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</si>
  <si>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</si>
  <si>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</si>
  <si>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</si>
  <si>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</si>
  <si>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</si>
  <si>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</si>
  <si>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</si>
  <si>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</si>
  <si>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</si>
  <si>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</si>
  <si>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</si>
  <si>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</si>
  <si>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</si>
  <si>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</si>
  <si>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phoneticPr fontId="5"/>
  </si>
  <si>
    <t>香川県</t>
  </si>
  <si>
    <t>愛媛県</t>
  </si>
  <si>
    <t>高知県</t>
  </si>
  <si>
    <t>福岡県</t>
  </si>
  <si>
    <t>佐賀県</t>
  </si>
  <si>
    <t>長崎県</t>
  </si>
  <si>
    <t>熊本県</t>
  </si>
  <si>
    <t>大分県</t>
  </si>
  <si>
    <t>宮崎県</t>
  </si>
  <si>
    <t>沖縄県</t>
  </si>
  <si>
    <t>18行目の日付&gt;&gt;&gt;公募公表日が決まったら入力規則</t>
    <rPh sb="2" eb="4">
      <t>ギョウメ</t>
    </rPh>
    <rPh sb="5" eb="7">
      <t>ヒヅケ</t>
    </rPh>
    <rPh sb="10" eb="12">
      <t>コウボ</t>
    </rPh>
    <rPh sb="12" eb="14">
      <t>コウヒョウ</t>
    </rPh>
    <rPh sb="14" eb="15">
      <t>ヒ</t>
    </rPh>
    <rPh sb="16" eb="17">
      <t>キ</t>
    </rPh>
    <rPh sb="21" eb="23">
      <t>ニュウリョク</t>
    </rPh>
    <rPh sb="23" eb="25">
      <t>キソク</t>
    </rPh>
    <phoneticPr fontId="5"/>
  </si>
  <si>
    <t>その他のインポート機能でも法人名は全角でインポート</t>
    <rPh sb="2" eb="3">
      <t>タ</t>
    </rPh>
    <rPh sb="9" eb="11">
      <t>キノウ</t>
    </rPh>
    <rPh sb="13" eb="15">
      <t>ホウジン</t>
    </rPh>
    <rPh sb="15" eb="16">
      <t>メイ</t>
    </rPh>
    <rPh sb="17" eb="19">
      <t>ゼンカク</t>
    </rPh>
    <phoneticPr fontId="5"/>
  </si>
  <si>
    <t>DBに事業完了年月日のインポート枠を設定</t>
    <rPh sb="3" eb="5">
      <t>ジギョウ</t>
    </rPh>
    <rPh sb="5" eb="7">
      <t>カンリョウ</t>
    </rPh>
    <rPh sb="7" eb="10">
      <t>ネンガッピ</t>
    </rPh>
    <rPh sb="16" eb="17">
      <t>ワク</t>
    </rPh>
    <rPh sb="18" eb="20">
      <t>セッテイ</t>
    </rPh>
    <phoneticPr fontId="5"/>
  </si>
  <si>
    <t>（様式第１）</t>
  </si>
  <si>
    <t>第</t>
    <rPh sb="0" eb="1">
      <t>ダイ</t>
    </rPh>
    <phoneticPr fontId="5"/>
  </si>
  <si>
    <t>号</t>
    <rPh sb="0" eb="1">
      <t>ゴウ</t>
    </rPh>
    <phoneticPr fontId="5"/>
  </si>
  <si>
    <t>首都圏本社　本社長　殿</t>
  </si>
  <si>
    <t>申請者</t>
  </si>
  <si>
    <t>住所</t>
  </si>
  <si>
    <t>法人名</t>
    <phoneticPr fontId="5"/>
  </si>
  <si>
    <t>代表者名</t>
    <phoneticPr fontId="5"/>
  </si>
  <si>
    <t>令和</t>
  </si>
  <si>
    <t>年度AI･IoT等を活用した更なる輸送効率化推進事業費補助金（トラック輸送の省エ</t>
  </si>
  <si>
    <t>ネ化推進事業）補助金交付申請書</t>
  </si>
  <si>
    <t>AI･IoT等を活用した更なる輸送効率化推進事業費補助金（トラック輸送の省エネ化推進事業）交</t>
  </si>
  <si>
    <t>記</t>
    <rPh sb="0" eb="1">
      <t>キ</t>
    </rPh>
    <phoneticPr fontId="5"/>
  </si>
  <si>
    <t>１．補助事業の名称</t>
  </si>
  <si>
    <t>２．補助事業の実施計画</t>
  </si>
  <si>
    <t>（別添　実施計画書による）</t>
  </si>
  <si>
    <t>３．補助金交付申請額</t>
  </si>
  <si>
    <t>（１）補助事業に要する経費</t>
  </si>
  <si>
    <t>円</t>
    <rPh sb="0" eb="1">
      <t>エン</t>
    </rPh>
    <phoneticPr fontId="5"/>
  </si>
  <si>
    <t>（２）補助対象経費</t>
  </si>
  <si>
    <t>４．補助事業に要する経費、補助対象経費及び補助金の額</t>
  </si>
  <si>
    <t>（別紙１による）</t>
  </si>
  <si>
    <t>５．補助事業の開始及び完了予定年月日</t>
  </si>
  <si>
    <t>交付決定年月日</t>
  </si>
  <si>
    <t>（注）申請書には、次の事項を記載した書面を添付すること。</t>
  </si>
  <si>
    <t xml:space="preserve">  （１）申請者が申請者以外の者と共同して補助事業を行おうとする場合にあっては、当該事業に</t>
    <phoneticPr fontId="5"/>
  </si>
  <si>
    <t xml:space="preserve">        係る契約書の写し</t>
    <phoneticPr fontId="5"/>
  </si>
  <si>
    <t xml:space="preserve">  （２）申請者の役員名簿（別紙２）</t>
    <phoneticPr fontId="5"/>
  </si>
  <si>
    <t xml:space="preserve">  （３）その他ＰＣＫＫが指示する書面等</t>
    <phoneticPr fontId="5"/>
  </si>
  <si>
    <t>（備考）用紙は、日本産業規格Ａ４とし、縦位置とする。</t>
    <phoneticPr fontId="5"/>
  </si>
  <si>
    <t>（別紙１）</t>
    <rPh sb="1" eb="3">
      <t>ベッシ</t>
    </rPh>
    <phoneticPr fontId="5"/>
  </si>
  <si>
    <t>補助事業に要する経費、補助対象経費及び補助金の額</t>
  </si>
  <si>
    <t>（単位：円）</t>
    <phoneticPr fontId="5"/>
  </si>
  <si>
    <t>補助対象経費の区分と内訳</t>
  </si>
  <si>
    <t>補助事業に</t>
  </si>
  <si>
    <t>補助対象経費</t>
    <phoneticPr fontId="5"/>
  </si>
  <si>
    <t>補助率</t>
    <phoneticPr fontId="5"/>
  </si>
  <si>
    <t>補助金の額</t>
    <phoneticPr fontId="5"/>
  </si>
  <si>
    <t>要する経費</t>
  </si>
  <si>
    <t>設備費</t>
    <phoneticPr fontId="5"/>
  </si>
  <si>
    <t>諸経費</t>
    <phoneticPr fontId="5"/>
  </si>
  <si>
    <t>計</t>
    <phoneticPr fontId="5"/>
  </si>
  <si>
    <r>
      <rPr>
        <sz val="10.5"/>
        <color theme="1"/>
        <rFont val="Century"/>
        <family val="1"/>
      </rPr>
      <t>1/2</t>
    </r>
    <r>
      <rPr>
        <sz val="10.5"/>
        <color theme="1"/>
        <rFont val="ＭＳ 明朝"/>
        <family val="1"/>
        <charset val="128"/>
      </rPr>
      <t>以内</t>
    </r>
    <phoneticPr fontId="5"/>
  </si>
  <si>
    <t>予約受付
システム等事業費</t>
    <phoneticPr fontId="5"/>
  </si>
  <si>
    <t>設計開
発費</t>
    <phoneticPr fontId="5"/>
  </si>
  <si>
    <t>配車計画
システム事業費</t>
    <phoneticPr fontId="5"/>
  </si>
  <si>
    <t>AI･IoTによるシステ
ム連係ツール事業費</t>
    <rPh sb="15" eb="16">
      <t>カカリ</t>
    </rPh>
    <phoneticPr fontId="5"/>
  </si>
  <si>
    <t>合　計</t>
    <phoneticPr fontId="5"/>
  </si>
  <si>
    <t>【本交付申請書に係る質問等連絡先及び担当者名】</t>
    <phoneticPr fontId="5"/>
  </si>
  <si>
    <t>担当部署及び役職</t>
    <phoneticPr fontId="5"/>
  </si>
  <si>
    <t>担当者名</t>
    <phoneticPr fontId="5"/>
  </si>
  <si>
    <r>
      <t>（</t>
    </r>
    <r>
      <rPr>
        <sz val="10.5"/>
        <color theme="1"/>
        <rFont val="Century"/>
        <family val="1"/>
      </rPr>
      <t>E-mail</t>
    </r>
    <r>
      <rPr>
        <sz val="10.5"/>
        <color theme="1"/>
        <rFont val="ＭＳ 明朝"/>
        <family val="1"/>
        <charset val="128"/>
      </rPr>
      <t>）</t>
    </r>
    <phoneticPr fontId="5"/>
  </si>
  <si>
    <t>〒</t>
    <phoneticPr fontId="5"/>
  </si>
  <si>
    <t>（別紙２）</t>
    <phoneticPr fontId="5"/>
  </si>
  <si>
    <t>役職名</t>
    <phoneticPr fontId="5"/>
  </si>
  <si>
    <t>氏名　漢　字</t>
    <phoneticPr fontId="5"/>
  </si>
  <si>
    <t>氏名　カ　ナ</t>
    <phoneticPr fontId="5"/>
  </si>
  <si>
    <t>生年月日</t>
    <phoneticPr fontId="5"/>
  </si>
  <si>
    <t>性別</t>
    <phoneticPr fontId="5"/>
  </si>
  <si>
    <t>和
暦</t>
    <phoneticPr fontId="5"/>
  </si>
  <si>
    <t>年</t>
    <phoneticPr fontId="5"/>
  </si>
  <si>
    <t>月</t>
    <phoneticPr fontId="5"/>
  </si>
  <si>
    <t>日</t>
    <phoneticPr fontId="5"/>
  </si>
  <si>
    <t>（注）役員名簿については、氏名漢字（全角、姓と名の間も全角で１マス空け）、氏名カナ（全角、姓と名の間も全</t>
    <rPh sb="1" eb="2">
      <t>チュウ</t>
    </rPh>
    <phoneticPr fontId="5"/>
  </si>
  <si>
    <t>角で１マス空け）、生年月日（全角で大正はＴ、昭和はＳ、平成はＨ、数字は２桁全角）、性別（全角で男性</t>
    <phoneticPr fontId="5"/>
  </si>
  <si>
    <t>はＭ、女性はＦ）、法人名及び役職名を記載する。</t>
    <phoneticPr fontId="5"/>
  </si>
  <si>
    <t>また、外国人については、氏名漢字欄にはアルファベットを、氏名カナ欄は当該アルファベットのカナ読み</t>
    <phoneticPr fontId="5"/>
  </si>
  <si>
    <t>を記載すること。</t>
    <phoneticPr fontId="5"/>
  </si>
  <si>
    <r>
      <t>５．</t>
    </r>
    <r>
      <rPr>
        <sz val="11"/>
        <rFont val="ＭＳ Ｐゴシック"/>
        <family val="3"/>
        <charset val="128"/>
        <scheme val="minor"/>
      </rPr>
      <t>補助対象経費の金額</t>
    </r>
    <r>
      <rPr>
        <sz val="11"/>
        <color theme="1"/>
        <rFont val="ＭＳ Ｐゴシック"/>
        <family val="2"/>
        <scheme val="minor"/>
      </rPr>
      <t/>
    </r>
    <rPh sb="2" eb="4">
      <t>ホジョ</t>
    </rPh>
    <rPh sb="4" eb="6">
      <t>タイショウ</t>
    </rPh>
    <rPh sb="6" eb="8">
      <t>ケイヒ</t>
    </rPh>
    <rPh sb="9" eb="11">
      <t>キンガク</t>
    </rPh>
    <phoneticPr fontId="5"/>
  </si>
  <si>
    <r>
      <t>６．</t>
    </r>
    <r>
      <rPr>
        <sz val="11"/>
        <rFont val="ＭＳ Ｐゴシック"/>
        <family val="3"/>
        <charset val="128"/>
        <scheme val="minor"/>
      </rPr>
      <t>補助事業に要する経費</t>
    </r>
    <rPh sb="2" eb="4">
      <t>ホジョ</t>
    </rPh>
    <rPh sb="4" eb="6">
      <t>ジギョウ</t>
    </rPh>
    <rPh sb="7" eb="8">
      <t>ヨウ</t>
    </rPh>
    <rPh sb="10" eb="12">
      <t>ケイヒ</t>
    </rPh>
    <phoneticPr fontId="5"/>
  </si>
  <si>
    <t>７．事業の完了予定年月日</t>
    <rPh sb="2" eb="4">
      <t>ジギョウ</t>
    </rPh>
    <rPh sb="5" eb="7">
      <t>カンリョウ</t>
    </rPh>
    <rPh sb="7" eb="9">
      <t>ヨテイ</t>
    </rPh>
    <rPh sb="9" eb="12">
      <t>ネンガッピ</t>
    </rPh>
    <phoneticPr fontId="5"/>
  </si>
  <si>
    <t>８．担当者の部署、役職、氏名、連絡先</t>
    <rPh sb="2" eb="5">
      <t>タントウシャ</t>
    </rPh>
    <rPh sb="6" eb="8">
      <t>ブショ</t>
    </rPh>
    <rPh sb="9" eb="11">
      <t>ヤクショク</t>
    </rPh>
    <rPh sb="12" eb="14">
      <t>シメイ</t>
    </rPh>
    <rPh sb="15" eb="18">
      <t>レンラクサキ</t>
    </rPh>
    <phoneticPr fontId="5"/>
  </si>
  <si>
    <t>補助事業の名称</t>
    <rPh sb="0" eb="2">
      <t>ホジョ</t>
    </rPh>
    <rPh sb="2" eb="4">
      <t>ジギョウ</t>
    </rPh>
    <rPh sb="5" eb="7">
      <t>メイショウ</t>
    </rPh>
    <phoneticPr fontId="5"/>
  </si>
  <si>
    <t>←３．より自動反映</t>
    <rPh sb="5" eb="7">
      <t>ジドウ</t>
    </rPh>
    <rPh sb="7" eb="9">
      <t>ハンエイ</t>
    </rPh>
    <phoneticPr fontId="5"/>
  </si>
  <si>
    <t>反映シート 様式第１</t>
    <rPh sb="0" eb="2">
      <t>ハンエイ</t>
    </rPh>
    <rPh sb="6" eb="8">
      <t>ヨウシキ</t>
    </rPh>
    <rPh sb="8" eb="9">
      <t>ダイ</t>
    </rPh>
    <phoneticPr fontId="5"/>
  </si>
  <si>
    <r>
      <t>２つの法人が共同で申請する場合、ここでは</t>
    </r>
    <r>
      <rPr>
        <b/>
        <u/>
        <sz val="11"/>
        <color rgb="FFFF0000"/>
        <rFont val="ＭＳ Ｐゴシック"/>
        <family val="3"/>
        <charset val="128"/>
        <scheme val="minor"/>
      </rPr>
      <t>代表申請者の役員</t>
    </r>
    <r>
      <rPr>
        <sz val="11"/>
        <color theme="1"/>
        <rFont val="ＭＳ Ｐゴシック"/>
        <family val="2"/>
        <scheme val="minor"/>
      </rPr>
      <t>について入力してください。共同申請者</t>
    </r>
    <rPh sb="3" eb="5">
      <t>ホウジン</t>
    </rPh>
    <rPh sb="6" eb="8">
      <t>キョウドウ</t>
    </rPh>
    <rPh sb="9" eb="11">
      <t>シンセイ</t>
    </rPh>
    <rPh sb="13" eb="15">
      <t>バアイ</t>
    </rPh>
    <rPh sb="20" eb="22">
      <t>ダイヒョウ</t>
    </rPh>
    <rPh sb="22" eb="25">
      <t>シンセイシャ</t>
    </rPh>
    <rPh sb="26" eb="28">
      <t>ヤクイン</t>
    </rPh>
    <rPh sb="32" eb="34">
      <t>ニュウリョク</t>
    </rPh>
    <rPh sb="41" eb="43">
      <t>キョウドウ</t>
    </rPh>
    <rPh sb="43" eb="46">
      <t>シンセイシャ</t>
    </rPh>
    <phoneticPr fontId="5"/>
  </si>
  <si>
    <r>
      <t>代表申請者及び共同申請者の組み合わせを下記から選択してください。</t>
    </r>
    <r>
      <rPr>
        <sz val="11"/>
        <color rgb="FFFF0000"/>
        <rFont val="ＭＳ Ｐゴシック"/>
        <family val="3"/>
        <charset val="128"/>
        <scheme val="minor"/>
      </rPr>
      <t>※</t>
    </r>
    <rPh sb="0" eb="5">
      <t>ダイヒョウシンセイシャ</t>
    </rPh>
    <rPh sb="5" eb="6">
      <t>オヨ</t>
    </rPh>
    <rPh sb="7" eb="12">
      <t>キョウドウシンセイシャ</t>
    </rPh>
    <rPh sb="13" eb="14">
      <t>ク</t>
    </rPh>
    <rPh sb="15" eb="16">
      <t>ア</t>
    </rPh>
    <rPh sb="19" eb="21">
      <t>カキ</t>
    </rPh>
    <rPh sb="23" eb="25">
      <t>センタク</t>
    </rPh>
    <phoneticPr fontId="5"/>
  </si>
  <si>
    <t>代表申請者が「トラック事業者」共同申請者が「なし」</t>
  </si>
  <si>
    <t>代表申請者が「リース事業者」共同申請者が「荷主」</t>
    <rPh sb="10" eb="12">
      <t>ジギョウ</t>
    </rPh>
    <rPh sb="12" eb="13">
      <t>シャ</t>
    </rPh>
    <rPh sb="14" eb="19">
      <t>キョウドウシンセイシャ</t>
    </rPh>
    <rPh sb="21" eb="23">
      <t>ニヌシ</t>
    </rPh>
    <phoneticPr fontId="5"/>
  </si>
  <si>
    <t>代表申請者が「リース事業者」共同申請者が「トラック事業者」</t>
    <rPh sb="10" eb="12">
      <t>ジギョウ</t>
    </rPh>
    <rPh sb="12" eb="13">
      <t>シャ</t>
    </rPh>
    <rPh sb="14" eb="19">
      <t>キョウドウシンセイシャ</t>
    </rPh>
    <rPh sb="25" eb="28">
      <t>ジギョウシャ</t>
    </rPh>
    <phoneticPr fontId="5"/>
  </si>
  <si>
    <t>代表申請者が「荷主」共同申請者が「リース事業者」</t>
    <rPh sb="7" eb="9">
      <t>ニヌシ</t>
    </rPh>
    <rPh sb="10" eb="15">
      <t>キョウドウシンセイシャ</t>
    </rPh>
    <rPh sb="20" eb="23">
      <t>ジギョウシャ</t>
    </rPh>
    <phoneticPr fontId="5"/>
  </si>
  <si>
    <t>代表申請者が「荷主」共同申請者が「なし」</t>
    <rPh sb="7" eb="9">
      <t>ニヌシ</t>
    </rPh>
    <rPh sb="10" eb="15">
      <t>キョウドウシンセイシャ</t>
    </rPh>
    <phoneticPr fontId="5"/>
  </si>
  <si>
    <t>代表申請者が「トラック事業者」共同申請者が「リース事業者」</t>
    <rPh sb="11" eb="14">
      <t>ジギョウシャ</t>
    </rPh>
    <rPh sb="15" eb="20">
      <t>キョウドウシンセイシャ</t>
    </rPh>
    <rPh sb="25" eb="28">
      <t>ジギョウシャ</t>
    </rPh>
    <phoneticPr fontId="5"/>
  </si>
  <si>
    <t>〇</t>
    <phoneticPr fontId="37"/>
  </si>
  <si>
    <t>〇</t>
    <phoneticPr fontId="37"/>
  </si>
  <si>
    <t>荷主</t>
    <rPh sb="0" eb="2">
      <t>ニヌシ</t>
    </rPh>
    <phoneticPr fontId="37"/>
  </si>
  <si>
    <t>リース</t>
    <phoneticPr fontId="37"/>
  </si>
  <si>
    <t>〇</t>
    <phoneticPr fontId="37"/>
  </si>
  <si>
    <t>-</t>
    <phoneticPr fontId="37"/>
  </si>
  <si>
    <t>トラック</t>
    <phoneticPr fontId="37"/>
  </si>
  <si>
    <t xml:space="preserve">AI・IoTによるシステム連係ツール </t>
    <phoneticPr fontId="37"/>
  </si>
  <si>
    <t>配車計画システム</t>
    <phoneticPr fontId="37"/>
  </si>
  <si>
    <t>予約受付システム等</t>
    <phoneticPr fontId="37"/>
  </si>
  <si>
    <t>車両動態管理システム</t>
    <phoneticPr fontId="37"/>
  </si>
  <si>
    <t>共同申請者</t>
    <rPh sb="0" eb="5">
      <t>キョウドウシンセイシャ</t>
    </rPh>
    <phoneticPr fontId="37"/>
  </si>
  <si>
    <t>代表申請者</t>
    <rPh sb="0" eb="2">
      <t>ダイヒョウ</t>
    </rPh>
    <rPh sb="2" eb="5">
      <t>シンセイシャ</t>
    </rPh>
    <phoneticPr fontId="37"/>
  </si>
  <si>
    <t>単体は不可</t>
    <rPh sb="0" eb="2">
      <t>タンタイ</t>
    </rPh>
    <rPh sb="3" eb="5">
      <t>フカ</t>
    </rPh>
    <phoneticPr fontId="5"/>
  </si>
  <si>
    <t>４．共同申請者の住所、法人名、代表者の役職名、氏名、生年月日、性別を入力してください。</t>
    <rPh sb="2" eb="4">
      <t>キョウドウ</t>
    </rPh>
    <rPh sb="4" eb="7">
      <t>シンセイシャ</t>
    </rPh>
    <rPh sb="8" eb="10">
      <t>ジュウショ</t>
    </rPh>
    <rPh sb="11" eb="13">
      <t>ホウジン</t>
    </rPh>
    <rPh sb="13" eb="14">
      <t>メイ</t>
    </rPh>
    <rPh sb="15" eb="18">
      <t>ダイヒョウシャ</t>
    </rPh>
    <rPh sb="19" eb="22">
      <t>ヤクショクメイ</t>
    </rPh>
    <rPh sb="23" eb="25">
      <t>シメイ</t>
    </rPh>
    <rPh sb="26" eb="28">
      <t>セイネン</t>
    </rPh>
    <rPh sb="28" eb="30">
      <t>ガッピ</t>
    </rPh>
    <rPh sb="31" eb="33">
      <t>セイベツ</t>
    </rPh>
    <rPh sb="34" eb="36">
      <t>ニュウリョク</t>
    </rPh>
    <phoneticPr fontId="5"/>
  </si>
  <si>
    <t>ホームページURL</t>
    <phoneticPr fontId="5"/>
  </si>
  <si>
    <t>①～⑧の中で申請する区分を選択してください。</t>
    <rPh sb="4" eb="5">
      <t>ナカ</t>
    </rPh>
    <rPh sb="6" eb="8">
      <t>シンセイ</t>
    </rPh>
    <rPh sb="10" eb="12">
      <t>クブン</t>
    </rPh>
    <rPh sb="13" eb="15">
      <t>センタク</t>
    </rPh>
    <phoneticPr fontId="5"/>
  </si>
  <si>
    <t>②予約受付システム～⑥パレタイズシステム</t>
    <rPh sb="1" eb="3">
      <t>ヨヤク</t>
    </rPh>
    <rPh sb="3" eb="5">
      <t>ウケツケ</t>
    </rPh>
    <phoneticPr fontId="5"/>
  </si>
  <si>
    <r>
      <t>５．申請区分の選択、それに伴う入力を行ってください。</t>
    </r>
    <r>
      <rPr>
        <sz val="11"/>
        <color rgb="FFFF0000"/>
        <rFont val="ＭＳ Ｐゴシック"/>
        <family val="3"/>
        <charset val="128"/>
        <scheme val="minor"/>
      </rPr>
      <t>※</t>
    </r>
    <rPh sb="2" eb="4">
      <t>シンセイ</t>
    </rPh>
    <rPh sb="4" eb="6">
      <t>クブン</t>
    </rPh>
    <rPh sb="7" eb="9">
      <t>センタク</t>
    </rPh>
    <rPh sb="13" eb="14">
      <t>トモナ</t>
    </rPh>
    <rPh sb="15" eb="17">
      <t>ニュウリョク</t>
    </rPh>
    <rPh sb="18" eb="19">
      <t>オコナ</t>
    </rPh>
    <phoneticPr fontId="5"/>
  </si>
  <si>
    <t>代表申請者が「トラック事業者」、共同申請者が「リース事業者」</t>
  </si>
  <si>
    <t>代表申請者が「トラック事業者」、共同申請者が「なし」</t>
  </si>
  <si>
    <t>代表申請者が「リース事業者」、　共同申請者が「トラック事業者」</t>
  </si>
  <si>
    <t>代表申請者が「荷主」、　　　　　 共同申請者が「なし」</t>
  </si>
  <si>
    <t>代表申請者が「荷主」、　　　　　 共同申請者が「リース事業者」</t>
  </si>
  <si>
    <t>代表申請者が「リース事業者」、　共同申請者が「荷主」</t>
  </si>
  <si>
    <t>申請者に該当する区分</t>
    <rPh sb="0" eb="3">
      <t>シンセイシャ</t>
    </rPh>
    <rPh sb="4" eb="6">
      <t>ガイトウ</t>
    </rPh>
    <rPh sb="8" eb="10">
      <t>クブン</t>
    </rPh>
    <phoneticPr fontId="5"/>
  </si>
  <si>
    <t xml:space="preserve">補助対象事業者区分 </t>
  </si>
  <si>
    <t xml:space="preserve">補助対象事業者区分 </t>
    <phoneticPr fontId="5"/>
  </si>
  <si>
    <t>【ア】　貨物自動車運送事業者,【イ】　第二種貨物利用運送事業者,【ウ】　自家用トラック事業者,【エ】　ア又はイを構成員に含む団体,【オ】　荷主等</t>
    <phoneticPr fontId="5"/>
  </si>
  <si>
    <r>
      <t>３．代表申請者の住所、法人名、代表者の役職名、氏名、生年月日、性別、申請者に該当する区分を入力してください。</t>
    </r>
    <r>
      <rPr>
        <sz val="11"/>
        <color rgb="FFFF0000"/>
        <rFont val="ＭＳ Ｐゴシック"/>
        <family val="3"/>
        <charset val="128"/>
        <scheme val="minor"/>
      </rPr>
      <t>※</t>
    </r>
    <rPh sb="2" eb="4">
      <t>ダイヒョウ</t>
    </rPh>
    <rPh sb="4" eb="7">
      <t>シンセイシャ</t>
    </rPh>
    <rPh sb="8" eb="10">
      <t>ジュウショ</t>
    </rPh>
    <rPh sb="11" eb="13">
      <t>ホウジン</t>
    </rPh>
    <rPh sb="13" eb="14">
      <t>メイ</t>
    </rPh>
    <rPh sb="15" eb="18">
      <t>ダイヒョウシャ</t>
    </rPh>
    <rPh sb="19" eb="22">
      <t>ヤクショクメイ</t>
    </rPh>
    <rPh sb="23" eb="25">
      <t>シメイ</t>
    </rPh>
    <rPh sb="26" eb="28">
      <t>セイネン</t>
    </rPh>
    <rPh sb="28" eb="30">
      <t>ガッピ</t>
    </rPh>
    <rPh sb="31" eb="33">
      <t>セイベツ</t>
    </rPh>
    <rPh sb="34" eb="37">
      <t>シンセイシャ</t>
    </rPh>
    <rPh sb="38" eb="40">
      <t>ガイトウ</t>
    </rPh>
    <rPh sb="42" eb="44">
      <t>クブン</t>
    </rPh>
    <rPh sb="45" eb="47">
      <t>ニュウリョク</t>
    </rPh>
    <phoneticPr fontId="5"/>
  </si>
  <si>
    <t>代表申請者</t>
    <rPh sb="0" eb="5">
      <t>ダイヒョウシンセイシャ</t>
    </rPh>
    <phoneticPr fontId="5"/>
  </si>
  <si>
    <t>共同申請者</t>
    <rPh sb="0" eb="5">
      <t>キョウドウシンセイシャ</t>
    </rPh>
    <phoneticPr fontId="5"/>
  </si>
  <si>
    <t>1=トラック事業者</t>
    <rPh sb="6" eb="9">
      <t>ジギョウシャ</t>
    </rPh>
    <phoneticPr fontId="5"/>
  </si>
  <si>
    <t>2=リース事業者</t>
    <rPh sb="5" eb="8">
      <t>ジギョウシャ</t>
    </rPh>
    <phoneticPr fontId="5"/>
  </si>
  <si>
    <t>3=荷主</t>
    <rPh sb="2" eb="4">
      <t>ニヌシ</t>
    </rPh>
    <phoneticPr fontId="5"/>
  </si>
  <si>
    <t>0=なし</t>
    <phoneticPr fontId="5"/>
  </si>
  <si>
    <t>代表申請者及び共同申請者の組み合わせ</t>
    <rPh sb="0" eb="5">
      <t>ダイヒョウシンセイシャ</t>
    </rPh>
    <rPh sb="5" eb="6">
      <t>オヨ</t>
    </rPh>
    <rPh sb="7" eb="12">
      <t>キョウドウシンセイシャ</t>
    </rPh>
    <rPh sb="13" eb="14">
      <t>ク</t>
    </rPh>
    <rPh sb="15" eb="16">
      <t>ア</t>
    </rPh>
    <phoneticPr fontId="5"/>
  </si>
  <si>
    <t>　代表申請者及び共同申請者</t>
    <rPh sb="1" eb="3">
      <t>ダイヒョウ</t>
    </rPh>
    <rPh sb="3" eb="6">
      <t>シンセイシャ</t>
    </rPh>
    <rPh sb="6" eb="7">
      <t>オヨ</t>
    </rPh>
    <rPh sb="8" eb="10">
      <t>キョウドウ</t>
    </rPh>
    <rPh sb="10" eb="13">
      <t>シンセイシャ</t>
    </rPh>
    <phoneticPr fontId="5"/>
  </si>
  <si>
    <t>４．共同申請者申請者の住所、法人名、代表者の役職名、氏名、生年月日、性別</t>
    <rPh sb="2" eb="7">
      <t>キョウドウシンセイシャ</t>
    </rPh>
    <rPh sb="7" eb="10">
      <t>シンセイシャ</t>
    </rPh>
    <rPh sb="11" eb="13">
      <t>ジュウショ</t>
    </rPh>
    <rPh sb="14" eb="16">
      <t>ホウジン</t>
    </rPh>
    <rPh sb="16" eb="17">
      <t>メイ</t>
    </rPh>
    <rPh sb="18" eb="21">
      <t>ダイヒョウシャ</t>
    </rPh>
    <rPh sb="22" eb="25">
      <t>ヤクショクメイ</t>
    </rPh>
    <rPh sb="26" eb="28">
      <t>シメイ</t>
    </rPh>
    <rPh sb="29" eb="31">
      <t>セイネン</t>
    </rPh>
    <rPh sb="31" eb="33">
      <t>ガッピ</t>
    </rPh>
    <rPh sb="34" eb="36">
      <t>セイベツ</t>
    </rPh>
    <phoneticPr fontId="5"/>
  </si>
  <si>
    <t>事業用 　</t>
    <rPh sb="0" eb="3">
      <t>ジギョウヨウ</t>
    </rPh>
    <phoneticPr fontId="5"/>
  </si>
  <si>
    <t>自家用 　</t>
    <rPh sb="0" eb="3">
      <t>ジカヨウ</t>
    </rPh>
    <phoneticPr fontId="5"/>
  </si>
  <si>
    <t>合計 　</t>
    <rPh sb="0" eb="2">
      <t>ゴウケイ</t>
    </rPh>
    <phoneticPr fontId="5"/>
  </si>
  <si>
    <t>保有車両台数 　</t>
    <rPh sb="0" eb="2">
      <t>ホユウ</t>
    </rPh>
    <rPh sb="2" eb="4">
      <t>シャリョウ</t>
    </rPh>
    <rPh sb="4" eb="6">
      <t>ダイスウ</t>
    </rPh>
    <phoneticPr fontId="5"/>
  </si>
  <si>
    <t>事業所数 　</t>
    <rPh sb="0" eb="3">
      <t>ジギョウショ</t>
    </rPh>
    <rPh sb="3" eb="4">
      <t>スウ</t>
    </rPh>
    <phoneticPr fontId="5"/>
  </si>
  <si>
    <t>（デジタコの導入なし又は既存所有のデジタコを利用）</t>
  </si>
  <si>
    <t>（車両動態管理サービスのみの導入、デジタコ・ＧＰＳ車載器の購入なし）</t>
  </si>
  <si>
    <t>デジタコ導入型 　</t>
    <phoneticPr fontId="5"/>
  </si>
  <si>
    <t>ＧＰＳ車載器導入型 　</t>
    <phoneticPr fontId="5"/>
  </si>
  <si>
    <t>サービス単独型 　</t>
    <phoneticPr fontId="5"/>
  </si>
  <si>
    <t>台</t>
    <rPh sb="0" eb="1">
      <t>ダイ</t>
    </rPh>
    <phoneticPr fontId="5"/>
  </si>
  <si>
    <t>台　 （自動表示）</t>
    <rPh sb="0" eb="1">
      <t>ダイ</t>
    </rPh>
    <rPh sb="4" eb="6">
      <t>ジドウ</t>
    </rPh>
    <rPh sb="6" eb="8">
      <t>ヒョウジ</t>
    </rPh>
    <phoneticPr fontId="5"/>
  </si>
  <si>
    <t>箇所（上記車両の所属する事業所数）</t>
    <rPh sb="0" eb="2">
      <t>カショ</t>
    </rPh>
    <rPh sb="12" eb="15">
      <t>ジギョウショ</t>
    </rPh>
    <rPh sb="15" eb="16">
      <t>スウ</t>
    </rPh>
    <phoneticPr fontId="5"/>
  </si>
  <si>
    <t>箇所（自動表示）※複数システムを導入する事業所も1つとして数えます</t>
    <rPh sb="0" eb="2">
      <t>カショ</t>
    </rPh>
    <rPh sb="3" eb="7">
      <t>ジドウヒョウジ</t>
    </rPh>
    <phoneticPr fontId="5"/>
  </si>
  <si>
    <t>箇所</t>
  </si>
  <si>
    <t>※車両動態管理システムと同一車両を使用する場合はチェックを入れてください。</t>
    <rPh sb="29" eb="30">
      <t>イ</t>
    </rPh>
    <phoneticPr fontId="5"/>
  </si>
  <si>
    <t>社</t>
    <rPh sb="0" eb="1">
      <t>シャ</t>
    </rPh>
    <phoneticPr fontId="5"/>
  </si>
  <si>
    <t>予約受付システム 　</t>
    <phoneticPr fontId="5"/>
  </si>
  <si>
    <t>ＡＳＮシステム 　</t>
    <phoneticPr fontId="5"/>
  </si>
  <si>
    <t>パレタイズシステム 　</t>
    <phoneticPr fontId="5"/>
  </si>
  <si>
    <t>・申請する車両台数</t>
    <rPh sb="1" eb="3">
      <t>シンセイ</t>
    </rPh>
    <rPh sb="5" eb="9">
      <t>シャリョウダイスウ</t>
    </rPh>
    <phoneticPr fontId="5"/>
  </si>
  <si>
    <t>・自社全体の保有台数 　</t>
    <rPh sb="1" eb="3">
      <t>ジシャ</t>
    </rPh>
    <rPh sb="3" eb="5">
      <t>ゼンタイ</t>
    </rPh>
    <rPh sb="6" eb="8">
      <t>ホユウ</t>
    </rPh>
    <rPh sb="8" eb="10">
      <t>ダイスウ</t>
    </rPh>
    <phoneticPr fontId="5"/>
  </si>
  <si>
    <t>・車載機導入区分</t>
    <rPh sb="1" eb="8">
      <t>シャサイキドウニュウクブン</t>
    </rPh>
    <phoneticPr fontId="5"/>
  </si>
  <si>
    <t>・補助対象設備を導入する事業所数</t>
    <phoneticPr fontId="5"/>
  </si>
  <si>
    <t>・取組実施事業者数/取組実施車両台数</t>
    <phoneticPr fontId="5"/>
  </si>
  <si>
    <t>・連携する車両台数</t>
    <phoneticPr fontId="5"/>
  </si>
  <si>
    <t>トラック事業者数 　</t>
    <phoneticPr fontId="5"/>
  </si>
  <si>
    <t xml:space="preserve">・連携するトラック事業者数 </t>
    <phoneticPr fontId="5"/>
  </si>
  <si>
    <t>・連携するトラック事業者全体の保有車両台数</t>
    <rPh sb="1" eb="3">
      <t>レンケイ</t>
    </rPh>
    <rPh sb="9" eb="11">
      <t>ジギョウ</t>
    </rPh>
    <rPh sb="11" eb="12">
      <t>シャ</t>
    </rPh>
    <rPh sb="12" eb="14">
      <t>ゼンタイ</t>
    </rPh>
    <rPh sb="15" eb="17">
      <t>ホユウ</t>
    </rPh>
    <rPh sb="17" eb="19">
      <t>シャリョウ</t>
    </rPh>
    <rPh sb="19" eb="21">
      <t>ダイスウ</t>
    </rPh>
    <phoneticPr fontId="5"/>
  </si>
  <si>
    <t>受注情報事前確認ｼｽﾃﾑ 　</t>
    <phoneticPr fontId="5"/>
  </si>
  <si>
    <t>パレット等管理ｼｽﾃﾑ 　</t>
    <phoneticPr fontId="5"/>
  </si>
  <si>
    <t>導入事業所数(合計) 　</t>
    <rPh sb="0" eb="2">
      <t>ドウニュウ</t>
    </rPh>
    <phoneticPr fontId="5"/>
  </si>
  <si>
    <t>導入事業所数 　</t>
    <rPh sb="0" eb="2">
      <t>ドウニュウ</t>
    </rPh>
    <phoneticPr fontId="5"/>
  </si>
  <si>
    <t>・配車計画システム導入事業所数</t>
    <phoneticPr fontId="5"/>
  </si>
  <si>
    <t>⑧ＡＩ・ＩоＴによるシステム連係ツール</t>
    <phoneticPr fontId="5"/>
  </si>
  <si>
    <t>・ＡＩ・ＩоＴによるシステム連係ツール導入事業所数</t>
    <phoneticPr fontId="5"/>
  </si>
  <si>
    <t>５．申請するシステム</t>
    <rPh sb="2" eb="4">
      <t>シンセイ</t>
    </rPh>
    <phoneticPr fontId="5"/>
  </si>
  <si>
    <t>※該当する区分にチェックを入れてください。</t>
    <rPh sb="1" eb="3">
      <t>ガイトウ</t>
    </rPh>
    <rPh sb="5" eb="7">
      <t>クブン</t>
    </rPh>
    <phoneticPr fontId="5"/>
  </si>
  <si>
    <t xml:space="preserve">補助対象事業者区分 </t>
    <phoneticPr fontId="5"/>
  </si>
  <si>
    <t>　　　代表申請者の補助対象事業者区分</t>
    <rPh sb="3" eb="5">
      <t>ダイヒョウ</t>
    </rPh>
    <rPh sb="5" eb="8">
      <t>シンセイシャ</t>
    </rPh>
    <rPh sb="9" eb="11">
      <t>ホジョ</t>
    </rPh>
    <rPh sb="11" eb="13">
      <t>タイショウ</t>
    </rPh>
    <rPh sb="13" eb="15">
      <t>ジギョウ</t>
    </rPh>
    <rPh sb="15" eb="16">
      <t>シャ</t>
    </rPh>
    <rPh sb="16" eb="18">
      <t>クブン</t>
    </rPh>
    <phoneticPr fontId="5"/>
  </si>
  <si>
    <t>　４．共同申請者の住所</t>
    <rPh sb="9" eb="11">
      <t>ジュウショ</t>
    </rPh>
    <phoneticPr fontId="5"/>
  </si>
  <si>
    <t>　　　共同申請者の法人名</t>
    <rPh sb="9" eb="11">
      <t>ホウジン</t>
    </rPh>
    <rPh sb="11" eb="12">
      <t>メイ</t>
    </rPh>
    <phoneticPr fontId="5"/>
  </si>
  <si>
    <t>　　　共同申請者の代表者の役職</t>
    <rPh sb="9" eb="12">
      <t>ダイヒョウシャ</t>
    </rPh>
    <rPh sb="13" eb="15">
      <t>ヤクショク</t>
    </rPh>
    <phoneticPr fontId="5"/>
  </si>
  <si>
    <t>　　　共同申請者の代表者の氏名</t>
    <rPh sb="9" eb="12">
      <t>ダイヒョウシャ</t>
    </rPh>
    <rPh sb="13" eb="15">
      <t>シメイ</t>
    </rPh>
    <phoneticPr fontId="5"/>
  </si>
  <si>
    <t>　　　共同申請者の代表者のシメイ</t>
    <rPh sb="9" eb="12">
      <t>ダイヒョウシャ</t>
    </rPh>
    <phoneticPr fontId="5"/>
  </si>
  <si>
    <t>　　　共同申請者の代表者の生年月日</t>
    <rPh sb="9" eb="12">
      <t>ダイヒョウシャ</t>
    </rPh>
    <rPh sb="13" eb="15">
      <t>セイネン</t>
    </rPh>
    <rPh sb="15" eb="17">
      <t>ガッピ</t>
    </rPh>
    <phoneticPr fontId="5"/>
  </si>
  <si>
    <t>　　　共同申請者の代表者の性別</t>
    <rPh sb="9" eb="12">
      <t>ダイヒョウシャ</t>
    </rPh>
    <rPh sb="13" eb="15">
      <t>セイベツ</t>
    </rPh>
    <phoneticPr fontId="5"/>
  </si>
  <si>
    <t>　　　共同申請者の補助対象事業者区分</t>
    <rPh sb="9" eb="11">
      <t>ホジョ</t>
    </rPh>
    <rPh sb="11" eb="13">
      <t>タイショウ</t>
    </rPh>
    <rPh sb="13" eb="15">
      <t>ジギョウ</t>
    </rPh>
    <rPh sb="15" eb="16">
      <t>シャ</t>
    </rPh>
    <rPh sb="16" eb="18">
      <t>クブン</t>
    </rPh>
    <phoneticPr fontId="5"/>
  </si>
  <si>
    <t>　５．申請するシステム</t>
    <rPh sb="3" eb="5">
      <t>シンセイ</t>
    </rPh>
    <phoneticPr fontId="5"/>
  </si>
  <si>
    <r>
      <t>６．</t>
    </r>
    <r>
      <rPr>
        <sz val="11"/>
        <rFont val="ＭＳ Ｐゴシック"/>
        <family val="3"/>
        <charset val="128"/>
        <scheme val="minor"/>
      </rPr>
      <t>補助対象経費の金額</t>
    </r>
    <rPh sb="2" eb="4">
      <t>ホジョ</t>
    </rPh>
    <rPh sb="4" eb="6">
      <t>タイショウ</t>
    </rPh>
    <rPh sb="6" eb="8">
      <t>ケイヒ</t>
    </rPh>
    <rPh sb="9" eb="11">
      <t>キンガク</t>
    </rPh>
    <phoneticPr fontId="5"/>
  </si>
  <si>
    <r>
      <t>７．</t>
    </r>
    <r>
      <rPr>
        <sz val="11"/>
        <rFont val="ＭＳ Ｐゴシック"/>
        <family val="3"/>
        <charset val="128"/>
        <scheme val="minor"/>
      </rPr>
      <t>補助事業に要する経費</t>
    </r>
    <rPh sb="2" eb="4">
      <t>ホジョ</t>
    </rPh>
    <rPh sb="4" eb="6">
      <t>ジギョウ</t>
    </rPh>
    <rPh sb="7" eb="8">
      <t>ヨウ</t>
    </rPh>
    <rPh sb="10" eb="12">
      <t>ケイヒ</t>
    </rPh>
    <phoneticPr fontId="5"/>
  </si>
  <si>
    <t>８．事業の完了予定年月日</t>
    <rPh sb="2" eb="4">
      <t>ジギョウ</t>
    </rPh>
    <rPh sb="5" eb="7">
      <t>カンリョウ</t>
    </rPh>
    <rPh sb="7" eb="9">
      <t>ヨテイ</t>
    </rPh>
    <rPh sb="9" eb="12">
      <t>ネンガッピ</t>
    </rPh>
    <phoneticPr fontId="5"/>
  </si>
  <si>
    <t>９．担当者の部署、役職、氏名、連絡先</t>
    <rPh sb="2" eb="5">
      <t>タントウシャ</t>
    </rPh>
    <rPh sb="6" eb="8">
      <t>ブショ</t>
    </rPh>
    <rPh sb="9" eb="11">
      <t>ヤクショク</t>
    </rPh>
    <rPh sb="12" eb="14">
      <t>シメイ</t>
    </rPh>
    <rPh sb="15" eb="18">
      <t>レンラクサキ</t>
    </rPh>
    <phoneticPr fontId="5"/>
  </si>
  <si>
    <r>
      <t>１１．</t>
    </r>
    <r>
      <rPr>
        <sz val="11"/>
        <rFont val="ＭＳ Ｐゴシック"/>
        <family val="3"/>
        <charset val="128"/>
        <scheme val="minor"/>
      </rPr>
      <t>代表申請者の役員</t>
    </r>
    <rPh sb="3" eb="5">
      <t>ダイヒョウ</t>
    </rPh>
    <rPh sb="5" eb="8">
      <t>シンセイシャ</t>
    </rPh>
    <rPh sb="9" eb="11">
      <t>ヤクイン</t>
    </rPh>
    <phoneticPr fontId="5"/>
  </si>
  <si>
    <r>
      <t>１２．</t>
    </r>
    <r>
      <rPr>
        <sz val="11"/>
        <rFont val="ＭＳ Ｐゴシック"/>
        <family val="3"/>
        <charset val="128"/>
        <scheme val="minor"/>
      </rPr>
      <t>共同申請者の役員</t>
    </r>
    <rPh sb="3" eb="5">
      <t>キョウドウ</t>
    </rPh>
    <rPh sb="5" eb="8">
      <t>シンセイシャ</t>
    </rPh>
    <rPh sb="9" eb="11">
      <t>ヤクイン</t>
    </rPh>
    <phoneticPr fontId="5"/>
  </si>
  <si>
    <t>１３．取組を実施する車両に自家用車両（白ナンバーが）ある場合は、チェックを入れてください。</t>
    <rPh sb="3" eb="5">
      <t>トリクミ</t>
    </rPh>
    <rPh sb="6" eb="8">
      <t>ジッシ</t>
    </rPh>
    <rPh sb="10" eb="12">
      <t>シャリョウ</t>
    </rPh>
    <rPh sb="13" eb="16">
      <t>ジカヨウ</t>
    </rPh>
    <rPh sb="16" eb="18">
      <t>シャリョウ</t>
    </rPh>
    <rPh sb="19" eb="20">
      <t>シロ</t>
    </rPh>
    <rPh sb="28" eb="30">
      <t>バアイ</t>
    </rPh>
    <rPh sb="37" eb="38">
      <t>イ</t>
    </rPh>
    <phoneticPr fontId="5"/>
  </si>
  <si>
    <t>１０．共同申請者の窓口担当者の部署、役職、氏名、連絡先</t>
    <rPh sb="3" eb="5">
      <t>キョウドウ</t>
    </rPh>
    <rPh sb="5" eb="7">
      <t>シンセイ</t>
    </rPh>
    <rPh sb="7" eb="8">
      <t>シャ</t>
    </rPh>
    <rPh sb="9" eb="11">
      <t>マドグチ</t>
    </rPh>
    <rPh sb="11" eb="14">
      <t>タントウシャ</t>
    </rPh>
    <rPh sb="15" eb="17">
      <t>ブショ</t>
    </rPh>
    <rPh sb="18" eb="20">
      <t>ヤクショク</t>
    </rPh>
    <rPh sb="21" eb="23">
      <t>シメイ</t>
    </rPh>
    <rPh sb="24" eb="27">
      <t>レンラクサキ</t>
    </rPh>
    <phoneticPr fontId="5"/>
  </si>
  <si>
    <t>９．共同申請の窓口担当者の部署、役職、氏名、連絡先</t>
    <rPh sb="2" eb="6">
      <t>キョウドウシンセイ</t>
    </rPh>
    <rPh sb="7" eb="9">
      <t>マドグチ</t>
    </rPh>
    <rPh sb="9" eb="12">
      <t>タントウシャ</t>
    </rPh>
    <rPh sb="13" eb="15">
      <t>ブショ</t>
    </rPh>
    <rPh sb="16" eb="18">
      <t>ヤクショク</t>
    </rPh>
    <rPh sb="19" eb="21">
      <t>シメイ</t>
    </rPh>
    <rPh sb="22" eb="25">
      <t>レンラクサキ</t>
    </rPh>
    <phoneticPr fontId="5"/>
  </si>
  <si>
    <r>
      <t>８．事業の完了予定年月日を</t>
    </r>
    <r>
      <rPr>
        <b/>
        <u/>
        <sz val="11"/>
        <color rgb="FFFF0000"/>
        <rFont val="ＭＳ Ｐゴシック"/>
        <family val="3"/>
        <charset val="128"/>
        <scheme val="minor"/>
      </rPr>
      <t>【西暦/月/日】半角英数</t>
    </r>
    <r>
      <rPr>
        <sz val="11"/>
        <color theme="1"/>
        <rFont val="ＭＳ Ｐゴシック"/>
        <family val="2"/>
        <scheme val="minor"/>
      </rPr>
      <t>で入力してください。</t>
    </r>
    <r>
      <rPr>
        <sz val="11"/>
        <color rgb="FFFF0000"/>
        <rFont val="ＭＳ Ｐゴシック"/>
        <family val="3"/>
        <charset val="128"/>
        <scheme val="minor"/>
      </rPr>
      <t>※</t>
    </r>
    <rPh sb="2" eb="4">
      <t>ジギョウ</t>
    </rPh>
    <rPh sb="5" eb="7">
      <t>カンリョウ</t>
    </rPh>
    <rPh sb="7" eb="9">
      <t>ヨテイ</t>
    </rPh>
    <rPh sb="9" eb="12">
      <t>ネンガッピ</t>
    </rPh>
    <rPh sb="14" eb="16">
      <t>セイレキ</t>
    </rPh>
    <rPh sb="17" eb="18">
      <t>ツキ</t>
    </rPh>
    <rPh sb="19" eb="20">
      <t>ヒ</t>
    </rPh>
    <rPh sb="21" eb="23">
      <t>ハンカク</t>
    </rPh>
    <rPh sb="23" eb="25">
      <t>エイスウ</t>
    </rPh>
    <rPh sb="26" eb="28">
      <t>ニュウリョク</t>
    </rPh>
    <phoneticPr fontId="5"/>
  </si>
  <si>
    <r>
      <t>９．補助事業の窓口となる担当者の部署、役職、氏名、連絡先を入力してください。</t>
    </r>
    <r>
      <rPr>
        <sz val="11"/>
        <color rgb="FFFF0000"/>
        <rFont val="ＭＳ Ｐゴシック"/>
        <family val="3"/>
        <charset val="128"/>
        <scheme val="minor"/>
      </rPr>
      <t>※</t>
    </r>
    <rPh sb="2" eb="4">
      <t>ホジョ</t>
    </rPh>
    <rPh sb="4" eb="6">
      <t>ジギョウ</t>
    </rPh>
    <rPh sb="7" eb="9">
      <t>マドグチ</t>
    </rPh>
    <rPh sb="12" eb="15">
      <t>タントウシャ</t>
    </rPh>
    <rPh sb="16" eb="18">
      <t>ブショ</t>
    </rPh>
    <rPh sb="19" eb="21">
      <t>ヤクショク</t>
    </rPh>
    <rPh sb="22" eb="24">
      <t>シメイ</t>
    </rPh>
    <rPh sb="25" eb="28">
      <t>レンラクサキ</t>
    </rPh>
    <rPh sb="29" eb="31">
      <t>ニュウリョク</t>
    </rPh>
    <phoneticPr fontId="5"/>
  </si>
  <si>
    <t>１０．共同申請者の窓口となる連絡先を入力してください。</t>
    <rPh sb="3" eb="5">
      <t>キョウドウ</t>
    </rPh>
    <rPh sb="5" eb="8">
      <t>シンセイシャ</t>
    </rPh>
    <rPh sb="9" eb="11">
      <t>マドグチ</t>
    </rPh>
    <rPh sb="14" eb="17">
      <t>レンラクサキ</t>
    </rPh>
    <rPh sb="18" eb="20">
      <t>ニュウリョク</t>
    </rPh>
    <phoneticPr fontId="5"/>
  </si>
  <si>
    <t>※以下入力箇所がグレーアウトしている場合は入力不用です。</t>
  </si>
  <si>
    <t>ホームページURL</t>
  </si>
  <si>
    <t>代表申請者の代表者</t>
    <rPh sb="0" eb="5">
      <t>ダイヒョウシンセイシャ</t>
    </rPh>
    <rPh sb="6" eb="9">
      <t>ダイヒョウシャ</t>
    </rPh>
    <phoneticPr fontId="5"/>
  </si>
  <si>
    <t>　　　共同申請者の代表者</t>
    <rPh sb="9" eb="12">
      <t>ダイヒョウシャ</t>
    </rPh>
    <phoneticPr fontId="5"/>
  </si>
  <si>
    <t>　６．補助対象経費</t>
    <rPh sb="3" eb="5">
      <t>ホジョ</t>
    </rPh>
    <rPh sb="5" eb="7">
      <t>タイショウ</t>
    </rPh>
    <rPh sb="7" eb="9">
      <t>ケイヒ</t>
    </rPh>
    <phoneticPr fontId="5"/>
  </si>
  <si>
    <t>　８．事業の完了予定年月日</t>
    <rPh sb="3" eb="5">
      <t>ジギョウ</t>
    </rPh>
    <rPh sb="6" eb="8">
      <t>カンリョウ</t>
    </rPh>
    <rPh sb="8" eb="10">
      <t>ヨテイ</t>
    </rPh>
    <rPh sb="10" eb="13">
      <t>ネンガッピ</t>
    </rPh>
    <phoneticPr fontId="5"/>
  </si>
  <si>
    <t>　９．担当者の法人名、部署、役職名</t>
    <rPh sb="3" eb="6">
      <t>タントウシャ</t>
    </rPh>
    <rPh sb="7" eb="9">
      <t>ホウジン</t>
    </rPh>
    <rPh sb="9" eb="10">
      <t>メイ</t>
    </rPh>
    <rPh sb="11" eb="13">
      <t>ブショ</t>
    </rPh>
    <rPh sb="14" eb="16">
      <t>ヤクショク</t>
    </rPh>
    <rPh sb="16" eb="17">
      <t>メイ</t>
    </rPh>
    <phoneticPr fontId="5"/>
  </si>
  <si>
    <t>　１０．共同申請者の窓口連絡先</t>
    <rPh sb="4" eb="6">
      <t>キョウドウ</t>
    </rPh>
    <rPh sb="6" eb="9">
      <t>シンセイシャ</t>
    </rPh>
    <rPh sb="10" eb="12">
      <t>マドグチ</t>
    </rPh>
    <rPh sb="12" eb="15">
      <t>レンラクサキ</t>
    </rPh>
    <phoneticPr fontId="5"/>
  </si>
  <si>
    <t>トラック有で○</t>
    <rPh sb="4" eb="5">
      <t>アリ</t>
    </rPh>
    <phoneticPr fontId="5"/>
  </si>
  <si>
    <t>荷主有で○</t>
    <rPh sb="0" eb="2">
      <t>ニヌシ</t>
    </rPh>
    <rPh sb="2" eb="3">
      <t>アリ</t>
    </rPh>
    <phoneticPr fontId="5"/>
  </si>
  <si>
    <t>全て○</t>
    <rPh sb="0" eb="1">
      <t>スベ</t>
    </rPh>
    <phoneticPr fontId="5"/>
  </si>
  <si>
    <t>【注意】グレーアウトしている区分は選択できません。</t>
    <rPh sb="1" eb="3">
      <t>チュウイ</t>
    </rPh>
    <rPh sb="14" eb="16">
      <t>クブン</t>
    </rPh>
    <rPh sb="17" eb="19">
      <t>センタク</t>
    </rPh>
    <phoneticPr fontId="5"/>
  </si>
  <si>
    <t>申請者情報（AI・IoTによるシステム連係ツール用）　　</t>
    <rPh sb="3" eb="5">
      <t>ジョウホウ</t>
    </rPh>
    <rPh sb="19" eb="21">
      <t>レンケイ</t>
    </rPh>
    <rPh sb="24" eb="25">
      <t>ヨウ</t>
    </rPh>
    <phoneticPr fontId="42"/>
  </si>
  <si>
    <t>令和４年度AI・IoT等を活用した更なる輸送効率化推進事業費補助金（トラック輸送の省エネ化推進事業）</t>
    <phoneticPr fontId="42"/>
  </si>
  <si>
    <t>ア）～エ）
トラック事業者
もしくは
オ）
荷主等</t>
    <phoneticPr fontId="42"/>
  </si>
  <si>
    <t>本社所在地</t>
    <rPh sb="0" eb="2">
      <t>ホンシャ</t>
    </rPh>
    <rPh sb="2" eb="5">
      <t>ショザイチ</t>
    </rPh>
    <phoneticPr fontId="42"/>
  </si>
  <si>
    <t>法人名</t>
    <rPh sb="0" eb="2">
      <t>ホウジン</t>
    </rPh>
    <rPh sb="2" eb="3">
      <t>メイ</t>
    </rPh>
    <phoneticPr fontId="42"/>
  </si>
  <si>
    <t>カナ</t>
    <phoneticPr fontId="5"/>
  </si>
  <si>
    <t>漢字</t>
    <phoneticPr fontId="5"/>
  </si>
  <si>
    <t>代表者名</t>
    <rPh sb="0" eb="3">
      <t>ダイヒョウシャ</t>
    </rPh>
    <rPh sb="3" eb="4">
      <t>メイ</t>
    </rPh>
    <phoneticPr fontId="5"/>
  </si>
  <si>
    <t>役職</t>
    <rPh sb="0" eb="2">
      <t>ヤクショク</t>
    </rPh>
    <phoneticPr fontId="42"/>
  </si>
  <si>
    <t>代表電話番号</t>
    <rPh sb="0" eb="2">
      <t>ダイヒョウ</t>
    </rPh>
    <rPh sb="2" eb="4">
      <t>デンワ</t>
    </rPh>
    <rPh sb="4" eb="6">
      <t>バンゴウ</t>
    </rPh>
    <phoneticPr fontId="42"/>
  </si>
  <si>
    <t>代表FAX番号</t>
    <rPh sb="5" eb="7">
      <t>バンゴウ</t>
    </rPh>
    <phoneticPr fontId="42"/>
  </si>
  <si>
    <t>E-mail</t>
    <phoneticPr fontId="42"/>
  </si>
  <si>
    <t>ホームページURL</t>
    <phoneticPr fontId="42"/>
  </si>
  <si>
    <t xml:space="preserve"> AI・IoTによるシステム連係ツール導入事業所数（合計）</t>
    <rPh sb="14" eb="16">
      <t>レンケイ</t>
    </rPh>
    <rPh sb="19" eb="21">
      <t>ドウニュウ</t>
    </rPh>
    <rPh sb="23" eb="24">
      <t>ショ</t>
    </rPh>
    <phoneticPr fontId="5"/>
  </si>
  <si>
    <t>箇所</t>
    <rPh sb="0" eb="2">
      <t>カショ</t>
    </rPh>
    <phoneticPr fontId="5"/>
  </si>
  <si>
    <t>補助対象
事業者区分</t>
    <rPh sb="0" eb="2">
      <t>ホジョ</t>
    </rPh>
    <rPh sb="2" eb="4">
      <t>タイショウ</t>
    </rPh>
    <rPh sb="5" eb="7">
      <t>ジギョウ</t>
    </rPh>
    <rPh sb="7" eb="8">
      <t>シャ</t>
    </rPh>
    <rPh sb="8" eb="10">
      <t>クブン</t>
    </rPh>
    <phoneticPr fontId="5"/>
  </si>
  <si>
    <t>申請者（トラック事業者もしくは荷主等）に該当する区分を１つ下記のア～オから選択し、右の欄に記入</t>
    <rPh sb="0" eb="3">
      <t>シンセイシャ</t>
    </rPh>
    <rPh sb="8" eb="11">
      <t>ジギョウシャ</t>
    </rPh>
    <rPh sb="15" eb="17">
      <t>ニヌシ</t>
    </rPh>
    <rPh sb="17" eb="18">
      <t>トウ</t>
    </rPh>
    <rPh sb="20" eb="22">
      <t>ガイトウ</t>
    </rPh>
    <rPh sb="24" eb="26">
      <t>クブン</t>
    </rPh>
    <rPh sb="29" eb="31">
      <t>カキ</t>
    </rPh>
    <rPh sb="37" eb="39">
      <t>センタク</t>
    </rPh>
    <rPh sb="41" eb="42">
      <t>ミギ</t>
    </rPh>
    <rPh sb="43" eb="44">
      <t>ラン</t>
    </rPh>
    <rPh sb="45" eb="47">
      <t>キニュウ</t>
    </rPh>
    <phoneticPr fontId="5"/>
  </si>
  <si>
    <t>ア</t>
    <phoneticPr fontId="5"/>
  </si>
  <si>
    <t xml:space="preserve"> 貨物自動車運送事業者</t>
    <phoneticPr fontId="5"/>
  </si>
  <si>
    <t>イ</t>
    <phoneticPr fontId="5"/>
  </si>
  <si>
    <t xml:space="preserve"> 第二種貨物利用運送事業者</t>
    <phoneticPr fontId="5"/>
  </si>
  <si>
    <t>ウ</t>
    <phoneticPr fontId="5"/>
  </si>
  <si>
    <t xml:space="preserve"> 自家用トラック事業者</t>
    <phoneticPr fontId="5"/>
  </si>
  <si>
    <t>エ</t>
    <phoneticPr fontId="5"/>
  </si>
  <si>
    <r>
      <t xml:space="preserve"> ア又はイを構成員に含む団体
 </t>
    </r>
    <r>
      <rPr>
        <sz val="9"/>
        <color theme="1"/>
        <rFont val="ＭＳ Ｐゴシック"/>
        <family val="3"/>
        <charset val="128"/>
        <scheme val="minor"/>
      </rPr>
      <t>※各団体の構成員の運送事業者が補助対象となるシステムを導入する場合に
    限る。この場合において、当該構成員と共同で申請すること。</t>
    </r>
    <rPh sb="2" eb="3">
      <t>マタ</t>
    </rPh>
    <rPh sb="17" eb="20">
      <t>カクダンタイ</t>
    </rPh>
    <rPh sb="21" eb="24">
      <t>コウセイイン</t>
    </rPh>
    <rPh sb="25" eb="27">
      <t>ウンソウ</t>
    </rPh>
    <rPh sb="27" eb="30">
      <t>ジギョウシャ</t>
    </rPh>
    <rPh sb="31" eb="33">
      <t>ホジョ</t>
    </rPh>
    <rPh sb="33" eb="35">
      <t>タイショウ</t>
    </rPh>
    <rPh sb="43" eb="45">
      <t>ドウニュウ</t>
    </rPh>
    <rPh sb="47" eb="49">
      <t>バアイ</t>
    </rPh>
    <rPh sb="55" eb="56">
      <t>カギ</t>
    </rPh>
    <rPh sb="60" eb="62">
      <t>バアイ</t>
    </rPh>
    <rPh sb="67" eb="69">
      <t>トウガイ</t>
    </rPh>
    <rPh sb="69" eb="72">
      <t>コウセイイン</t>
    </rPh>
    <rPh sb="73" eb="75">
      <t>キョウドウ</t>
    </rPh>
    <rPh sb="76" eb="78">
      <t>シンセイ</t>
    </rPh>
    <phoneticPr fontId="5"/>
  </si>
  <si>
    <t>オ</t>
    <phoneticPr fontId="5"/>
  </si>
  <si>
    <t xml:space="preserve"> 荷主等</t>
    <rPh sb="1" eb="3">
      <t>ニヌシ</t>
    </rPh>
    <rPh sb="3" eb="4">
      <t>トウ</t>
    </rPh>
    <phoneticPr fontId="5"/>
  </si>
  <si>
    <t>カ）
リース事業者</t>
    <phoneticPr fontId="42"/>
  </si>
  <si>
    <t>-</t>
  </si>
  <si>
    <t>代表者名</t>
    <rPh sb="0" eb="3">
      <t>ダイヒョウシャ</t>
    </rPh>
    <phoneticPr fontId="42"/>
  </si>
  <si>
    <t>代表電話番号</t>
    <rPh sb="2" eb="4">
      <t>デンワ</t>
    </rPh>
    <rPh sb="4" eb="6">
      <t>バンゴウ</t>
    </rPh>
    <phoneticPr fontId="42"/>
  </si>
  <si>
    <t>申請者情報（配車計画システム用）　　</t>
    <rPh sb="3" eb="5">
      <t>ジョウホウ</t>
    </rPh>
    <rPh sb="8" eb="10">
      <t>ケイカク</t>
    </rPh>
    <phoneticPr fontId="42"/>
  </si>
  <si>
    <t>代表者名</t>
    <rPh sb="0" eb="4">
      <t>ダイヒョウシャメイ</t>
    </rPh>
    <phoneticPr fontId="5"/>
  </si>
  <si>
    <t xml:space="preserve"> 配車計画システム導入事業所数（合計）</t>
    <rPh sb="1" eb="3">
      <t>ハイシャ</t>
    </rPh>
    <rPh sb="3" eb="5">
      <t>ケイカク</t>
    </rPh>
    <rPh sb="13" eb="14">
      <t>ショ</t>
    </rPh>
    <phoneticPr fontId="5"/>
  </si>
  <si>
    <t>取組実施事業者数/
取組実施車両台数
※車両動態管理システムと
同一車両を使用する場合は入力不要</t>
    <rPh sb="0" eb="2">
      <t>トリクミ</t>
    </rPh>
    <rPh sb="2" eb="4">
      <t>ジッシ</t>
    </rPh>
    <rPh sb="7" eb="8">
      <t>スウ</t>
    </rPh>
    <rPh sb="10" eb="12">
      <t>トリクミ</t>
    </rPh>
    <rPh sb="12" eb="14">
      <t>ジッシ</t>
    </rPh>
    <rPh sb="14" eb="16">
      <t>シャリョウ</t>
    </rPh>
    <rPh sb="16" eb="18">
      <t>ダイスウ</t>
    </rPh>
    <rPh sb="20" eb="22">
      <t>シャリョウ</t>
    </rPh>
    <rPh sb="22" eb="24">
      <t>ドウタイ</t>
    </rPh>
    <rPh sb="24" eb="26">
      <t>カンリ</t>
    </rPh>
    <rPh sb="32" eb="34">
      <t>ドウイツ</t>
    </rPh>
    <rPh sb="34" eb="36">
      <t>シャリョウ</t>
    </rPh>
    <rPh sb="37" eb="39">
      <t>シヨウ</t>
    </rPh>
    <rPh sb="41" eb="43">
      <t>バアイ</t>
    </rPh>
    <rPh sb="44" eb="46">
      <t>ニュウリョク</t>
    </rPh>
    <rPh sb="46" eb="48">
      <t>フヨウ</t>
    </rPh>
    <phoneticPr fontId="5"/>
  </si>
  <si>
    <t>連携するトラック事業者数</t>
    <rPh sb="0" eb="2">
      <t>レンケイ</t>
    </rPh>
    <rPh sb="8" eb="11">
      <t>ジギョウシャ</t>
    </rPh>
    <rPh sb="11" eb="12">
      <t>スウ</t>
    </rPh>
    <phoneticPr fontId="5"/>
  </si>
  <si>
    <t>連携する車両台数</t>
    <rPh sb="0" eb="2">
      <t>レンケイ</t>
    </rPh>
    <rPh sb="4" eb="6">
      <t>シャリョウ</t>
    </rPh>
    <rPh sb="6" eb="8">
      <t>ダイスウ</t>
    </rPh>
    <phoneticPr fontId="5"/>
  </si>
  <si>
    <t>合計台数</t>
    <rPh sb="0" eb="4">
      <t>ゴウケイダイスウ</t>
    </rPh>
    <phoneticPr fontId="5"/>
  </si>
  <si>
    <t>事業用トラック</t>
    <rPh sb="0" eb="3">
      <t>ジギョウヨウ</t>
    </rPh>
    <phoneticPr fontId="5"/>
  </si>
  <si>
    <t>自家用トラック</t>
    <rPh sb="0" eb="3">
      <t>ジカヨウ</t>
    </rPh>
    <phoneticPr fontId="5"/>
  </si>
  <si>
    <t>自社又は
連携するトラック事業者
全体の保有車両台数</t>
    <rPh sb="0" eb="3">
      <t>ジシャマタ</t>
    </rPh>
    <phoneticPr fontId="5"/>
  </si>
  <si>
    <t>保有車両台数（合計）</t>
    <rPh sb="0" eb="6">
      <t>ホユウシャリョウダイスウ</t>
    </rPh>
    <rPh sb="7" eb="9">
      <t>ゴウケイ</t>
    </rPh>
    <phoneticPr fontId="5"/>
  </si>
  <si>
    <t>申請者情報（予約受付システム等用）</t>
    <rPh sb="14" eb="15">
      <t>トウ</t>
    </rPh>
    <phoneticPr fontId="42"/>
  </si>
  <si>
    <t>令和４年度AI・IoT等を活用した更なる輸送効率化推進事業費補助金（トラック輸送の省エネ化推進事業）</t>
    <rPh sb="0" eb="2">
      <t>レイワ</t>
    </rPh>
    <rPh sb="3" eb="5">
      <t>ネンド</t>
    </rPh>
    <rPh sb="11" eb="12">
      <t>ナド</t>
    </rPh>
    <rPh sb="13" eb="15">
      <t>カツヨウ</t>
    </rPh>
    <rPh sb="17" eb="18">
      <t>サラ</t>
    </rPh>
    <rPh sb="20" eb="22">
      <t>ユソウ</t>
    </rPh>
    <rPh sb="22" eb="25">
      <t>コウリツカ</t>
    </rPh>
    <rPh sb="25" eb="27">
      <t>スイシン</t>
    </rPh>
    <rPh sb="27" eb="30">
      <t>ジギョウヒ</t>
    </rPh>
    <rPh sb="30" eb="33">
      <t>ホジョキン</t>
    </rPh>
    <rPh sb="38" eb="40">
      <t>ユソウ</t>
    </rPh>
    <rPh sb="41" eb="42">
      <t>ショウ</t>
    </rPh>
    <rPh sb="44" eb="45">
      <t>カ</t>
    </rPh>
    <rPh sb="45" eb="47">
      <t>スイシン</t>
    </rPh>
    <rPh sb="47" eb="49">
      <t>ジギョウ</t>
    </rPh>
    <phoneticPr fontId="42"/>
  </si>
  <si>
    <t>オ）
荷主等</t>
    <rPh sb="3" eb="5">
      <t>ニヌシ</t>
    </rPh>
    <rPh sb="5" eb="6">
      <t>トウ</t>
    </rPh>
    <phoneticPr fontId="42"/>
  </si>
  <si>
    <t>補助対象設備を導入
する事業所数</t>
    <rPh sb="0" eb="2">
      <t>ホジョ</t>
    </rPh>
    <rPh sb="2" eb="4">
      <t>タイショウ</t>
    </rPh>
    <rPh sb="4" eb="6">
      <t>セツビ</t>
    </rPh>
    <rPh sb="7" eb="9">
      <t>ドウニュウ</t>
    </rPh>
    <rPh sb="14" eb="15">
      <t>ショ</t>
    </rPh>
    <rPh sb="15" eb="16">
      <t>スウ</t>
    </rPh>
    <phoneticPr fontId="5"/>
  </si>
  <si>
    <t xml:space="preserve"> ①予約受付システム</t>
    <phoneticPr fontId="5"/>
  </si>
  <si>
    <t xml:space="preserve"> ②ＡＳＮシステム</t>
    <phoneticPr fontId="5"/>
  </si>
  <si>
    <t xml:space="preserve"> ③受注情報事前確認システム</t>
    <rPh sb="2" eb="4">
      <t>ジュチュウ</t>
    </rPh>
    <rPh sb="4" eb="6">
      <t>ジョウホウ</t>
    </rPh>
    <rPh sb="6" eb="8">
      <t>ジゼン</t>
    </rPh>
    <rPh sb="8" eb="10">
      <t>カクニン</t>
    </rPh>
    <phoneticPr fontId="5"/>
  </si>
  <si>
    <t xml:space="preserve"> ④パレット等管理システム</t>
    <rPh sb="6" eb="7">
      <t>トウ</t>
    </rPh>
    <rPh sb="7" eb="9">
      <t>カンリ</t>
    </rPh>
    <phoneticPr fontId="5"/>
  </si>
  <si>
    <t xml:space="preserve"> ⑤パレタイズシステム</t>
    <phoneticPr fontId="5"/>
  </si>
  <si>
    <r>
      <t xml:space="preserve">取組実施事業者数/
取組実施車両台数
</t>
    </r>
    <r>
      <rPr>
        <sz val="6"/>
        <color theme="1"/>
        <rFont val="ＭＳ Ｐゴシック"/>
        <family val="3"/>
        <charset val="128"/>
        <scheme val="minor"/>
      </rPr>
      <t>※車両動態管理システムと
同一車両を使用する場合は入力不要</t>
    </r>
    <rPh sb="0" eb="2">
      <t>トリクミ</t>
    </rPh>
    <rPh sb="2" eb="4">
      <t>ジッシ</t>
    </rPh>
    <rPh sb="4" eb="7">
      <t>ジギョウシャ</t>
    </rPh>
    <rPh sb="7" eb="8">
      <t>スウ</t>
    </rPh>
    <rPh sb="10" eb="12">
      <t>トリクミ</t>
    </rPh>
    <rPh sb="12" eb="14">
      <t>ジッシ</t>
    </rPh>
    <rPh sb="14" eb="16">
      <t>シャリョウ</t>
    </rPh>
    <rPh sb="16" eb="18">
      <t>ダイスウ</t>
    </rPh>
    <rPh sb="20" eb="22">
      <t>シャリョウ</t>
    </rPh>
    <rPh sb="22" eb="24">
      <t>ドウタイ</t>
    </rPh>
    <rPh sb="24" eb="26">
      <t>カンリ</t>
    </rPh>
    <rPh sb="32" eb="34">
      <t>ドウイツ</t>
    </rPh>
    <rPh sb="34" eb="36">
      <t>シャリョウ</t>
    </rPh>
    <rPh sb="37" eb="39">
      <t>シヨウ</t>
    </rPh>
    <rPh sb="41" eb="43">
      <t>バアイ</t>
    </rPh>
    <rPh sb="44" eb="46">
      <t>ニュウリョク</t>
    </rPh>
    <rPh sb="46" eb="48">
      <t>フヨウ</t>
    </rPh>
    <phoneticPr fontId="5"/>
  </si>
  <si>
    <t>連携するトラック事業者
全体の保有車両台数</t>
    <rPh sb="15" eb="21">
      <t>ホユウシャリョウダイスウ</t>
    </rPh>
    <phoneticPr fontId="5"/>
  </si>
  <si>
    <t>申請者情報（車両動態管理システム用）　　</t>
    <rPh sb="3" eb="5">
      <t>ジョウホウ</t>
    </rPh>
    <rPh sb="6" eb="8">
      <t>シャリョウ</t>
    </rPh>
    <rPh sb="8" eb="10">
      <t>ドウタイ</t>
    </rPh>
    <rPh sb="10" eb="12">
      <t>カンリ</t>
    </rPh>
    <phoneticPr fontId="42"/>
  </si>
  <si>
    <t>ア）～エ）
トラック事業者</t>
    <phoneticPr fontId="42"/>
  </si>
  <si>
    <t>代表者名</t>
    <rPh sb="0" eb="2">
      <t>ダイヒョウ</t>
    </rPh>
    <rPh sb="2" eb="3">
      <t>シャ</t>
    </rPh>
    <rPh sb="3" eb="4">
      <t>メイ</t>
    </rPh>
    <phoneticPr fontId="5"/>
  </si>
  <si>
    <t xml:space="preserve"> 申請者(トラック事業者)が主に該当する区分を１つ下記のア～エから選択し、右の欄に記入</t>
    <rPh sb="9" eb="12">
      <t>ジギョウシャ</t>
    </rPh>
    <rPh sb="14" eb="15">
      <t>オモ</t>
    </rPh>
    <rPh sb="20" eb="22">
      <t>クブン</t>
    </rPh>
    <rPh sb="25" eb="27">
      <t>カキ</t>
    </rPh>
    <rPh sb="33" eb="35">
      <t>センタク</t>
    </rPh>
    <rPh sb="37" eb="38">
      <t>ミギ</t>
    </rPh>
    <rPh sb="39" eb="40">
      <t>ラン</t>
    </rPh>
    <rPh sb="41" eb="43">
      <t>キニュウ</t>
    </rPh>
    <phoneticPr fontId="5"/>
  </si>
  <si>
    <t>申請台数等</t>
    <phoneticPr fontId="5"/>
  </si>
  <si>
    <t>※車両使用者は区分ア～ウに該当する申請者であること</t>
    <rPh sb="1" eb="3">
      <t>シャリョウ</t>
    </rPh>
    <rPh sb="3" eb="6">
      <t>シヨウシャ</t>
    </rPh>
    <rPh sb="7" eb="9">
      <t>クブン</t>
    </rPh>
    <rPh sb="13" eb="15">
      <t>ガイトウ</t>
    </rPh>
    <rPh sb="17" eb="20">
      <t>シンセイシャ</t>
    </rPh>
    <phoneticPr fontId="5"/>
  </si>
  <si>
    <t>申請車両台数（合計）</t>
    <rPh sb="7" eb="9">
      <t>ゴウケイ</t>
    </rPh>
    <phoneticPr fontId="5"/>
  </si>
  <si>
    <t>台</t>
    <phoneticPr fontId="5"/>
  </si>
  <si>
    <t>うち事業用</t>
    <rPh sb="2" eb="5">
      <t>ジギョウヨウ</t>
    </rPh>
    <phoneticPr fontId="5"/>
  </si>
  <si>
    <t>うち自家用</t>
    <phoneticPr fontId="5"/>
  </si>
  <si>
    <t xml:space="preserve"> 事業所数（上記車両の所属）</t>
    <rPh sb="1" eb="4">
      <t>ジギョウショ</t>
    </rPh>
    <rPh sb="4" eb="5">
      <t>カズ</t>
    </rPh>
    <rPh sb="11" eb="13">
      <t>ショゾク</t>
    </rPh>
    <phoneticPr fontId="5"/>
  </si>
  <si>
    <t>箇所</t>
    <phoneticPr fontId="5"/>
  </si>
  <si>
    <t>自社全体の保有台数</t>
    <rPh sb="0" eb="2">
      <t>ジシャ</t>
    </rPh>
    <rPh sb="2" eb="4">
      <t>ゼンタイ</t>
    </rPh>
    <rPh sb="5" eb="7">
      <t>ホユウ</t>
    </rPh>
    <rPh sb="7" eb="9">
      <t>ダイスウ</t>
    </rPh>
    <phoneticPr fontId="5"/>
  </si>
  <si>
    <t>車載器導入区分</t>
    <rPh sb="0" eb="3">
      <t>シャサイキ</t>
    </rPh>
    <rPh sb="3" eb="5">
      <t>ドウニュウ</t>
    </rPh>
    <rPh sb="5" eb="7">
      <t>クブン</t>
    </rPh>
    <phoneticPr fontId="5"/>
  </si>
  <si>
    <t>①デジタコ導入型</t>
    <phoneticPr fontId="5"/>
  </si>
  <si>
    <t>②ＧＰＳ車載器導入型（デジタコの導入なし又は既存所有のデジタコを利用）</t>
    <phoneticPr fontId="5"/>
  </si>
  <si>
    <t>②ＧＰＳ車載器導入型</t>
    <phoneticPr fontId="5"/>
  </si>
  <si>
    <t>③サービス単独型（車両動態管理サービスのみの導入、デジタコ・ＧＰＳ車載器の購入なし）</t>
    <phoneticPr fontId="5"/>
  </si>
  <si>
    <t>③サービス単独型（</t>
  </si>
  <si>
    <t>〒</t>
  </si>
  <si>
    <t>トラック事業者が代表申請者</t>
    <phoneticPr fontId="5"/>
  </si>
  <si>
    <t>リース事業者が代表申請者</t>
    <phoneticPr fontId="5"/>
  </si>
  <si>
    <t>荷主が代表申請者</t>
  </si>
  <si>
    <t>トラック事業者もしくは荷主等が代表申請者</t>
    <phoneticPr fontId="5"/>
  </si>
  <si>
    <t>ホウジンメイ（全角） 　</t>
    <rPh sb="7" eb="9">
      <t>ゼンカク</t>
    </rPh>
    <phoneticPr fontId="5"/>
  </si>
  <si>
    <t xml:space="preserve">ホウジンメイ（全角） </t>
    <rPh sb="7" eb="9">
      <t>ゼンカク</t>
    </rPh>
    <phoneticPr fontId="5"/>
  </si>
  <si>
    <t>　　　①車両動態管理システム</t>
    <rPh sb="4" eb="6">
      <t>シャリョウ</t>
    </rPh>
    <rPh sb="6" eb="8">
      <t>ドウタイ</t>
    </rPh>
    <rPh sb="8" eb="10">
      <t>カンリ</t>
    </rPh>
    <phoneticPr fontId="5"/>
  </si>
  <si>
    <t>　　　②予約受付ｼｽﾃﾑ～⑥ﾊﾟﾚﾀｲｽﾞｼｽﾃﾑ</t>
    <rPh sb="4" eb="6">
      <t>ヨヤク</t>
    </rPh>
    <rPh sb="6" eb="8">
      <t>ウケツケ</t>
    </rPh>
    <phoneticPr fontId="5"/>
  </si>
  <si>
    <t>⑦配車計画システム</t>
    <phoneticPr fontId="5"/>
  </si>
  <si>
    <t>　　　⑦配車計画システム</t>
    <rPh sb="4" eb="6">
      <t>ハイシャ</t>
    </rPh>
    <rPh sb="6" eb="8">
      <t>ケイカク</t>
    </rPh>
    <phoneticPr fontId="5"/>
  </si>
  <si>
    <t>　　　⑧ＡＩ・ＩоＴによるシステム連係ツール</t>
    <rPh sb="17" eb="19">
      <t>レンケイ</t>
    </rPh>
    <phoneticPr fontId="5"/>
  </si>
  <si>
    <t>トラックor荷主有で○</t>
    <rPh sb="6" eb="8">
      <t>ニヌシ</t>
    </rPh>
    <rPh sb="8" eb="9">
      <t>アリ</t>
    </rPh>
    <phoneticPr fontId="5"/>
  </si>
  <si>
    <t>　１１．代表申請者の役員の人数</t>
    <rPh sb="4" eb="6">
      <t>ダイヒョウ</t>
    </rPh>
    <rPh sb="6" eb="9">
      <t>シンセイシャ</t>
    </rPh>
    <rPh sb="10" eb="12">
      <t>ヤクイン</t>
    </rPh>
    <rPh sb="13" eb="15">
      <t>ニンズウ</t>
    </rPh>
    <phoneticPr fontId="5"/>
  </si>
  <si>
    <t>　１２．共同申請者の役員の人数</t>
    <rPh sb="6" eb="9">
      <t>シンセイシャ</t>
    </rPh>
    <rPh sb="10" eb="12">
      <t>ヤクイン</t>
    </rPh>
    <rPh sb="13" eb="15">
      <t>ニンズウ</t>
    </rPh>
    <phoneticPr fontId="5"/>
  </si>
  <si>
    <r>
      <t>１１．</t>
    </r>
    <r>
      <rPr>
        <b/>
        <u/>
        <sz val="11"/>
        <color rgb="FFFF0000"/>
        <rFont val="ＭＳ Ｐゴシック"/>
        <family val="3"/>
        <charset val="128"/>
        <scheme val="minor"/>
      </rPr>
      <t>代表申請者</t>
    </r>
    <r>
      <rPr>
        <sz val="11"/>
        <color theme="1"/>
        <rFont val="ＭＳ Ｐゴシック"/>
        <family val="2"/>
        <scheme val="minor"/>
      </rPr>
      <t>の役員の人数と代表者（３に入力した人物）以外の役員の役職、氏名、生年月日、性別を</t>
    </r>
    <rPh sb="3" eb="5">
      <t>ダイヒョウ</t>
    </rPh>
    <rPh sb="5" eb="8">
      <t>シンセイシャ</t>
    </rPh>
    <rPh sb="9" eb="11">
      <t>ヤクイン</t>
    </rPh>
    <rPh sb="12" eb="14">
      <t>ニンズウ</t>
    </rPh>
    <rPh sb="15" eb="18">
      <t>ダイヒョウシャ</t>
    </rPh>
    <rPh sb="21" eb="23">
      <t>ニュウリョク</t>
    </rPh>
    <rPh sb="25" eb="27">
      <t>ジンブツ</t>
    </rPh>
    <rPh sb="28" eb="30">
      <t>イガイ</t>
    </rPh>
    <rPh sb="31" eb="33">
      <t>ヤクイン</t>
    </rPh>
    <rPh sb="34" eb="36">
      <t>ヤクショク</t>
    </rPh>
    <rPh sb="37" eb="39">
      <t>シメイ</t>
    </rPh>
    <rPh sb="40" eb="42">
      <t>セイネン</t>
    </rPh>
    <rPh sb="42" eb="44">
      <t>ガッピ</t>
    </rPh>
    <phoneticPr fontId="5"/>
  </si>
  <si>
    <t>金額入力シート【車両動態管理システム】</t>
    <rPh sb="0" eb="2">
      <t>キンガク</t>
    </rPh>
    <rPh sb="2" eb="4">
      <t>ニュウリョク</t>
    </rPh>
    <rPh sb="8" eb="10">
      <t>シャリョウ</t>
    </rPh>
    <rPh sb="10" eb="12">
      <t>ドウタイ</t>
    </rPh>
    <rPh sb="12" eb="14">
      <t>カンリ</t>
    </rPh>
    <phoneticPr fontId="5"/>
  </si>
  <si>
    <t>車両動態管理システムの申請については、本シートにて1台ずつ設備費、諸経費の金額を入力すること</t>
    <rPh sb="0" eb="2">
      <t>シャリョウ</t>
    </rPh>
    <rPh sb="2" eb="4">
      <t>ドウタイ</t>
    </rPh>
    <rPh sb="4" eb="6">
      <t>カンリ</t>
    </rPh>
    <rPh sb="11" eb="13">
      <t>シンセイ</t>
    </rPh>
    <rPh sb="19" eb="20">
      <t>ホン</t>
    </rPh>
    <rPh sb="26" eb="27">
      <t>ダイ</t>
    </rPh>
    <rPh sb="29" eb="32">
      <t>セツビヒ</t>
    </rPh>
    <rPh sb="33" eb="36">
      <t>ショケイヒ</t>
    </rPh>
    <rPh sb="37" eb="39">
      <t>キンガク</t>
    </rPh>
    <rPh sb="40" eb="42">
      <t>ニュウリョク</t>
    </rPh>
    <phoneticPr fontId="5"/>
  </si>
  <si>
    <t>申請台数は</t>
    <rPh sb="0" eb="2">
      <t>シンセイ</t>
    </rPh>
    <rPh sb="2" eb="4">
      <t>ダイスウ</t>
    </rPh>
    <phoneticPr fontId="5"/>
  </si>
  <si>
    <t>台です。</t>
    <rPh sb="0" eb="1">
      <t>ダイ</t>
    </rPh>
    <phoneticPr fontId="5"/>
  </si>
  <si>
    <t>入力シートにもどる</t>
    <rPh sb="0" eb="2">
      <t>ニュウリョク</t>
    </rPh>
    <phoneticPr fontId="5"/>
  </si>
  <si>
    <t>No.</t>
    <phoneticPr fontId="5"/>
  </si>
  <si>
    <t>&lt;&lt;2台目以降の金額も同じ場合は✔を選択すること</t>
    <rPh sb="3" eb="4">
      <t>ダイ</t>
    </rPh>
    <rPh sb="4" eb="5">
      <t>メ</t>
    </rPh>
    <rPh sb="5" eb="7">
      <t>イコウ</t>
    </rPh>
    <rPh sb="8" eb="10">
      <t>キンガク</t>
    </rPh>
    <rPh sb="11" eb="12">
      <t>オナ</t>
    </rPh>
    <rPh sb="13" eb="15">
      <t>バアイ</t>
    </rPh>
    <rPh sb="18" eb="20">
      <t>センタク</t>
    </rPh>
    <phoneticPr fontId="5"/>
  </si>
  <si>
    <t>　金額入力シートから反映</t>
    <rPh sb="1" eb="3">
      <t>キンガク</t>
    </rPh>
    <rPh sb="3" eb="5">
      <t>ニュウリョク</t>
    </rPh>
    <rPh sb="10" eb="12">
      <t>ハンエイ</t>
    </rPh>
    <phoneticPr fontId="5"/>
  </si>
  <si>
    <t>error</t>
  </si>
  <si>
    <r>
      <t>２．文書作成日を</t>
    </r>
    <r>
      <rPr>
        <b/>
        <u/>
        <sz val="11"/>
        <color rgb="FFFF0000"/>
        <rFont val="ＭＳ Ｐゴシック"/>
        <family val="3"/>
        <charset val="128"/>
        <scheme val="minor"/>
      </rPr>
      <t>【西暦/月/日】半角英数</t>
    </r>
    <r>
      <rPr>
        <sz val="11"/>
        <color theme="1"/>
        <rFont val="ＭＳ Ｐゴシック"/>
        <family val="2"/>
        <scheme val="minor"/>
      </rPr>
      <t>で入力してください。</t>
    </r>
    <r>
      <rPr>
        <sz val="11"/>
        <color rgb="FFFF0000"/>
        <rFont val="ＭＳ Ｐゴシック"/>
        <family val="3"/>
        <charset val="128"/>
        <scheme val="minor"/>
      </rPr>
      <t>※</t>
    </r>
    <rPh sb="2" eb="4">
      <t>ブンショ</t>
    </rPh>
    <rPh sb="4" eb="6">
      <t>サクセイ</t>
    </rPh>
    <rPh sb="6" eb="7">
      <t>ビ</t>
    </rPh>
    <rPh sb="9" eb="11">
      <t>セイレキ</t>
    </rPh>
    <rPh sb="12" eb="13">
      <t>ツキ</t>
    </rPh>
    <rPh sb="14" eb="15">
      <t>ヒ</t>
    </rPh>
    <rPh sb="16" eb="18">
      <t>ハンカク</t>
    </rPh>
    <rPh sb="18" eb="20">
      <t>エイスウ</t>
    </rPh>
    <rPh sb="21" eb="23">
      <t>ニュウリョク</t>
    </rPh>
    <phoneticPr fontId="5"/>
  </si>
  <si>
    <t>２．文書作成日</t>
    <rPh sb="2" eb="4">
      <t>ブンショ</t>
    </rPh>
    <rPh sb="4" eb="6">
      <t>サクセイ</t>
    </rPh>
    <rPh sb="6" eb="7">
      <t>ビ</t>
    </rPh>
    <phoneticPr fontId="5"/>
  </si>
  <si>
    <t>代表申請者の住所の郵便番号</t>
    <rPh sb="6" eb="8">
      <t>ジュウショ</t>
    </rPh>
    <phoneticPr fontId="5"/>
  </si>
  <si>
    <t>代表申請者の住所の都道府県</t>
    <rPh sb="6" eb="8">
      <t>ジュウショ</t>
    </rPh>
    <phoneticPr fontId="5"/>
  </si>
  <si>
    <t>代表申請者の住所の市区町村</t>
    <rPh sb="6" eb="8">
      <t>ジュウショ</t>
    </rPh>
    <phoneticPr fontId="5"/>
  </si>
  <si>
    <t>代表申請者の住所の町名地番</t>
    <rPh sb="6" eb="8">
      <t>ジュウショ</t>
    </rPh>
    <phoneticPr fontId="5"/>
  </si>
  <si>
    <t>代表申請者の住所の建物名称</t>
    <rPh sb="6" eb="8">
      <t>ジュウショ</t>
    </rPh>
    <phoneticPr fontId="5"/>
  </si>
  <si>
    <t>↓階で終わるときに階以外抽出</t>
    <rPh sb="1" eb="2">
      <t>カイ</t>
    </rPh>
    <rPh sb="3" eb="4">
      <t>オ</t>
    </rPh>
    <rPh sb="9" eb="10">
      <t>カイ</t>
    </rPh>
    <rPh sb="10" eb="12">
      <t>イガイ</t>
    </rPh>
    <rPh sb="12" eb="14">
      <t>チュウシュツ</t>
    </rPh>
    <phoneticPr fontId="5"/>
  </si>
  <si>
    <r>
      <t>１２．</t>
    </r>
    <r>
      <rPr>
        <b/>
        <u/>
        <sz val="11"/>
        <color rgb="FFFF0000"/>
        <rFont val="ＭＳ Ｐゴシック"/>
        <family val="3"/>
        <charset val="128"/>
        <scheme val="minor"/>
      </rPr>
      <t/>
    </r>
    <phoneticPr fontId="5"/>
  </si>
  <si>
    <t>共同申請者</t>
    <phoneticPr fontId="5"/>
  </si>
  <si>
    <t>の役員の人数の役員の役職、氏名、生年月日、性別を入力してください。</t>
    <phoneticPr fontId="5"/>
  </si>
  <si>
    <t>※</t>
    <phoneticPr fontId="5"/>
  </si>
  <si>
    <t>←４．より自動反映</t>
    <rPh sb="5" eb="7">
      <t>ジドウ</t>
    </rPh>
    <rPh sb="7" eb="9">
      <t>ハンエイ</t>
    </rPh>
    <phoneticPr fontId="5"/>
  </si>
  <si>
    <r>
      <rPr>
        <sz val="9"/>
        <rFont val="ＭＳ Ｐゴシック"/>
        <family val="3"/>
        <charset val="128"/>
        <scheme val="minor"/>
      </rPr>
      <t xml:space="preserve">※代表申請者が「荷主等」、または「リース事業者」の場合は入力不要です。
</t>
    </r>
    <r>
      <rPr>
        <b/>
        <sz val="9"/>
        <color rgb="FFFF0000"/>
        <rFont val="ＭＳ Ｐゴシック"/>
        <family val="3"/>
        <charset val="128"/>
        <scheme val="minor"/>
      </rPr>
      <t>※【エ】は、各団体の構成員の運送事業者が補助対象となるシステムを導入する場合に限ります。
　　この場合において、当該構成員と共同で申請してください。</t>
    </r>
    <rPh sb="10" eb="11">
      <t>ナド</t>
    </rPh>
    <rPh sb="28" eb="30">
      <t>ニュウリョク</t>
    </rPh>
    <phoneticPr fontId="5"/>
  </si>
  <si>
    <t>　例)●●区</t>
    <rPh sb="1" eb="2">
      <t>レイ</t>
    </rPh>
    <rPh sb="5" eb="6">
      <t>ク</t>
    </rPh>
    <phoneticPr fontId="5"/>
  </si>
  <si>
    <t>　例)■■町1-2-3</t>
    <rPh sb="1" eb="2">
      <t>レイ</t>
    </rPh>
    <phoneticPr fontId="5"/>
  </si>
  <si>
    <t>　例)★★ビル6F</t>
    <rPh sb="1" eb="2">
      <t>レイ</t>
    </rPh>
    <phoneticPr fontId="5"/>
  </si>
  <si>
    <t>・車載器導入区分</t>
    <rPh sb="1" eb="4">
      <t>シャサイキ</t>
    </rPh>
    <rPh sb="4" eb="6">
      <t>ドウニュウ</t>
    </rPh>
    <rPh sb="6" eb="8">
      <t>クブン</t>
    </rPh>
    <phoneticPr fontId="5"/>
  </si>
  <si>
    <t>申請者に該当する区分</t>
    <phoneticPr fontId="5"/>
  </si>
  <si>
    <t>※【エ】は、各団体の構成員の運送事業者が補助対象となるシステムを導入する場合に限ります。
　　この場合において、当該構成員と共同で申請してください。</t>
    <phoneticPr fontId="5"/>
  </si>
  <si>
    <t>※共同申請者が「荷主等」、または「リース事業者」の場合は入力不要です。</t>
    <phoneticPr fontId="5"/>
  </si>
  <si>
    <t>↓４．は入力不要のため、５．へ進んでください。↓</t>
    <phoneticPr fontId="5"/>
  </si>
  <si>
    <t>↓１０．は入力不要のため、１１．へ進んでください。↓</t>
    <phoneticPr fontId="5"/>
  </si>
  <si>
    <t>【入力時のご注意】</t>
    <phoneticPr fontId="5"/>
  </si>
  <si>
    <r>
      <t>「入力シート」内で次の項目へ進む時は、</t>
    </r>
    <r>
      <rPr>
        <b/>
        <sz val="11"/>
        <color rgb="FFFF0000"/>
        <rFont val="ＭＳ Ｐゴシック"/>
        <family val="3"/>
        <charset val="128"/>
        <scheme val="minor"/>
      </rPr>
      <t>「Enter」</t>
    </r>
    <r>
      <rPr>
        <sz val="11"/>
        <color rgb="FFFF0000"/>
        <rFont val="ＭＳ Ｐゴシック"/>
        <family val="2"/>
        <scheme val="minor"/>
      </rPr>
      <t>キーではなく</t>
    </r>
    <r>
      <rPr>
        <b/>
        <sz val="11"/>
        <color rgb="FFFF0000"/>
        <rFont val="ＭＳ Ｐゴシック"/>
        <family val="3"/>
        <charset val="128"/>
        <scheme val="minor"/>
      </rPr>
      <t>「Tab」</t>
    </r>
    <r>
      <rPr>
        <sz val="11"/>
        <color rgb="FFFF0000"/>
        <rFont val="ＭＳ Ｐゴシック"/>
        <family val="2"/>
        <scheme val="minor"/>
      </rPr>
      <t>キーを押下してください。</t>
    </r>
    <rPh sb="1" eb="3">
      <t>ニュウリョク</t>
    </rPh>
    <rPh sb="7" eb="8">
      <t>ナイ</t>
    </rPh>
    <rPh sb="9" eb="10">
      <t>ツギ</t>
    </rPh>
    <rPh sb="11" eb="13">
      <t>コウモク</t>
    </rPh>
    <rPh sb="14" eb="15">
      <t>スス</t>
    </rPh>
    <rPh sb="16" eb="17">
      <t>トキ</t>
    </rPh>
    <phoneticPr fontId="5"/>
  </si>
  <si>
    <t>（３．に記載した代表者を含む）</t>
    <rPh sb="4" eb="6">
      <t>キサイ</t>
    </rPh>
    <rPh sb="8" eb="11">
      <t>ダイヒョウシャ</t>
    </rPh>
    <rPh sb="12" eb="13">
      <t>フク</t>
    </rPh>
    <phoneticPr fontId="5"/>
  </si>
  <si>
    <t>については、次の１２．の項に入力してください。</t>
    <rPh sb="6" eb="7">
      <t>ツギ</t>
    </rPh>
    <rPh sb="12" eb="13">
      <t>コウ</t>
    </rPh>
    <rPh sb="14" eb="16">
      <t>ニュウリョク</t>
    </rPh>
    <phoneticPr fontId="5"/>
  </si>
  <si>
    <t>パシフィックコンサルタンツ株式会社</t>
    <phoneticPr fontId="5"/>
  </si>
  <si>
    <t>パシフィックリプロサービス株式会社</t>
    <phoneticPr fontId="5"/>
  </si>
  <si>
    <t>代表取締役社長　殿</t>
    <phoneticPr fontId="5"/>
  </si>
  <si>
    <t>付規程第４条の規定に基づき、下記のとおり上記補助金の交付を申請します。</t>
    <phoneticPr fontId="5"/>
  </si>
  <si>
    <t>開始年月日</t>
    <phoneticPr fontId="5"/>
  </si>
  <si>
    <t>（１）</t>
    <phoneticPr fontId="5"/>
  </si>
  <si>
    <t>完了予定年月日</t>
    <phoneticPr fontId="5"/>
  </si>
  <si>
    <t>（２）</t>
    <phoneticPr fontId="5"/>
  </si>
  <si>
    <t>定額又は1/2以内</t>
    <phoneticPr fontId="5"/>
  </si>
  <si>
    <t>車両動態管理
システム事業費
（クラウド型）</t>
    <phoneticPr fontId="5"/>
  </si>
  <si>
    <t xml:space="preserve"> （電話）</t>
    <phoneticPr fontId="5"/>
  </si>
  <si>
    <r>
      <t>電話及び</t>
    </r>
    <r>
      <rPr>
        <sz val="10.5"/>
        <color theme="1"/>
        <rFont val="Century"/>
        <family val="1"/>
      </rPr>
      <t>E-mail</t>
    </r>
    <phoneticPr fontId="5"/>
  </si>
  <si>
    <t xml:space="preserve"> 役員名簿</t>
    <phoneticPr fontId="5"/>
  </si>
  <si>
    <t>ホームページURLは自社のホームページがなければ問題ありません。</t>
  </si>
  <si>
    <t>　７．補助事業に要する経費</t>
    <rPh sb="3" eb="5">
      <t>ホジョ</t>
    </rPh>
    <rPh sb="5" eb="7">
      <t>ジギョウ</t>
    </rPh>
    <rPh sb="8" eb="9">
      <t>ヨウ</t>
    </rPh>
    <rPh sb="11" eb="13">
      <t>ケイヒ</t>
    </rPh>
    <phoneticPr fontId="5"/>
  </si>
  <si>
    <t>　　　代表申請者の役員の情報</t>
    <rPh sb="3" eb="5">
      <t>ダイヒョウ</t>
    </rPh>
    <rPh sb="5" eb="8">
      <t>シンセイシャ</t>
    </rPh>
    <rPh sb="9" eb="11">
      <t>ヤクイン</t>
    </rPh>
    <rPh sb="12" eb="14">
      <t>ジョウホウ</t>
    </rPh>
    <phoneticPr fontId="5"/>
  </si>
  <si>
    <t>　　　共同申請者の役員の情報</t>
    <rPh sb="5" eb="8">
      <t>シンセイシャ</t>
    </rPh>
    <rPh sb="9" eb="11">
      <t>ヤクイン</t>
    </rPh>
    <rPh sb="12" eb="14">
      <t>ジョウホウ</t>
    </rPh>
    <phoneticPr fontId="5"/>
  </si>
  <si>
    <t>年度</t>
    <rPh sb="0" eb="2">
      <t>ネンド</t>
    </rPh>
    <phoneticPr fontId="37"/>
  </si>
  <si>
    <t>R4</t>
    <phoneticPr fontId="37"/>
  </si>
  <si>
    <t>事業</t>
    <rPh sb="0" eb="2">
      <t>ジギョウ</t>
    </rPh>
    <phoneticPr fontId="37"/>
  </si>
  <si>
    <t>DK</t>
    <phoneticPr fontId="37"/>
  </si>
  <si>
    <t>項目</t>
    <rPh sb="0" eb="2">
      <t>コウモク</t>
    </rPh>
    <phoneticPr fontId="37"/>
  </si>
  <si>
    <t>様式第1申請者情報</t>
    <rPh sb="0" eb="3">
      <t>ヨウシキダイ</t>
    </rPh>
    <rPh sb="4" eb="9">
      <t>シンセイシャジョウホウ</t>
    </rPh>
    <phoneticPr fontId="37"/>
  </si>
  <si>
    <t>バージョン</t>
    <phoneticPr fontId="37"/>
  </si>
  <si>
    <t>様式第1_文書番号</t>
    <rPh sb="5" eb="9">
      <t>ブンショバンゴウ</t>
    </rPh>
    <phoneticPr fontId="5"/>
  </si>
  <si>
    <t>様式第1_文書作成日</t>
    <phoneticPr fontId="5"/>
  </si>
  <si>
    <t>※入力シート</t>
    <rPh sb="1" eb="3">
      <t>ニュウリョク</t>
    </rPh>
    <phoneticPr fontId="5"/>
  </si>
  <si>
    <t>様式第1_代表_郵便番号</t>
    <rPh sb="0" eb="3">
      <t>ヨウシキダイ</t>
    </rPh>
    <phoneticPr fontId="5"/>
  </si>
  <si>
    <t>様式第1_代表_都道府県</t>
    <phoneticPr fontId="5"/>
  </si>
  <si>
    <t>様式第1_代表_市区町村</t>
    <phoneticPr fontId="5"/>
  </si>
  <si>
    <t>様式第1_代表_町名地番</t>
    <rPh sb="8" eb="12">
      <t>チョウメイチバン</t>
    </rPh>
    <phoneticPr fontId="5"/>
  </si>
  <si>
    <t>様式第1_代表_建物名称</t>
    <phoneticPr fontId="5"/>
  </si>
  <si>
    <t>様式第1_代表_法人名</t>
    <rPh sb="8" eb="10">
      <t>ホウジン</t>
    </rPh>
    <rPh sb="10" eb="11">
      <t>メイ</t>
    </rPh>
    <phoneticPr fontId="2"/>
  </si>
  <si>
    <t>様式第1_代表_役職名</t>
    <rPh sb="10" eb="11">
      <t>メイ</t>
    </rPh>
    <phoneticPr fontId="5"/>
  </si>
  <si>
    <t>様式第1_代表_代表者名_姓</t>
    <phoneticPr fontId="5"/>
  </si>
  <si>
    <t>様式第1_代表_代表者名_名</t>
    <phoneticPr fontId="5"/>
  </si>
  <si>
    <t>様式第1_代表_補助対象事業者区分</t>
    <rPh sb="8" eb="17">
      <t>ホジョタイショウジギョウシャクブン</t>
    </rPh>
    <phoneticPr fontId="5"/>
  </si>
  <si>
    <t>申請者情報_共同_郵便番号</t>
    <rPh sb="0" eb="5">
      <t>シンセイシャジョウホウ</t>
    </rPh>
    <phoneticPr fontId="5"/>
  </si>
  <si>
    <t>申請者情報_共同_都道府県</t>
    <phoneticPr fontId="5"/>
  </si>
  <si>
    <t>申請者情報_共同_市区町村</t>
    <phoneticPr fontId="5"/>
  </si>
  <si>
    <t>申請者情報_共同_町名地番</t>
    <rPh sb="9" eb="13">
      <t>チョウメイチバン</t>
    </rPh>
    <phoneticPr fontId="5"/>
  </si>
  <si>
    <t>申請者情報_共同_建物名称</t>
    <phoneticPr fontId="5"/>
  </si>
  <si>
    <t>申請者情報_共同_法人名</t>
    <rPh sb="9" eb="11">
      <t>ホウジン</t>
    </rPh>
    <rPh sb="11" eb="12">
      <t>メイ</t>
    </rPh>
    <phoneticPr fontId="2"/>
  </si>
  <si>
    <t>申請者情報_共同_役職名</t>
    <rPh sb="11" eb="12">
      <t>メイ</t>
    </rPh>
    <phoneticPr fontId="5"/>
  </si>
  <si>
    <t>申請者情報_共同_共同者名_姓</t>
    <phoneticPr fontId="5"/>
  </si>
  <si>
    <t>申請者情報_共同_共同者名_名</t>
    <phoneticPr fontId="5"/>
  </si>
  <si>
    <t>申請者情報_共同_補助対象事業者区分</t>
    <rPh sb="9" eb="18">
      <t>ホジョタイショウジギョウシャクブン</t>
    </rPh>
    <phoneticPr fontId="5"/>
  </si>
  <si>
    <t>申請_車両動態管理システム</t>
    <rPh sb="0" eb="2">
      <t>シンセイ</t>
    </rPh>
    <rPh sb="3" eb="5">
      <t>シャリョウ</t>
    </rPh>
    <rPh sb="5" eb="7">
      <t>ドウタイ</t>
    </rPh>
    <rPh sb="7" eb="9">
      <t>カンリ</t>
    </rPh>
    <phoneticPr fontId="5"/>
  </si>
  <si>
    <t>申請_予約受付システム</t>
    <rPh sb="0" eb="2">
      <t>シンセイ</t>
    </rPh>
    <rPh sb="3" eb="5">
      <t>ヨヤク</t>
    </rPh>
    <rPh sb="5" eb="7">
      <t>ウケツケ</t>
    </rPh>
    <phoneticPr fontId="5"/>
  </si>
  <si>
    <t>申請_ASNシステム</t>
    <rPh sb="0" eb="2">
      <t>シンセイ</t>
    </rPh>
    <phoneticPr fontId="5"/>
  </si>
  <si>
    <t>申請_受注情報事前確認システム</t>
    <rPh sb="0" eb="2">
      <t>シンセイ</t>
    </rPh>
    <rPh sb="3" eb="5">
      <t>ジュチュウ</t>
    </rPh>
    <rPh sb="5" eb="7">
      <t>ジョウホウ</t>
    </rPh>
    <rPh sb="7" eb="9">
      <t>ジゼン</t>
    </rPh>
    <rPh sb="9" eb="11">
      <t>カクニン</t>
    </rPh>
    <phoneticPr fontId="5"/>
  </si>
  <si>
    <t>申請_パレット等管理システム</t>
    <rPh sb="0" eb="2">
      <t>シンセイ</t>
    </rPh>
    <phoneticPr fontId="5"/>
  </si>
  <si>
    <t>申請_パレタイズシステム</t>
    <rPh sb="0" eb="2">
      <t>シンセイ</t>
    </rPh>
    <phoneticPr fontId="5"/>
  </si>
  <si>
    <t>申請_配車計画システム</t>
    <rPh sb="0" eb="2">
      <t>シンセイ</t>
    </rPh>
    <phoneticPr fontId="5"/>
  </si>
  <si>
    <t>申請_AIIoTによるシステム連係ツール</t>
    <rPh sb="0" eb="2">
      <t>シンセイ</t>
    </rPh>
    <rPh sb="15" eb="17">
      <t>レンケイ</t>
    </rPh>
    <phoneticPr fontId="5"/>
  </si>
  <si>
    <t>補助事業の名称</t>
    <rPh sb="0" eb="4">
      <t>ホジョジギョウ</t>
    </rPh>
    <rPh sb="5" eb="7">
      <t>メイショウ</t>
    </rPh>
    <phoneticPr fontId="5"/>
  </si>
  <si>
    <t>車両動態管理_車両台数_事業用</t>
    <phoneticPr fontId="5"/>
  </si>
  <si>
    <t>車両動態管理_車両台数_自家用</t>
    <phoneticPr fontId="5"/>
  </si>
  <si>
    <t>車両動態管理_車両台数_合計</t>
    <phoneticPr fontId="5"/>
  </si>
  <si>
    <t>車両動態管理_事業所数</t>
  </si>
  <si>
    <t>車両動態管理_保有車両台数</t>
    <rPh sb="7" eb="9">
      <t>ホユウ</t>
    </rPh>
    <rPh sb="9" eb="11">
      <t>シャリョウ</t>
    </rPh>
    <rPh sb="11" eb="13">
      <t>ダイスウ</t>
    </rPh>
    <phoneticPr fontId="2"/>
  </si>
  <si>
    <t>車両動態管理_デジタコ導入型</t>
  </si>
  <si>
    <t>車両動態管理_GPS車載器導入型</t>
  </si>
  <si>
    <t>車両動態管理_サービス単独型</t>
  </si>
  <si>
    <t>予約受付等_事業所数_予約受付システム</t>
    <phoneticPr fontId="5"/>
  </si>
  <si>
    <t>予約受付等_事業所数_ASNシステム</t>
  </si>
  <si>
    <t>予約受付等_事業所数_受注情報事前確認システム</t>
  </si>
  <si>
    <t>予約受付等_事業所数_パレット等管理システム</t>
  </si>
  <si>
    <t>予約受付等_事業所数_パレタイズシステム</t>
  </si>
  <si>
    <t>予約受付等_事業所数_合計</t>
  </si>
  <si>
    <t>予約受付等_トラック事業者数</t>
    <rPh sb="10" eb="14">
      <t>ジギョウシャスウ</t>
    </rPh>
    <phoneticPr fontId="5"/>
  </si>
  <si>
    <t>予約受付等_車両台数_事業用</t>
  </si>
  <si>
    <t>予約受付等_車両台数_自家用</t>
  </si>
  <si>
    <t>予約受付等_車両台数_合計</t>
  </si>
  <si>
    <t>予約受付等_保有車両台数</t>
    <rPh sb="6" eb="12">
      <t>ホユウシャリョウダイスウ</t>
    </rPh>
    <phoneticPr fontId="2"/>
  </si>
  <si>
    <t>配車計画_導入事業所数</t>
    <rPh sb="5" eb="7">
      <t>ドウニュウ</t>
    </rPh>
    <phoneticPr fontId="5"/>
  </si>
  <si>
    <t>配車計画_トラック事業者数</t>
    <phoneticPr fontId="5"/>
  </si>
  <si>
    <t>配車計画_車両台数_事業用</t>
  </si>
  <si>
    <t>配車計画_車両台数_自家用</t>
  </si>
  <si>
    <t>配車計画_車両台数_合計</t>
  </si>
  <si>
    <t>配車計画_保有車両台数</t>
  </si>
  <si>
    <t>AIIoT_導入事業所数</t>
    <rPh sb="6" eb="8">
      <t>ドウニュウ</t>
    </rPh>
    <phoneticPr fontId="5"/>
  </si>
  <si>
    <t>様式第1_補助対象経費_車両動態管理_設備費</t>
    <rPh sb="12" eb="14">
      <t>シャリョウ</t>
    </rPh>
    <rPh sb="14" eb="16">
      <t>ドウタイ</t>
    </rPh>
    <rPh sb="16" eb="18">
      <t>カンリ</t>
    </rPh>
    <rPh sb="19" eb="22">
      <t>セツビヒ</t>
    </rPh>
    <phoneticPr fontId="2"/>
  </si>
  <si>
    <t>様式第1_補助対象経費_車両動態管理_諸経費</t>
    <rPh sb="12" eb="14">
      <t>シャリョウ</t>
    </rPh>
    <rPh sb="14" eb="16">
      <t>ドウタイ</t>
    </rPh>
    <rPh sb="16" eb="18">
      <t>カンリ</t>
    </rPh>
    <rPh sb="19" eb="22">
      <t>ショケイヒ</t>
    </rPh>
    <phoneticPr fontId="2"/>
  </si>
  <si>
    <t>様式第1_補助対象経費_車両動態管理_合計</t>
    <rPh sb="12" eb="14">
      <t>シャリョウ</t>
    </rPh>
    <rPh sb="14" eb="16">
      <t>ドウタイ</t>
    </rPh>
    <rPh sb="16" eb="18">
      <t>カンリ</t>
    </rPh>
    <rPh sb="19" eb="21">
      <t>ゴウケイ</t>
    </rPh>
    <phoneticPr fontId="2"/>
  </si>
  <si>
    <t>様式第1_補助対象経費_予約受付等_設計開発費</t>
    <rPh sb="16" eb="17">
      <t>トウ</t>
    </rPh>
    <rPh sb="18" eb="20">
      <t>セッケイ</t>
    </rPh>
    <rPh sb="20" eb="22">
      <t>カイハツ</t>
    </rPh>
    <rPh sb="22" eb="23">
      <t>ヒ</t>
    </rPh>
    <phoneticPr fontId="2"/>
  </si>
  <si>
    <t>様式第1_補助対象経費_予約受付等_設備費</t>
    <rPh sb="16" eb="17">
      <t>トウ</t>
    </rPh>
    <rPh sb="18" eb="21">
      <t>セツビヒ</t>
    </rPh>
    <phoneticPr fontId="2"/>
  </si>
  <si>
    <t>様式第1_補助対象経費_予約受付等_諸経費</t>
    <rPh sb="16" eb="17">
      <t>トウ</t>
    </rPh>
    <rPh sb="18" eb="21">
      <t>ショケイヒ</t>
    </rPh>
    <phoneticPr fontId="2"/>
  </si>
  <si>
    <t>様式第1_補助対象経費_予約受付等_合計</t>
    <rPh sb="16" eb="17">
      <t>トウ</t>
    </rPh>
    <rPh sb="18" eb="20">
      <t>ゴウケイ</t>
    </rPh>
    <phoneticPr fontId="2"/>
  </si>
  <si>
    <t>様式第1_補助対象経費_配車計画_設計開発費</t>
    <rPh sb="12" eb="14">
      <t>ハイシャ</t>
    </rPh>
    <rPh sb="14" eb="16">
      <t>ケイカク</t>
    </rPh>
    <rPh sb="17" eb="19">
      <t>セッケイ</t>
    </rPh>
    <rPh sb="19" eb="21">
      <t>カイハツ</t>
    </rPh>
    <rPh sb="21" eb="22">
      <t>ヒ</t>
    </rPh>
    <phoneticPr fontId="2"/>
  </si>
  <si>
    <t>様式第1_補助対象経費_配車計画_設備費</t>
    <rPh sb="17" eb="20">
      <t>セツビヒ</t>
    </rPh>
    <phoneticPr fontId="2"/>
  </si>
  <si>
    <t>様式第1_補助対象経費_配車計画_諸経費</t>
    <rPh sb="17" eb="20">
      <t>ショケイヒ</t>
    </rPh>
    <phoneticPr fontId="2"/>
  </si>
  <si>
    <t>様式第1_補助対象経費_配車計画_合計</t>
    <rPh sb="17" eb="19">
      <t>ゴウケイ</t>
    </rPh>
    <phoneticPr fontId="2"/>
  </si>
  <si>
    <t>様式第1_補助対象経費_AIIoT_設計開発費</t>
    <rPh sb="18" eb="20">
      <t>セッケイ</t>
    </rPh>
    <rPh sb="20" eb="22">
      <t>カイハツ</t>
    </rPh>
    <rPh sb="22" eb="23">
      <t>ヒ</t>
    </rPh>
    <phoneticPr fontId="2"/>
  </si>
  <si>
    <t>様式第1_補助対象経費_AIIoT_設備費</t>
    <rPh sb="18" eb="21">
      <t>セツビヒ</t>
    </rPh>
    <phoneticPr fontId="2"/>
  </si>
  <si>
    <t>様式第1_補助対象経費_AIIoT_諸経費</t>
    <rPh sb="18" eb="21">
      <t>ショケイヒ</t>
    </rPh>
    <phoneticPr fontId="2"/>
  </si>
  <si>
    <t>様式第1_補助対象経費_AIIoT_合計</t>
    <rPh sb="18" eb="20">
      <t>ゴウケイ</t>
    </rPh>
    <phoneticPr fontId="2"/>
  </si>
  <si>
    <t>様式第1_補助対象経費_合計</t>
    <rPh sb="12" eb="14">
      <t>ゴウケイ</t>
    </rPh>
    <phoneticPr fontId="2"/>
  </si>
  <si>
    <t>様式第1_補助金の額_車両動態管理</t>
    <rPh sb="5" eb="7">
      <t>ホジョ</t>
    </rPh>
    <rPh sb="9" eb="10">
      <t>ガク</t>
    </rPh>
    <rPh sb="11" eb="17">
      <t>シャリョウドウタイカンリ</t>
    </rPh>
    <phoneticPr fontId="2"/>
  </si>
  <si>
    <t>様式第1_補助金の額_予約受付等</t>
    <rPh sb="5" eb="7">
      <t>ホジョ</t>
    </rPh>
    <rPh sb="9" eb="10">
      <t>ガク</t>
    </rPh>
    <rPh sb="11" eb="15">
      <t>ヨヤクウケツケ</t>
    </rPh>
    <rPh sb="15" eb="16">
      <t>トウ</t>
    </rPh>
    <phoneticPr fontId="2"/>
  </si>
  <si>
    <t>様式第1_補助金の額_配車計画</t>
    <rPh sb="5" eb="7">
      <t>ホジョ</t>
    </rPh>
    <rPh sb="9" eb="10">
      <t>ガク</t>
    </rPh>
    <rPh sb="11" eb="15">
      <t>ハイシャケイカク</t>
    </rPh>
    <phoneticPr fontId="2"/>
  </si>
  <si>
    <t>様式第1_補助金の額_AIIoT</t>
    <rPh sb="5" eb="7">
      <t>ホジョ</t>
    </rPh>
    <rPh sb="9" eb="10">
      <t>ガク</t>
    </rPh>
    <phoneticPr fontId="2"/>
  </si>
  <si>
    <t>様式第1_補助金の額_合計</t>
    <rPh sb="5" eb="7">
      <t>ホジョ</t>
    </rPh>
    <rPh sb="9" eb="10">
      <t>ガク</t>
    </rPh>
    <rPh sb="11" eb="13">
      <t>ゴウケイ</t>
    </rPh>
    <phoneticPr fontId="2"/>
  </si>
  <si>
    <t>様式第1_補助事業に要する経費_車両動態管理_設備費</t>
    <rPh sb="16" eb="22">
      <t>シャリョウドウタイカンリ</t>
    </rPh>
    <rPh sb="23" eb="26">
      <t>セツビヒ</t>
    </rPh>
    <phoneticPr fontId="2"/>
  </si>
  <si>
    <t>様式第1_補助事業に要する経費_車両動態管理_諸経費</t>
    <rPh sb="16" eb="18">
      <t>シャリョウ</t>
    </rPh>
    <rPh sb="18" eb="20">
      <t>ドウタイ</t>
    </rPh>
    <rPh sb="20" eb="22">
      <t>カンリ</t>
    </rPh>
    <rPh sb="23" eb="26">
      <t>ショケイヒ</t>
    </rPh>
    <phoneticPr fontId="2"/>
  </si>
  <si>
    <t>様式第1_補助事業に要する経費_車両動態管理_合計</t>
    <rPh sb="16" eb="18">
      <t>シャリョウ</t>
    </rPh>
    <rPh sb="18" eb="20">
      <t>ドウタイ</t>
    </rPh>
    <rPh sb="20" eb="22">
      <t>カンリ</t>
    </rPh>
    <rPh sb="23" eb="25">
      <t>ゴウケイ</t>
    </rPh>
    <phoneticPr fontId="2"/>
  </si>
  <si>
    <t>様式第1_補助事業に要する経費_予約受付等_設計開発費</t>
    <rPh sb="16" eb="18">
      <t>ヨヤク</t>
    </rPh>
    <rPh sb="18" eb="20">
      <t>ウケツケ</t>
    </rPh>
    <rPh sb="20" eb="21">
      <t>トウ</t>
    </rPh>
    <rPh sb="22" eb="24">
      <t>セッケイ</t>
    </rPh>
    <rPh sb="24" eb="26">
      <t>カイハツ</t>
    </rPh>
    <rPh sb="26" eb="27">
      <t>ヒ</t>
    </rPh>
    <phoneticPr fontId="2"/>
  </si>
  <si>
    <t>様式第1_補助事業に要する経費_予約受付等_設備費</t>
    <rPh sb="16" eb="18">
      <t>ヨヤク</t>
    </rPh>
    <rPh sb="20" eb="21">
      <t>トウ</t>
    </rPh>
    <rPh sb="22" eb="25">
      <t>セツビヒ</t>
    </rPh>
    <phoneticPr fontId="2"/>
  </si>
  <si>
    <t>様式第1_補助事業に要する経費_予約受付等_諸経費</t>
    <rPh sb="16" eb="18">
      <t>ヨヤク</t>
    </rPh>
    <rPh sb="20" eb="21">
      <t>トウ</t>
    </rPh>
    <rPh sb="22" eb="25">
      <t>ショケイヒ</t>
    </rPh>
    <phoneticPr fontId="2"/>
  </si>
  <si>
    <t>様式第1_補助事業に要する経費_予約受付等_合計</t>
    <rPh sb="16" eb="18">
      <t>ヨヤク</t>
    </rPh>
    <rPh sb="20" eb="21">
      <t>トウ</t>
    </rPh>
    <rPh sb="22" eb="24">
      <t>ゴウケイ</t>
    </rPh>
    <phoneticPr fontId="2"/>
  </si>
  <si>
    <t>様式第1_補助事業に要する経費_配車計画_設計開発費</t>
    <rPh sb="16" eb="18">
      <t>ハイシャ</t>
    </rPh>
    <rPh sb="18" eb="20">
      <t>ケイカク</t>
    </rPh>
    <rPh sb="21" eb="23">
      <t>セッケイ</t>
    </rPh>
    <rPh sb="23" eb="25">
      <t>カイハツ</t>
    </rPh>
    <rPh sb="25" eb="26">
      <t>ヒ</t>
    </rPh>
    <phoneticPr fontId="2"/>
  </si>
  <si>
    <t>様式第1_補助事業に要する経費_配車計画_設備費</t>
    <rPh sb="21" eb="24">
      <t>セツビヒ</t>
    </rPh>
    <phoneticPr fontId="2"/>
  </si>
  <si>
    <t>様式第1_補助事業に要する経費_配車計画_諸経費</t>
    <rPh sb="21" eb="24">
      <t>ショケイヒ</t>
    </rPh>
    <phoneticPr fontId="2"/>
  </si>
  <si>
    <t>様式第1_補助事業に要する経費_配車計画_合計</t>
    <rPh sb="21" eb="23">
      <t>ゴウケイ</t>
    </rPh>
    <phoneticPr fontId="2"/>
  </si>
  <si>
    <t>様式第1_補助事業に要する経費_AIIoT_設計開発費</t>
    <rPh sb="22" eb="24">
      <t>セッケイ</t>
    </rPh>
    <rPh sb="24" eb="26">
      <t>カイハツ</t>
    </rPh>
    <rPh sb="26" eb="27">
      <t>ヒ</t>
    </rPh>
    <phoneticPr fontId="2"/>
  </si>
  <si>
    <t>様式第1_補助事業に要する経費_AIIoT_設備費</t>
    <rPh sb="22" eb="25">
      <t>セツビヒ</t>
    </rPh>
    <phoneticPr fontId="2"/>
  </si>
  <si>
    <t>様式第1_補助事業に要する経費_AIIoT_諸経費</t>
    <rPh sb="22" eb="25">
      <t>ショケイヒ</t>
    </rPh>
    <phoneticPr fontId="2"/>
  </si>
  <si>
    <t>様式第1_補助事業に要する経費_AIIoT_合計</t>
    <rPh sb="22" eb="24">
      <t>ゴウケイ</t>
    </rPh>
    <phoneticPr fontId="2"/>
  </si>
  <si>
    <t>様式第1_補助事業に要する経費_合計</t>
    <rPh sb="16" eb="18">
      <t>ゴウケイ</t>
    </rPh>
    <phoneticPr fontId="2"/>
  </si>
  <si>
    <t>完了予定年月日</t>
    <rPh sb="0" eb="7">
      <t>カンリョウヨテイネンガッピ</t>
    </rPh>
    <phoneticPr fontId="5"/>
  </si>
  <si>
    <t>様式第1_連絡先_法人名</t>
    <rPh sb="9" eb="12">
      <t>ホウジンメイ</t>
    </rPh>
    <phoneticPr fontId="5"/>
  </si>
  <si>
    <t>様式第1_連絡先_担当部署</t>
  </si>
  <si>
    <t>様式第1_連絡先_役職名</t>
    <rPh sb="11" eb="12">
      <t>メイ</t>
    </rPh>
    <phoneticPr fontId="5"/>
  </si>
  <si>
    <t>様式第1_連絡先_担当者名_姓</t>
  </si>
  <si>
    <t>様式第1_連絡先_担当者名_名</t>
  </si>
  <si>
    <t>様式第1_連絡先_電話番号</t>
    <rPh sb="11" eb="13">
      <t>バンゴウ</t>
    </rPh>
    <phoneticPr fontId="5"/>
  </si>
  <si>
    <t>様式第1_連絡先_FAX番号</t>
    <rPh sb="12" eb="14">
      <t>バンゴウ</t>
    </rPh>
    <phoneticPr fontId="5"/>
  </si>
  <si>
    <t>様式第1_連絡先_Emailアドレス</t>
  </si>
  <si>
    <t>様式第1_連絡先_ホームページURL</t>
  </si>
  <si>
    <t>申請者情報_連絡先_電話番号</t>
    <rPh sb="12" eb="14">
      <t>バンゴウ</t>
    </rPh>
    <phoneticPr fontId="5"/>
  </si>
  <si>
    <t>申請者情報_連絡先_FAX番号</t>
    <rPh sb="13" eb="15">
      <t>バンゴウ</t>
    </rPh>
    <phoneticPr fontId="5"/>
  </si>
  <si>
    <t>申請者情報_連絡先_Emailアドレス</t>
  </si>
  <si>
    <t>申請者情報_連絡先_ホームページURL</t>
  </si>
  <si>
    <r>
      <t>６．見積書を参考に、各システムの</t>
    </r>
    <r>
      <rPr>
        <b/>
        <u/>
        <sz val="11"/>
        <color rgb="FFFF0000"/>
        <rFont val="ＭＳ Ｐゴシック"/>
        <family val="3"/>
        <charset val="128"/>
        <scheme val="minor"/>
      </rPr>
      <t>補助対象経費の金額</t>
    </r>
    <r>
      <rPr>
        <sz val="11"/>
        <color theme="1"/>
        <rFont val="ＭＳ Ｐゴシック"/>
        <family val="2"/>
        <scheme val="minor"/>
      </rPr>
      <t>を入力してください。</t>
    </r>
    <r>
      <rPr>
        <sz val="11"/>
        <color rgb="FFFF0000"/>
        <rFont val="ＭＳ Ｐゴシック"/>
        <family val="3"/>
        <charset val="128"/>
        <scheme val="minor"/>
      </rPr>
      <t>※</t>
    </r>
    <rPh sb="2" eb="5">
      <t>ミツモリショ</t>
    </rPh>
    <rPh sb="6" eb="8">
      <t>サンコウ</t>
    </rPh>
    <rPh sb="10" eb="11">
      <t>カク</t>
    </rPh>
    <rPh sb="16" eb="18">
      <t>ホジョ</t>
    </rPh>
    <rPh sb="18" eb="20">
      <t>タイショウ</t>
    </rPh>
    <rPh sb="20" eb="22">
      <t>ケイヒ</t>
    </rPh>
    <rPh sb="23" eb="25">
      <t>キンガク</t>
    </rPh>
    <rPh sb="26" eb="28">
      <t>ニュウリョク</t>
    </rPh>
    <phoneticPr fontId="5"/>
  </si>
  <si>
    <r>
      <t>７．見積書を参考に、各システムの</t>
    </r>
    <r>
      <rPr>
        <b/>
        <u/>
        <sz val="11"/>
        <color rgb="FFFF0000"/>
        <rFont val="ＭＳ Ｐゴシック"/>
        <family val="3"/>
        <charset val="128"/>
        <scheme val="minor"/>
      </rPr>
      <t>補助事業に要する経費</t>
    </r>
    <r>
      <rPr>
        <sz val="11"/>
        <color theme="1"/>
        <rFont val="ＭＳ Ｐゴシック"/>
        <family val="2"/>
        <scheme val="minor"/>
      </rPr>
      <t>の金額を入力してくだ</t>
    </r>
    <rPh sb="2" eb="5">
      <t>ミツモリショ</t>
    </rPh>
    <rPh sb="6" eb="8">
      <t>サンコウ</t>
    </rPh>
    <rPh sb="10" eb="11">
      <t>カク</t>
    </rPh>
    <rPh sb="16" eb="18">
      <t>ホジョ</t>
    </rPh>
    <rPh sb="18" eb="20">
      <t>ジギョウ</t>
    </rPh>
    <rPh sb="21" eb="22">
      <t>ヨウ</t>
    </rPh>
    <rPh sb="24" eb="26">
      <t>ケイヒ</t>
    </rPh>
    <rPh sb="27" eb="29">
      <t>キンガク</t>
    </rPh>
    <rPh sb="30" eb="32">
      <t>ニュウリョク</t>
    </rPh>
    <phoneticPr fontId="5"/>
  </si>
  <si>
    <t>　このEXCELファイルは、申請時に事務局へ提出する「補助金交付申請書（様式第１および様式第１別紙１）」、「役員名簿</t>
    <rPh sb="14" eb="16">
      <t>シンセイ</t>
    </rPh>
    <rPh sb="16" eb="17">
      <t>ジ</t>
    </rPh>
    <rPh sb="18" eb="21">
      <t>ジムキョク</t>
    </rPh>
    <rPh sb="22" eb="24">
      <t>テイシュツ</t>
    </rPh>
    <rPh sb="27" eb="30">
      <t>ホジョキン</t>
    </rPh>
    <rPh sb="30" eb="32">
      <t>コウフ</t>
    </rPh>
    <rPh sb="32" eb="35">
      <t>シンセイショ</t>
    </rPh>
    <rPh sb="36" eb="38">
      <t>ヨウシキ</t>
    </rPh>
    <rPh sb="38" eb="39">
      <t>ダイ</t>
    </rPh>
    <rPh sb="43" eb="45">
      <t>ヨウシキ</t>
    </rPh>
    <rPh sb="45" eb="46">
      <t>ダイ</t>
    </rPh>
    <rPh sb="47" eb="49">
      <t>ベッシ</t>
    </rPh>
    <rPh sb="54" eb="56">
      <t>ヤクイン</t>
    </rPh>
    <rPh sb="56" eb="58">
      <t>メイボ</t>
    </rPh>
    <phoneticPr fontId="5"/>
  </si>
  <si>
    <t>（様式第１別紙２）」、「申請者情報」を作成するためのファイルとなります。</t>
    <rPh sb="12" eb="15">
      <t>シンセイシャ</t>
    </rPh>
    <rPh sb="15" eb="17">
      <t>ジョウホウ</t>
    </rPh>
    <rPh sb="19" eb="21">
      <t>サクセイ</t>
    </rPh>
    <phoneticPr fontId="5"/>
  </si>
  <si>
    <t>上限額</t>
    <rPh sb="0" eb="3">
      <t>ジョウゲンガク</t>
    </rPh>
    <phoneticPr fontId="5"/>
  </si>
  <si>
    <t>予約上限合計</t>
    <rPh sb="0" eb="2">
      <t>ヨヤク</t>
    </rPh>
    <rPh sb="2" eb="4">
      <t>ジョウゲン</t>
    </rPh>
    <rPh sb="4" eb="6">
      <t>ゴウケイ</t>
    </rPh>
    <phoneticPr fontId="5"/>
  </si>
  <si>
    <t>　 （自動表示）</t>
    <phoneticPr fontId="5"/>
  </si>
  <si>
    <r>
      <t xml:space="preserve">設備費①
</t>
    </r>
    <r>
      <rPr>
        <sz val="9"/>
        <color theme="1"/>
        <rFont val="ＭＳ Ｐゴシック"/>
        <family val="3"/>
        <charset val="128"/>
        <scheme val="minor"/>
      </rPr>
      <t>（デジタコ本体、GPS機器、周辺パーツ等の車両の設備費）
1台あたりの金額</t>
    </r>
    <rPh sb="0" eb="3">
      <t>セツビヒ</t>
    </rPh>
    <rPh sb="10" eb="12">
      <t>ホンタイ</t>
    </rPh>
    <rPh sb="16" eb="18">
      <t>キキ</t>
    </rPh>
    <rPh sb="19" eb="21">
      <t>シュウヘン</t>
    </rPh>
    <rPh sb="24" eb="25">
      <t>トウ</t>
    </rPh>
    <rPh sb="26" eb="28">
      <t>シャリョウ</t>
    </rPh>
    <rPh sb="29" eb="32">
      <t>セツビヒ</t>
    </rPh>
    <rPh sb="36" eb="37">
      <t>ダイ</t>
    </rPh>
    <rPh sb="41" eb="43">
      <t>キンガク</t>
    </rPh>
    <phoneticPr fontId="5"/>
  </si>
  <si>
    <r>
      <t xml:space="preserve">設備費②
</t>
    </r>
    <r>
      <rPr>
        <sz val="9"/>
        <color theme="1"/>
        <rFont val="ＭＳ Ｐゴシック"/>
        <family val="3"/>
        <charset val="128"/>
        <scheme val="minor"/>
      </rPr>
      <t>（ソフトウェア等の事務所用機器）
全箇所数分の金額</t>
    </r>
    <rPh sb="0" eb="3">
      <t>セツビヒ</t>
    </rPh>
    <rPh sb="12" eb="13">
      <t>トウ</t>
    </rPh>
    <rPh sb="14" eb="16">
      <t>ジム</t>
    </rPh>
    <rPh sb="16" eb="17">
      <t>ショ</t>
    </rPh>
    <rPh sb="17" eb="18">
      <t>ヨウ</t>
    </rPh>
    <rPh sb="18" eb="20">
      <t>キキ</t>
    </rPh>
    <rPh sb="24" eb="25">
      <t>ゼン</t>
    </rPh>
    <rPh sb="25" eb="27">
      <t>カショ</t>
    </rPh>
    <rPh sb="27" eb="28">
      <t>スウ</t>
    </rPh>
    <rPh sb="28" eb="29">
      <t>ブン</t>
    </rPh>
    <rPh sb="30" eb="32">
      <t>キンガク</t>
    </rPh>
    <phoneticPr fontId="5"/>
  </si>
  <si>
    <r>
      <t xml:space="preserve">諸経費①
</t>
    </r>
    <r>
      <rPr>
        <sz val="9"/>
        <color theme="1"/>
        <rFont val="ＭＳ Ｐゴシック"/>
        <family val="3"/>
        <charset val="128"/>
        <scheme val="minor"/>
      </rPr>
      <t xml:space="preserve">（デジタコや周辺パーツの取付費、クラウド通信利用費）
1台あたりの金額
</t>
    </r>
    <rPh sb="0" eb="3">
      <t>ショケイヒ</t>
    </rPh>
    <rPh sb="11" eb="13">
      <t>シュウヘン</t>
    </rPh>
    <rPh sb="17" eb="20">
      <t>トリツケヒ</t>
    </rPh>
    <rPh sb="25" eb="27">
      <t>ツウシン</t>
    </rPh>
    <rPh sb="27" eb="29">
      <t>リヨウ</t>
    </rPh>
    <rPh sb="29" eb="30">
      <t>ヒ</t>
    </rPh>
    <phoneticPr fontId="5"/>
  </si>
  <si>
    <r>
      <t xml:space="preserve">諸経費②
</t>
    </r>
    <r>
      <rPr>
        <sz val="9"/>
        <color theme="1"/>
        <rFont val="ＭＳ Ｐゴシック"/>
        <family val="3"/>
        <charset val="128"/>
        <scheme val="minor"/>
      </rPr>
      <t>（ソフトウェアライセンス、ソフトウェア設定費/利用費等）
全箇所数分の金額</t>
    </r>
    <rPh sb="0" eb="3">
      <t>ショケイヒ</t>
    </rPh>
    <rPh sb="24" eb="26">
      <t>セッテイ</t>
    </rPh>
    <rPh sb="26" eb="27">
      <t>ヒ</t>
    </rPh>
    <rPh sb="28" eb="30">
      <t>リヨウ</t>
    </rPh>
    <rPh sb="30" eb="31">
      <t>ヒ</t>
    </rPh>
    <rPh sb="31" eb="32">
      <t>トウ</t>
    </rPh>
    <phoneticPr fontId="5"/>
  </si>
  <si>
    <t xml:space="preserve"> 予約受付システム等導入事業所数（合計）※複数システムを導入する事業所も1つとして数える</t>
    <rPh sb="14" eb="15">
      <t>ショ</t>
    </rPh>
    <rPh sb="34" eb="35">
      <t>ショ</t>
    </rPh>
    <phoneticPr fontId="5"/>
  </si>
  <si>
    <t>＊入力ありがとうございます。「エラー確認シート」で入力エラーがないか確認してください。</t>
    <rPh sb="1" eb="3">
      <t>ニュウリョク</t>
    </rPh>
    <rPh sb="18" eb="20">
      <t>カクニン</t>
    </rPh>
    <rPh sb="25" eb="27">
      <t>ニュウリョク</t>
    </rPh>
    <rPh sb="34" eb="36">
      <t>カクニン</t>
    </rPh>
    <phoneticPr fontId="5"/>
  </si>
  <si>
    <t>20220805</t>
    <phoneticPr fontId="37"/>
  </si>
  <si>
    <t>金額の入力はこちらから</t>
    <rPh sb="0" eb="2">
      <t>キンガク</t>
    </rPh>
    <rPh sb="3" eb="5">
      <t>ニュウリョク</t>
    </rPh>
    <phoneticPr fontId="5"/>
  </si>
  <si>
    <t>　　　代表申請者の代表者の氏名</t>
    <rPh sb="3" eb="5">
      <t>ダイヒョウ</t>
    </rPh>
    <rPh sb="5" eb="8">
      <t>シンセイシャ</t>
    </rPh>
    <rPh sb="9" eb="12">
      <t>ダイヒョウシャ</t>
    </rPh>
    <rPh sb="13" eb="15">
      <t>シメイ</t>
    </rPh>
    <phoneticPr fontId="5"/>
  </si>
  <si>
    <t>　　　代表申請者の代表者のシメイ</t>
    <rPh sb="3" eb="5">
      <t>ダイヒョウ</t>
    </rPh>
    <rPh sb="5" eb="8">
      <t>シンセイシャ</t>
    </rPh>
    <rPh sb="9" eb="12">
      <t>ダイヒョウシャ</t>
    </rPh>
    <phoneticPr fontId="5"/>
  </si>
  <si>
    <t>　　　代表申請者の代表者の生年月日</t>
    <rPh sb="3" eb="5">
      <t>ダイヒョウ</t>
    </rPh>
    <rPh sb="5" eb="8">
      <t>シンセイシャ</t>
    </rPh>
    <rPh sb="9" eb="12">
      <t>ダイヒョウシャ</t>
    </rPh>
    <rPh sb="13" eb="15">
      <t>セイネン</t>
    </rPh>
    <rPh sb="15" eb="17">
      <t>ガッピ</t>
    </rPh>
    <phoneticPr fontId="5"/>
  </si>
  <si>
    <t>　　　代表申請者の代表者の性別</t>
    <rPh sb="3" eb="5">
      <t>ダイヒョウ</t>
    </rPh>
    <rPh sb="5" eb="8">
      <t>シンセイシャ</t>
    </rPh>
    <rPh sb="9" eb="12">
      <t>ダイヒョウシャ</t>
    </rPh>
    <rPh sb="13" eb="15">
      <t>セイベツ</t>
    </rPh>
    <phoneticPr fontId="5"/>
  </si>
  <si>
    <t>取組事業者</t>
    <rPh sb="0" eb="2">
      <t>トリクミ</t>
    </rPh>
    <rPh sb="2" eb="5">
      <t>ジギョウシャ</t>
    </rPh>
    <phoneticPr fontId="5"/>
  </si>
  <si>
    <t>純粋な対象経費</t>
    <rPh sb="0" eb="2">
      <t>ジュンスイ</t>
    </rPh>
    <rPh sb="3" eb="5">
      <t>タイショウ</t>
    </rPh>
    <rPh sb="5" eb="7">
      <t>ケイヒ</t>
    </rPh>
    <phoneticPr fontId="5"/>
  </si>
  <si>
    <t>24万×台数対象経費</t>
    <rPh sb="2" eb="3">
      <t>マン</t>
    </rPh>
    <rPh sb="4" eb="6">
      <t>ダイスウ</t>
    </rPh>
    <rPh sb="6" eb="8">
      <t>タイショウ</t>
    </rPh>
    <rPh sb="8" eb="10">
      <t>ケイヒ</t>
    </rPh>
    <phoneticPr fontId="5"/>
  </si>
  <si>
    <r>
      <t>補助対象経費
合計</t>
    </r>
    <r>
      <rPr>
        <sz val="10"/>
        <color theme="1"/>
        <rFont val="ＭＳ Ｐゴシック"/>
        <family val="3"/>
        <charset val="128"/>
        <scheme val="minor"/>
      </rPr>
      <t xml:space="preserve">
</t>
    </r>
    <r>
      <rPr>
        <sz val="8"/>
        <color theme="1"/>
        <rFont val="ＭＳ Ｐゴシック"/>
        <family val="3"/>
        <charset val="128"/>
        <scheme val="minor"/>
      </rPr>
      <t/>
    </r>
    <rPh sb="0" eb="2">
      <t>ホジョ</t>
    </rPh>
    <rPh sb="2" eb="4">
      <t>タイショウ</t>
    </rPh>
    <rPh sb="4" eb="6">
      <t>ケイヒ</t>
    </rPh>
    <rPh sb="7" eb="9">
      <t>ゴウケイ</t>
    </rPh>
    <phoneticPr fontId="5"/>
  </si>
  <si>
    <t>1台あたりの補助対象経費</t>
    <rPh sb="1" eb="2">
      <t>ダイ</t>
    </rPh>
    <rPh sb="6" eb="8">
      <t>ホジョ</t>
    </rPh>
    <rPh sb="8" eb="10">
      <t>タイショウ</t>
    </rPh>
    <rPh sb="10" eb="12">
      <t>ケイヒ</t>
    </rPh>
    <phoneticPr fontId="5"/>
  </si>
  <si>
    <t>公募公表（令和４年８月９日）よりも前の日付および申請受付期間（令和４年12月2日）を過ぎた日付は入力できません。</t>
    <rPh sb="0" eb="2">
      <t>コウボ</t>
    </rPh>
    <rPh sb="2" eb="4">
      <t>コウヒョウ</t>
    </rPh>
    <rPh sb="5" eb="7">
      <t>レイワ</t>
    </rPh>
    <rPh sb="8" eb="9">
      <t>ネン</t>
    </rPh>
    <rPh sb="10" eb="11">
      <t>ガツ</t>
    </rPh>
    <rPh sb="12" eb="13">
      <t>ニチ</t>
    </rPh>
    <rPh sb="17" eb="18">
      <t>マエ</t>
    </rPh>
    <rPh sb="19" eb="21">
      <t>ヒヅケ</t>
    </rPh>
    <rPh sb="24" eb="26">
      <t>シンセイ</t>
    </rPh>
    <rPh sb="26" eb="28">
      <t>ウケツケ</t>
    </rPh>
    <rPh sb="28" eb="30">
      <t>キカン</t>
    </rPh>
    <rPh sb="42" eb="43">
      <t>ス</t>
    </rPh>
    <rPh sb="45" eb="47">
      <t>ヒヅケ</t>
    </rPh>
    <rPh sb="48" eb="50">
      <t>ニュウリョク</t>
    </rPh>
    <phoneticPr fontId="5"/>
  </si>
  <si>
    <t>　例）令和4年11月30日の場合、【2022/11/30】と入力</t>
    <rPh sb="1" eb="2">
      <t>レイ</t>
    </rPh>
    <rPh sb="3" eb="5">
      <t>レイワ</t>
    </rPh>
    <rPh sb="6" eb="7">
      <t>ネン</t>
    </rPh>
    <rPh sb="9" eb="10">
      <t>ガツ</t>
    </rPh>
    <rPh sb="12" eb="13">
      <t>ニチ</t>
    </rPh>
    <rPh sb="14" eb="16">
      <t>バアイ</t>
    </rPh>
    <rPh sb="30" eb="32">
      <t>ニュウリョク</t>
    </rPh>
    <phoneticPr fontId="5"/>
  </si>
  <si>
    <t>実績完了期限（１～3次：令和５年１月20日、4次：令和５年２月３日）よりも後の日付にならないよう注意してください。</t>
    <rPh sb="0" eb="2">
      <t>ジッセキ</t>
    </rPh>
    <rPh sb="2" eb="4">
      <t>カンリョウ</t>
    </rPh>
    <rPh sb="4" eb="6">
      <t>キゲン</t>
    </rPh>
    <rPh sb="10" eb="11">
      <t>ジ</t>
    </rPh>
    <rPh sb="12" eb="14">
      <t>レイワ</t>
    </rPh>
    <rPh sb="15" eb="16">
      <t>ネン</t>
    </rPh>
    <rPh sb="17" eb="18">
      <t>ガツ</t>
    </rPh>
    <rPh sb="20" eb="21">
      <t>ニチ</t>
    </rPh>
    <rPh sb="23" eb="24">
      <t>ジ</t>
    </rPh>
    <rPh sb="37" eb="38">
      <t>アト</t>
    </rPh>
    <rPh sb="39" eb="41">
      <t>ヒヅケ</t>
    </rPh>
    <rPh sb="48" eb="50">
      <t>チュウイ</t>
    </rPh>
    <phoneticPr fontId="5"/>
  </si>
  <si>
    <t>　例）令和５年２月１日の場合、【2023/2/1】と入力</t>
    <rPh sb="1" eb="2">
      <t>レイ</t>
    </rPh>
    <rPh sb="3" eb="5">
      <t>レイワ</t>
    </rPh>
    <rPh sb="6" eb="7">
      <t>ネン</t>
    </rPh>
    <rPh sb="8" eb="9">
      <t>ガツ</t>
    </rPh>
    <rPh sb="10" eb="11">
      <t>ニチ</t>
    </rPh>
    <rPh sb="12" eb="14">
      <t>バアイ</t>
    </rPh>
    <rPh sb="26" eb="28">
      <t>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</si>
</sst>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411]ggge&quot;年&quot;m&quot;月&quot;d&quot;日&quot;;@"/>
    <numFmt numFmtId="177" formatCode="#,##0_);[Red]\(#,##0\)"/>
    <numFmt numFmtId="178" formatCode="yyyy/m/d;@"/>
  </numFmts>
  <fonts count="5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5"/>
      <color rgb="FF000000"/>
      <name val="ＭＳ 明朝"/>
      <family val="1"/>
      <charset val="128"/>
    </font>
    <font>
      <sz val="6"/>
      <name val="ＭＳ Ｐゴシック"/>
      <family val="3"/>
      <charset val="128"/>
      <scheme val="minor"/>
    </font>
    <font>
      <sz val="10.5"/>
      <color theme="1"/>
      <name val="ＭＳ 明朝"/>
      <family val="1"/>
      <charset val="128"/>
    </font>
    <font>
      <sz val="9"/>
      <color rgb="FF000000"/>
      <name val="ＭＳ 明朝"/>
      <family val="1"/>
      <charset val="128"/>
    </font>
    <font>
      <sz val="10.5"/>
      <color theme="1"/>
      <name val="Century"/>
      <family val="1"/>
    </font>
    <font>
      <sz val="9"/>
      <color theme="1"/>
      <name val="ＭＳ 明朝"/>
      <family val="1"/>
      <charset val="128"/>
    </font>
    <font>
      <sz val="11"/>
      <color theme="1"/>
      <name val="ＭＳ Ｐゴシック"/>
      <family val="3"/>
      <charset val="128"/>
      <scheme val="minor"/>
    </font>
    <font>
      <sz val="20"/>
      <color theme="0"/>
      <name val="ＭＳ Ｐゴシック"/>
      <family val="2"/>
      <scheme val="minor"/>
    </font>
    <font>
      <sz val="20"/>
      <color theme="0"/>
      <name val="ＭＳ Ｐゴシック"/>
      <family val="3"/>
      <charset val="128"/>
      <scheme val="minor"/>
    </font>
    <font>
      <sz val="11"/>
      <color rgb="FFFF0000"/>
      <name val="ＭＳ Ｐゴシック"/>
      <family val="3"/>
      <charset val="128"/>
      <scheme val="minor"/>
    </font>
    <font>
      <u/>
      <sz val="11"/>
      <color rgb="FFFF0000"/>
      <name val="ＭＳ Ｐゴシック"/>
      <family val="2"/>
      <scheme val="minor"/>
    </font>
    <font>
      <sz val="10"/>
      <color rgb="FFFF0000"/>
      <name val="ＭＳ Ｐゴシック"/>
      <family val="2"/>
      <scheme val="minor"/>
    </font>
    <font>
      <sz val="9"/>
      <color theme="1"/>
      <name val="ＭＳ Ｐゴシック"/>
      <family val="2"/>
      <scheme val="minor"/>
    </font>
    <font>
      <sz val="11"/>
      <name val="ＭＳ Ｐゴシック"/>
      <family val="3"/>
      <charset val="128"/>
      <scheme val="minor"/>
    </font>
    <font>
      <u/>
      <sz val="11"/>
      <color rgb="FFFF0000"/>
      <name val="ＭＳ Ｐゴシック"/>
      <family val="3"/>
      <charset val="128"/>
      <scheme val="minor"/>
    </font>
    <font>
      <b/>
      <u/>
      <sz val="11"/>
      <color rgb="FFFF0000"/>
      <name val="ＭＳ Ｐゴシック"/>
      <family val="3"/>
      <charset val="128"/>
      <scheme val="minor"/>
    </font>
    <font>
      <sz val="11"/>
      <name val="ＭＳ Ｐゴシック"/>
      <family val="2"/>
      <scheme val="minor"/>
    </font>
    <font>
      <sz val="10"/>
      <color theme="1"/>
      <name val="ＭＳ Ｐゴシック"/>
      <family val="2"/>
      <scheme val="minor"/>
    </font>
    <font>
      <sz val="20"/>
      <name val="ＭＳ Ｐゴシック"/>
      <family val="2"/>
      <scheme val="minor"/>
    </font>
    <font>
      <sz val="20"/>
      <color rgb="FFFF0000"/>
      <name val="ＭＳ Ｐゴシック"/>
      <family val="2"/>
      <scheme val="minor"/>
    </font>
    <font>
      <sz val="20"/>
      <color rgb="FFFF0000"/>
      <name val="ＭＳ Ｐゴシック"/>
      <family val="3"/>
      <charset val="128"/>
      <scheme val="minor"/>
    </font>
    <font>
      <sz val="11"/>
      <color rgb="FF0070C0"/>
      <name val="ＭＳ Ｐゴシック"/>
      <family val="2"/>
      <scheme val="minor"/>
    </font>
    <font>
      <sz val="11"/>
      <color rgb="FFFF0000"/>
      <name val="ＭＳ Ｐゴシック"/>
      <family val="2"/>
      <scheme val="minor"/>
    </font>
    <font>
      <sz val="10"/>
      <color theme="1"/>
      <name val="ＭＳ Ｐゴシック"/>
      <family val="3"/>
      <charset val="128"/>
      <scheme val="minor"/>
    </font>
    <font>
      <u/>
      <sz val="10"/>
      <color theme="1"/>
      <name val="ＭＳ Ｐゴシック"/>
      <family val="2"/>
      <scheme val="minor"/>
    </font>
    <font>
      <u/>
      <sz val="11"/>
      <color theme="1"/>
      <name val="ＭＳ Ｐゴシック"/>
      <family val="3"/>
      <charset val="128"/>
      <scheme val="minor"/>
    </font>
    <font>
      <u/>
      <sz val="10"/>
      <color theme="1"/>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b/>
      <sz val="10.5"/>
      <color theme="1"/>
      <name val="游ゴシック"/>
      <family val="3"/>
      <charset val="128"/>
    </font>
    <font>
      <b/>
      <sz val="10.5"/>
      <color rgb="FF000000"/>
      <name val="游ゴシック"/>
      <family val="3"/>
      <charset val="128"/>
    </font>
    <font>
      <b/>
      <sz val="10.5"/>
      <name val="游ゴシック"/>
      <family val="3"/>
      <charset val="128"/>
    </font>
    <font>
      <sz val="6"/>
      <name val="ＭＳ Ｐゴシック"/>
      <family val="2"/>
      <charset val="128"/>
      <scheme val="minor"/>
    </font>
    <font>
      <b/>
      <sz val="10"/>
      <color rgb="FFFF0000"/>
      <name val="ＭＳ Ｐゴシック"/>
      <family val="3"/>
      <charset val="128"/>
      <scheme val="minor"/>
    </font>
    <font>
      <b/>
      <sz val="9"/>
      <color rgb="FFFF0000"/>
      <name val="ＭＳ Ｐゴシック"/>
      <family val="3"/>
      <charset val="128"/>
      <scheme val="minor"/>
    </font>
    <font>
      <sz val="9"/>
      <name val="ＭＳ Ｐゴシック"/>
      <family val="3"/>
      <charset val="128"/>
      <scheme val="minor"/>
    </font>
    <font>
      <sz val="11"/>
      <color theme="1"/>
      <name val="ＭＳ Ｐゴシック"/>
      <family val="2"/>
      <scheme val="minor"/>
    </font>
    <font>
      <sz val="6"/>
      <name val="ＭＳ Ｐゴシック"/>
      <family val="3"/>
      <charset val="128"/>
    </font>
    <font>
      <sz val="12"/>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sz val="6"/>
      <color theme="1"/>
      <name val="ＭＳ Ｐゴシック"/>
      <family val="3"/>
      <charset val="128"/>
      <scheme val="minor"/>
    </font>
    <font>
      <u/>
      <sz val="11"/>
      <color theme="10"/>
      <name val="ＭＳ Ｐゴシック"/>
      <family val="2"/>
      <scheme val="minor"/>
    </font>
    <font>
      <sz val="11"/>
      <color theme="0"/>
      <name val="ＭＳ Ｐゴシック"/>
      <family val="2"/>
      <scheme val="minor"/>
    </font>
    <font>
      <b/>
      <sz val="20"/>
      <color rgb="FFFF0000"/>
      <name val="ＭＳ Ｐゴシック"/>
      <family val="3"/>
      <charset val="128"/>
      <scheme val="minor"/>
    </font>
    <font>
      <strike/>
      <sz val="11"/>
      <color theme="1"/>
      <name val="ＭＳ Ｐゴシック"/>
      <family val="2"/>
      <scheme val="minor"/>
    </font>
    <font>
      <sz val="11"/>
      <color theme="0"/>
      <name val="ＭＳ Ｐゴシック"/>
      <family val="3"/>
      <charset val="128"/>
      <scheme val="minor"/>
    </font>
    <font>
      <sz val="20"/>
      <color theme="1"/>
      <name val="ＭＳ Ｐゴシック"/>
      <family val="2"/>
      <scheme val="minor"/>
    </font>
    <font>
      <sz val="20"/>
      <color theme="1"/>
      <name val="ＭＳ Ｐゴシック"/>
      <family val="3"/>
      <charset val="128"/>
      <scheme val="minor"/>
    </font>
    <font>
      <sz val="8"/>
      <color theme="1"/>
      <name val="ＭＳ Ｐゴシック"/>
      <family val="3"/>
      <charset val="128"/>
      <scheme val="minor"/>
    </font>
    <font>
      <sz val="11"/>
      <color rgb="FFA0A0A0"/>
      <name val="ＭＳ Ｐゴシック"/>
      <family val="2"/>
      <scheme val="minor"/>
    </font>
    <font>
      <sz val="11"/>
      <color rgb="FFA0A0A0"/>
      <name val="ＭＳ Ｐゴシック"/>
      <family val="3"/>
      <charset val="128"/>
      <scheme val="minor"/>
    </font>
  </fonts>
  <fills count="24">
    <fill>
      <patternFill patternType="none"/>
    </fill>
    <fill>
      <patternFill patternType="gray125"/>
    </fill>
    <fill>
      <patternFill patternType="solid">
        <fgColor rgb="FF00B0F0"/>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1" tint="0.499984740745262"/>
        <bgColor indexed="64"/>
      </patternFill>
    </fill>
    <fill>
      <patternFill patternType="solid">
        <fgColor rgb="FFA0A0A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right style="medium">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diagonal/>
    </border>
    <border>
      <left style="medium">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diagonal/>
    </border>
    <border>
      <left/>
      <right style="hair">
        <color indexed="64"/>
      </right>
      <top/>
      <bottom/>
      <diagonal/>
    </border>
    <border>
      <left/>
      <right style="hair">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thin">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rgb="FFFF0000"/>
      </left>
      <right style="medium">
        <color rgb="FFFF0000"/>
      </right>
      <top style="medium">
        <color rgb="FFFF0000"/>
      </top>
      <bottom style="medium">
        <color rgb="FFFF0000"/>
      </bottom>
      <diagonal/>
    </border>
    <border diagonalUp="1" diagonalDown="1">
      <left style="medium">
        <color indexed="64"/>
      </left>
      <right style="medium">
        <color indexed="64"/>
      </right>
      <top style="medium">
        <color indexed="64"/>
      </top>
      <bottom style="medium">
        <color indexed="64"/>
      </bottom>
      <diagonal style="thin">
        <color indexed="64"/>
      </diagonal>
    </border>
    <border diagonalDown="1">
      <left style="medium">
        <color indexed="64"/>
      </left>
      <right style="medium">
        <color indexed="64"/>
      </right>
      <top style="medium">
        <color indexed="64"/>
      </top>
      <bottom style="medium">
        <color indexed="64"/>
      </bottom>
      <diagonal style="medium">
        <color indexed="64"/>
      </diagonal>
    </border>
  </borders>
  <cellStyleXfs count="6">
    <xf numFmtId="0" fontId="0" fillId="0" borderId="0"/>
    <xf numFmtId="0" fontId="3" fillId="0" borderId="0">
      <alignment vertical="center"/>
    </xf>
    <xf numFmtId="38" fontId="41" fillId="0" borderId="0" applyFont="0" applyFill="0" applyBorder="0" applyAlignment="0" applyProtection="0">
      <alignment vertical="center"/>
    </xf>
    <xf numFmtId="0" fontId="10" fillId="0" borderId="0">
      <alignment vertical="center"/>
    </xf>
    <xf numFmtId="0" fontId="47" fillId="0" borderId="0" applyNumberFormat="0" applyFill="0" applyBorder="0" applyAlignment="0" applyProtection="0"/>
    <xf numFmtId="0" fontId="2" fillId="0" borderId="0">
      <alignment vertical="center"/>
    </xf>
  </cellStyleXfs>
  <cellXfs count="759">
    <xf numFmtId="0" fontId="0" fillId="0" borderId="0" xfId="0"/>
    <xf numFmtId="0" fontId="0" fillId="0" borderId="0" xfId="0" applyAlignment="1">
      <alignment vertical="center"/>
    </xf>
    <xf numFmtId="0" fontId="0" fillId="3" borderId="0" xfId="0" applyFill="1" applyAlignment="1">
      <alignment vertical="center"/>
    </xf>
    <xf numFmtId="176" fontId="0" fillId="3" borderId="0" xfId="0" applyNumberFormat="1" applyFill="1" applyAlignment="1">
      <alignment horizontal="center" vertical="center"/>
    </xf>
    <xf numFmtId="0" fontId="0" fillId="5" borderId="0" xfId="0" applyFill="1" applyAlignment="1">
      <alignment vertical="center"/>
    </xf>
    <xf numFmtId="176" fontId="0" fillId="5" borderId="0" xfId="0" applyNumberFormat="1" applyFill="1" applyAlignment="1">
      <alignment horizontal="center" vertical="center"/>
    </xf>
    <xf numFmtId="0" fontId="14" fillId="3" borderId="0" xfId="0" applyFont="1" applyFill="1" applyAlignment="1">
      <alignment vertical="center"/>
    </xf>
    <xf numFmtId="49" fontId="0" fillId="3" borderId="0" xfId="0" applyNumberFormat="1" applyFill="1" applyAlignment="1">
      <alignment horizontal="left" vertical="center" shrinkToFit="1"/>
    </xf>
    <xf numFmtId="0" fontId="0" fillId="4" borderId="24" xfId="0" applyFill="1" applyBorder="1" applyAlignment="1" applyProtection="1">
      <alignment vertical="center"/>
      <protection locked="0"/>
    </xf>
    <xf numFmtId="0" fontId="14" fillId="5" borderId="0" xfId="0" applyFont="1" applyFill="1" applyAlignment="1">
      <alignment vertical="center"/>
    </xf>
    <xf numFmtId="0" fontId="15" fillId="5" borderId="0" xfId="0" applyFont="1" applyFill="1" applyAlignment="1">
      <alignment vertical="center"/>
    </xf>
    <xf numFmtId="0" fontId="15" fillId="3" borderId="0" xfId="0" applyFont="1" applyFill="1" applyAlignment="1">
      <alignment vertical="center"/>
    </xf>
    <xf numFmtId="0" fontId="10" fillId="5" borderId="0" xfId="0" applyFont="1" applyFill="1" applyAlignment="1">
      <alignment vertical="center"/>
    </xf>
    <xf numFmtId="0" fontId="0" fillId="5" borderId="0" xfId="0" applyFill="1" applyAlignment="1">
      <alignment horizontal="center" vertical="center"/>
    </xf>
    <xf numFmtId="49" fontId="0" fillId="5" borderId="0" xfId="0" applyNumberFormat="1" applyFill="1" applyAlignment="1">
      <alignment horizontal="left" vertical="center" shrinkToFit="1"/>
    </xf>
    <xf numFmtId="0" fontId="0" fillId="4" borderId="24" xfId="0" applyFill="1" applyBorder="1" applyAlignment="1" applyProtection="1">
      <alignment horizontal="center" vertical="center" shrinkToFit="1"/>
      <protection locked="0"/>
    </xf>
    <xf numFmtId="0" fontId="16" fillId="3" borderId="0" xfId="0" applyFont="1" applyFill="1" applyAlignment="1">
      <alignment horizontal="center" vertical="center"/>
    </xf>
    <xf numFmtId="0" fontId="0" fillId="4" borderId="24" xfId="0" applyFill="1" applyBorder="1" applyAlignment="1">
      <alignment horizontal="right" vertical="center"/>
    </xf>
    <xf numFmtId="178" fontId="0" fillId="4" borderId="24" xfId="0" applyNumberFormat="1" applyFill="1" applyBorder="1" applyAlignment="1" applyProtection="1">
      <alignment horizontal="center" vertical="center" shrinkToFit="1"/>
      <protection locked="0"/>
    </xf>
    <xf numFmtId="0" fontId="17" fillId="5" borderId="0" xfId="0" applyFont="1" applyFill="1" applyAlignment="1">
      <alignment vertical="center"/>
    </xf>
    <xf numFmtId="0" fontId="16" fillId="5" borderId="0" xfId="0" applyFont="1" applyFill="1" applyAlignment="1">
      <alignment horizontal="center" vertical="center"/>
    </xf>
    <xf numFmtId="0" fontId="0" fillId="5" borderId="0" xfId="0" applyFill="1" applyAlignment="1">
      <alignment horizontal="center" vertical="center" shrinkToFit="1"/>
    </xf>
    <xf numFmtId="0" fontId="0" fillId="0" borderId="0" xfId="0" applyAlignment="1">
      <alignment horizontal="right" vertical="center"/>
    </xf>
    <xf numFmtId="0" fontId="0" fillId="11" borderId="0" xfId="0" applyFill="1" applyAlignment="1">
      <alignment vertical="center"/>
    </xf>
    <xf numFmtId="0" fontId="10" fillId="11" borderId="0" xfId="0" applyFont="1" applyFill="1" applyAlignment="1">
      <alignment vertical="center"/>
    </xf>
    <xf numFmtId="176" fontId="0" fillId="11" borderId="0" xfId="0" applyNumberFormat="1" applyFill="1" applyAlignment="1">
      <alignment horizontal="center" vertical="center"/>
    </xf>
    <xf numFmtId="49" fontId="0" fillId="11" borderId="0" xfId="0" applyNumberFormat="1" applyFill="1" applyAlignment="1">
      <alignment vertical="center"/>
    </xf>
    <xf numFmtId="0" fontId="0" fillId="4" borderId="24" xfId="0" applyFill="1" applyBorder="1" applyAlignment="1">
      <alignment vertical="center"/>
    </xf>
    <xf numFmtId="0" fontId="20" fillId="5" borderId="0" xfId="0" applyFont="1" applyFill="1" applyAlignment="1">
      <alignment vertical="center"/>
    </xf>
    <xf numFmtId="0" fontId="0" fillId="2" borderId="0" xfId="0" applyFill="1" applyAlignment="1">
      <alignment vertical="center"/>
    </xf>
    <xf numFmtId="0" fontId="20" fillId="3" borderId="0" xfId="0" applyFont="1" applyFill="1" applyAlignment="1">
      <alignment vertical="center"/>
    </xf>
    <xf numFmtId="0" fontId="0" fillId="11" borderId="0" xfId="0" applyFill="1" applyAlignment="1">
      <alignment horizontal="center" vertical="center"/>
    </xf>
    <xf numFmtId="176" fontId="25" fillId="4" borderId="24" xfId="0" applyNumberFormat="1" applyFont="1" applyFill="1" applyBorder="1" applyAlignment="1" applyProtection="1">
      <alignment horizontal="center" vertical="center"/>
      <protection locked="0"/>
    </xf>
    <xf numFmtId="0" fontId="24" fillId="10" borderId="0" xfId="0" applyFont="1" applyFill="1" applyAlignment="1">
      <alignment horizontal="center" vertical="center"/>
    </xf>
    <xf numFmtId="0" fontId="0" fillId="13" borderId="24" xfId="0" applyFill="1" applyBorder="1" applyAlignment="1">
      <alignment horizontal="right" vertical="center"/>
    </xf>
    <xf numFmtId="0" fontId="0" fillId="12" borderId="24" xfId="0" applyFill="1" applyBorder="1" applyAlignment="1">
      <alignment vertical="center"/>
    </xf>
    <xf numFmtId="0" fontId="0" fillId="14" borderId="0" xfId="0" applyFill="1" applyAlignment="1">
      <alignment horizontal="center" vertical="center"/>
    </xf>
    <xf numFmtId="0" fontId="0" fillId="15" borderId="0" xfId="0" applyFill="1" applyAlignment="1">
      <alignment vertical="center"/>
    </xf>
    <xf numFmtId="0" fontId="0" fillId="15" borderId="0" xfId="0" applyFill="1" applyAlignment="1">
      <alignment horizontal="center" vertical="center"/>
    </xf>
    <xf numFmtId="0" fontId="0" fillId="16" borderId="0" xfId="0" applyFill="1" applyAlignment="1">
      <alignment vertical="center"/>
    </xf>
    <xf numFmtId="0" fontId="0" fillId="16" borderId="0" xfId="0" applyFill="1" applyAlignment="1">
      <alignment horizontal="center" vertical="center"/>
    </xf>
    <xf numFmtId="0" fontId="0" fillId="4" borderId="24" xfId="0" applyFill="1" applyBorder="1" applyAlignment="1" applyProtection="1">
      <alignment horizontal="center" vertical="center"/>
      <protection locked="0"/>
    </xf>
    <xf numFmtId="0" fontId="0" fillId="8" borderId="0" xfId="0" applyFill="1" applyAlignment="1">
      <alignment vertical="center"/>
    </xf>
    <xf numFmtId="0" fontId="27" fillId="0" borderId="24" xfId="0" applyFont="1" applyBorder="1" applyAlignment="1" applyProtection="1">
      <alignment horizontal="center" vertical="center"/>
      <protection locked="0"/>
    </xf>
    <xf numFmtId="0" fontId="31" fillId="5" borderId="0" xfId="0" applyFont="1" applyFill="1" applyAlignment="1">
      <alignment horizontal="right" vertical="center"/>
    </xf>
    <xf numFmtId="49" fontId="0" fillId="0" borderId="24" xfId="0" applyNumberFormat="1" applyBorder="1" applyAlignment="1" applyProtection="1">
      <alignment horizontal="center" vertical="center"/>
      <protection locked="0"/>
    </xf>
    <xf numFmtId="176" fontId="0" fillId="5" borderId="0" xfId="0" applyNumberFormat="1" applyFill="1" applyAlignment="1">
      <alignment horizontal="left" vertical="center"/>
    </xf>
    <xf numFmtId="0" fontId="0" fillId="0" borderId="24" xfId="0" applyBorder="1" applyAlignment="1">
      <alignment vertical="center"/>
    </xf>
    <xf numFmtId="0" fontId="3" fillId="0" borderId="0" xfId="1">
      <alignment vertical="center"/>
    </xf>
    <xf numFmtId="0" fontId="3" fillId="0" borderId="0" xfId="1" applyAlignment="1">
      <alignment horizontal="center" vertical="center"/>
    </xf>
    <xf numFmtId="0" fontId="3" fillId="0" borderId="1" xfId="1" applyBorder="1" applyAlignment="1">
      <alignment horizontal="center" vertical="center"/>
    </xf>
    <xf numFmtId="0" fontId="3" fillId="17" borderId="1" xfId="1" applyFill="1" applyBorder="1" applyAlignment="1">
      <alignment horizontal="center" vertical="center"/>
    </xf>
    <xf numFmtId="0" fontId="21" fillId="0" borderId="24" xfId="0" applyFont="1" applyBorder="1" applyAlignment="1" applyProtection="1">
      <alignment horizontal="center" vertical="center"/>
      <protection locked="0"/>
    </xf>
    <xf numFmtId="0" fontId="0" fillId="5" borderId="2" xfId="0" applyFill="1" applyBorder="1" applyAlignment="1">
      <alignment vertical="center"/>
    </xf>
    <xf numFmtId="0" fontId="0" fillId="5" borderId="3" xfId="0" applyFill="1" applyBorder="1" applyAlignment="1">
      <alignment vertical="center"/>
    </xf>
    <xf numFmtId="0" fontId="0" fillId="5" borderId="4" xfId="0" applyFill="1" applyBorder="1" applyAlignment="1">
      <alignment vertical="center"/>
    </xf>
    <xf numFmtId="0" fontId="0" fillId="5" borderId="8" xfId="0" applyFill="1" applyBorder="1" applyAlignment="1">
      <alignment vertical="center"/>
    </xf>
    <xf numFmtId="0" fontId="0" fillId="5" borderId="14" xfId="0" applyFill="1" applyBorder="1" applyAlignment="1">
      <alignment vertical="center"/>
    </xf>
    <xf numFmtId="0" fontId="0" fillId="5" borderId="0" xfId="0" applyFill="1" applyAlignment="1">
      <alignment horizontal="right" vertical="center"/>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0" fillId="6" borderId="24" xfId="0" applyFill="1" applyBorder="1" applyAlignment="1">
      <alignment vertical="center"/>
    </xf>
    <xf numFmtId="0" fontId="0" fillId="3" borderId="0" xfId="0" applyFill="1" applyAlignment="1">
      <alignment horizontal="right" vertical="center"/>
    </xf>
    <xf numFmtId="0" fontId="0" fillId="3" borderId="0" xfId="0" applyFill="1" applyAlignment="1">
      <alignment horizontal="center" vertical="center"/>
    </xf>
    <xf numFmtId="0" fontId="0" fillId="3" borderId="0" xfId="0" applyFill="1" applyAlignment="1">
      <alignment horizontal="left" vertical="center"/>
    </xf>
    <xf numFmtId="0" fontId="0" fillId="5" borderId="0" xfId="0" applyFill="1" applyAlignment="1">
      <alignment horizontal="left" vertical="center"/>
    </xf>
    <xf numFmtId="0" fontId="0" fillId="7" borderId="0" xfId="0" applyFill="1" applyAlignment="1">
      <alignment vertical="center"/>
    </xf>
    <xf numFmtId="0" fontId="0" fillId="7" borderId="0" xfId="0" applyFill="1"/>
    <xf numFmtId="176" fontId="0" fillId="7" borderId="0" xfId="0" applyNumberFormat="1" applyFill="1" applyAlignment="1">
      <alignment horizontal="center" vertical="center"/>
    </xf>
    <xf numFmtId="0" fontId="33" fillId="5" borderId="0" xfId="0" applyFont="1" applyFill="1" applyAlignment="1">
      <alignment vertical="center"/>
    </xf>
    <xf numFmtId="0" fontId="33" fillId="5" borderId="8" xfId="0" applyFont="1" applyFill="1" applyBorder="1" applyAlignment="1">
      <alignment vertical="center"/>
    </xf>
    <xf numFmtId="0" fontId="27" fillId="5" borderId="0" xfId="0" applyFont="1" applyFill="1" applyAlignment="1">
      <alignment vertical="center"/>
    </xf>
    <xf numFmtId="0" fontId="0" fillId="5" borderId="14" xfId="0" applyFill="1" applyBorder="1" applyAlignment="1">
      <alignment horizontal="right" vertical="center"/>
    </xf>
    <xf numFmtId="0" fontId="17" fillId="5" borderId="8" xfId="0" applyFont="1" applyFill="1" applyBorder="1" applyAlignment="1">
      <alignment vertical="center"/>
    </xf>
    <xf numFmtId="0" fontId="27" fillId="5" borderId="6" xfId="0" applyFont="1" applyFill="1" applyBorder="1" applyAlignment="1">
      <alignment vertical="center"/>
    </xf>
    <xf numFmtId="0" fontId="27" fillId="5" borderId="0" xfId="0" applyFont="1" applyFill="1" applyAlignment="1">
      <alignment horizontal="right" vertical="center"/>
    </xf>
    <xf numFmtId="0" fontId="0" fillId="5" borderId="0" xfId="0" applyFill="1" applyAlignment="1">
      <alignment vertical="center" shrinkToFit="1"/>
    </xf>
    <xf numFmtId="0" fontId="0" fillId="5" borderId="0" xfId="0" applyFill="1" applyAlignment="1">
      <alignment horizontal="right"/>
    </xf>
    <xf numFmtId="0" fontId="0" fillId="6" borderId="24" xfId="0" applyFill="1" applyBorder="1" applyAlignment="1">
      <alignment horizontal="center" vertical="center" shrinkToFit="1"/>
    </xf>
    <xf numFmtId="178" fontId="0" fillId="6" borderId="24" xfId="0" applyNumberFormat="1" applyFill="1" applyBorder="1" applyAlignment="1">
      <alignment horizontal="center" vertical="center" shrinkToFit="1"/>
    </xf>
    <xf numFmtId="0" fontId="0" fillId="5" borderId="31" xfId="0" applyFill="1" applyBorder="1" applyAlignment="1">
      <alignment vertical="center"/>
    </xf>
    <xf numFmtId="0" fontId="0" fillId="5" borderId="8" xfId="0" applyFill="1" applyBorder="1" applyAlignment="1">
      <alignment vertical="center" shrinkToFit="1"/>
    </xf>
    <xf numFmtId="0" fontId="0" fillId="5" borderId="8" xfId="0" applyFill="1" applyBorder="1" applyAlignment="1">
      <alignment horizontal="left" vertical="center"/>
    </xf>
    <xf numFmtId="0" fontId="27" fillId="5" borderId="8" xfId="0" applyFont="1" applyFill="1" applyBorder="1" applyAlignment="1">
      <alignment horizontal="right" vertical="center"/>
    </xf>
    <xf numFmtId="0" fontId="0" fillId="4" borderId="24" xfId="0" applyFill="1" applyBorder="1" applyAlignment="1">
      <alignment horizontal="center" vertical="center"/>
    </xf>
    <xf numFmtId="0" fontId="0" fillId="5" borderId="6" xfId="0" applyFill="1" applyBorder="1" applyAlignment="1">
      <alignment horizontal="center" vertical="center"/>
    </xf>
    <xf numFmtId="0" fontId="0" fillId="5" borderId="3" xfId="0" applyFill="1" applyBorder="1" applyAlignment="1">
      <alignment horizontal="center" vertical="center"/>
    </xf>
    <xf numFmtId="0" fontId="0" fillId="13" borderId="24" xfId="0" applyFill="1" applyBorder="1" applyAlignment="1">
      <alignment horizontal="center" vertical="center"/>
    </xf>
    <xf numFmtId="0" fontId="0" fillId="0" borderId="0" xfId="0" applyAlignment="1">
      <alignment vertical="center" shrinkToFit="1"/>
    </xf>
    <xf numFmtId="0" fontId="43" fillId="11" borderId="77" xfId="3" applyFont="1" applyFill="1" applyBorder="1" applyAlignment="1" applyProtection="1">
      <alignment horizontal="center" vertical="center" wrapText="1"/>
      <protection hidden="1"/>
    </xf>
    <xf numFmtId="0" fontId="27" fillId="4" borderId="0" xfId="3" applyFont="1" applyFill="1" applyProtection="1">
      <alignment vertical="center"/>
      <protection hidden="1"/>
    </xf>
    <xf numFmtId="0" fontId="32" fillId="4" borderId="0" xfId="3" applyFont="1" applyFill="1" applyProtection="1">
      <alignment vertical="center"/>
      <protection hidden="1"/>
    </xf>
    <xf numFmtId="0" fontId="27" fillId="4" borderId="35" xfId="3" applyFont="1" applyFill="1" applyBorder="1" applyProtection="1">
      <alignment vertical="center"/>
      <protection hidden="1"/>
    </xf>
    <xf numFmtId="0" fontId="27" fillId="4" borderId="35" xfId="3" applyFont="1" applyFill="1" applyBorder="1" applyAlignment="1" applyProtection="1">
      <alignment horizontal="center" vertical="center" wrapText="1"/>
      <protection hidden="1"/>
    </xf>
    <xf numFmtId="0" fontId="27" fillId="4" borderId="35" xfId="3" applyFont="1" applyFill="1" applyBorder="1" applyAlignment="1" applyProtection="1">
      <alignment horizontal="left" vertical="center"/>
      <protection hidden="1"/>
    </xf>
    <xf numFmtId="0" fontId="44" fillId="4" borderId="35" xfId="3" applyFont="1" applyFill="1" applyBorder="1" applyAlignment="1" applyProtection="1">
      <alignment horizontal="right" vertical="center"/>
      <protection hidden="1"/>
    </xf>
    <xf numFmtId="0" fontId="43" fillId="11" borderId="43" xfId="3" applyFont="1" applyFill="1" applyBorder="1" applyAlignment="1" applyProtection="1">
      <alignment horizontal="center" vertical="center" wrapText="1"/>
      <protection hidden="1"/>
    </xf>
    <xf numFmtId="0" fontId="0" fillId="5" borderId="0" xfId="0" applyFill="1" applyAlignment="1">
      <alignment vertical="top"/>
    </xf>
    <xf numFmtId="0" fontId="17" fillId="3" borderId="0" xfId="0" applyFont="1" applyFill="1" applyAlignment="1">
      <alignment vertical="center"/>
    </xf>
    <xf numFmtId="0" fontId="0" fillId="6" borderId="24" xfId="0" applyFill="1" applyBorder="1" applyAlignment="1">
      <alignment horizontal="center"/>
    </xf>
    <xf numFmtId="0" fontId="0" fillId="0" borderId="0" xfId="0" applyAlignment="1">
      <alignment vertical="top"/>
    </xf>
    <xf numFmtId="0" fontId="0" fillId="14" borderId="0" xfId="0" applyFill="1" applyAlignment="1">
      <alignment horizontal="center" vertical="top" wrapText="1"/>
    </xf>
    <xf numFmtId="0" fontId="0" fillId="18" borderId="0" xfId="0" applyFill="1" applyAlignment="1">
      <alignment horizontal="center" vertical="top" wrapText="1"/>
    </xf>
    <xf numFmtId="5" fontId="0" fillId="0" borderId="24" xfId="0" applyNumberFormat="1" applyBorder="1" applyAlignment="1" applyProtection="1">
      <alignment horizontal="right" vertical="center"/>
      <protection locked="0"/>
    </xf>
    <xf numFmtId="5" fontId="0" fillId="6" borderId="24" xfId="0" applyNumberFormat="1" applyFill="1" applyBorder="1" applyAlignment="1">
      <alignment horizontal="right" vertical="center"/>
    </xf>
    <xf numFmtId="5" fontId="32" fillId="6" borderId="100" xfId="0" applyNumberFormat="1" applyFont="1" applyFill="1" applyBorder="1" applyAlignment="1">
      <alignment horizontal="right" vertical="center"/>
    </xf>
    <xf numFmtId="0" fontId="0" fillId="6" borderId="24" xfId="0" applyFill="1" applyBorder="1" applyAlignment="1">
      <alignment horizontal="right" vertical="center"/>
    </xf>
    <xf numFmtId="176" fontId="0" fillId="8" borderId="0" xfId="0" applyNumberFormat="1" applyFill="1" applyAlignment="1">
      <alignment vertical="center"/>
    </xf>
    <xf numFmtId="0" fontId="0" fillId="13" borderId="0" xfId="0" applyFill="1" applyAlignment="1">
      <alignment vertical="center"/>
    </xf>
    <xf numFmtId="0" fontId="49" fillId="13" borderId="0" xfId="0" applyFont="1" applyFill="1" applyAlignment="1">
      <alignment vertical="center"/>
    </xf>
    <xf numFmtId="0" fontId="50" fillId="5" borderId="0" xfId="0" applyFont="1" applyFill="1" applyAlignment="1">
      <alignment vertical="center"/>
    </xf>
    <xf numFmtId="0" fontId="0" fillId="19" borderId="101" xfId="0" applyFill="1" applyBorder="1" applyAlignment="1">
      <alignment vertical="center"/>
    </xf>
    <xf numFmtId="0" fontId="0" fillId="20" borderId="0" xfId="0" applyFill="1" applyAlignment="1">
      <alignment vertical="center"/>
    </xf>
    <xf numFmtId="0" fontId="0" fillId="20" borderId="0" xfId="0" applyFill="1" applyAlignment="1">
      <alignment horizontal="center" vertical="center"/>
    </xf>
    <xf numFmtId="0" fontId="0" fillId="21" borderId="0" xfId="0" applyFill="1" applyAlignment="1">
      <alignment vertical="center"/>
    </xf>
    <xf numFmtId="0" fontId="0" fillId="21" borderId="0" xfId="0" applyFill="1" applyAlignment="1">
      <alignment horizontal="center" vertical="center"/>
    </xf>
    <xf numFmtId="0" fontId="21" fillId="3" borderId="0" xfId="0" applyFont="1" applyFill="1" applyAlignment="1">
      <alignment vertical="center"/>
    </xf>
    <xf numFmtId="0" fontId="19" fillId="5" borderId="0" xfId="0" applyFont="1" applyFill="1" applyAlignment="1">
      <alignment vertical="center"/>
    </xf>
    <xf numFmtId="0" fontId="32" fillId="5" borderId="0" xfId="0" applyFont="1" applyFill="1" applyAlignment="1">
      <alignment vertical="center"/>
    </xf>
    <xf numFmtId="0" fontId="17" fillId="5" borderId="0" xfId="0" applyFont="1" applyFill="1" applyAlignment="1">
      <alignment vertical="top"/>
    </xf>
    <xf numFmtId="0" fontId="39" fillId="5" borderId="0" xfId="0" applyFont="1" applyFill="1" applyAlignment="1">
      <alignment horizontal="left" vertical="center" wrapText="1"/>
    </xf>
    <xf numFmtId="0" fontId="19" fillId="3" borderId="0" xfId="0" applyFont="1" applyFill="1" applyAlignment="1">
      <alignment vertical="center"/>
    </xf>
    <xf numFmtId="0" fontId="32" fillId="3" borderId="0" xfId="0" applyFont="1" applyFill="1" applyAlignment="1">
      <alignment vertical="center"/>
    </xf>
    <xf numFmtId="0" fontId="33" fillId="3" borderId="0" xfId="0" applyFont="1" applyFill="1" applyAlignment="1">
      <alignment vertical="center"/>
    </xf>
    <xf numFmtId="0" fontId="16" fillId="3" borderId="0" xfId="0" applyFont="1" applyFill="1" applyAlignment="1">
      <alignment horizontal="left" vertical="center"/>
    </xf>
    <xf numFmtId="0" fontId="17" fillId="3" borderId="0" xfId="0" applyFont="1" applyFill="1" applyAlignment="1">
      <alignment vertical="top"/>
    </xf>
    <xf numFmtId="0" fontId="39" fillId="3" borderId="0" xfId="0" applyFont="1" applyFill="1" applyAlignment="1">
      <alignment horizontal="left" vertical="center" wrapText="1"/>
    </xf>
    <xf numFmtId="0" fontId="38" fillId="5" borderId="0" xfId="0" applyFont="1" applyFill="1" applyAlignment="1">
      <alignment vertical="center"/>
    </xf>
    <xf numFmtId="0" fontId="26" fillId="5" borderId="0" xfId="0" applyFont="1" applyFill="1" applyAlignment="1">
      <alignment vertical="center"/>
    </xf>
    <xf numFmtId="0" fontId="21" fillId="5" borderId="0" xfId="0" applyFont="1" applyFill="1" applyAlignment="1">
      <alignment vertical="center"/>
    </xf>
    <xf numFmtId="0" fontId="28" fillId="5" borderId="0" xfId="0" applyFont="1" applyFill="1" applyAlignment="1">
      <alignment vertical="center"/>
    </xf>
    <xf numFmtId="0" fontId="29" fillId="5" borderId="0" xfId="0" applyFont="1" applyFill="1" applyAlignment="1">
      <alignment vertical="center"/>
    </xf>
    <xf numFmtId="0" fontId="30" fillId="5" borderId="0" xfId="0" applyFont="1" applyFill="1" applyAlignment="1">
      <alignment vertical="center"/>
    </xf>
    <xf numFmtId="0" fontId="10" fillId="5" borderId="0" xfId="0" applyFont="1" applyFill="1" applyAlignment="1">
      <alignment horizontal="left" vertical="center"/>
    </xf>
    <xf numFmtId="49" fontId="0" fillId="5" borderId="0" xfId="0" applyNumberFormat="1" applyFill="1" applyAlignment="1">
      <alignment vertical="center"/>
    </xf>
    <xf numFmtId="0" fontId="16" fillId="5" borderId="0" xfId="0" applyFont="1" applyFill="1" applyAlignment="1">
      <alignment horizontal="right" vertical="center"/>
    </xf>
    <xf numFmtId="49" fontId="0" fillId="3" borderId="0" xfId="0" applyNumberFormat="1" applyFill="1" applyAlignment="1">
      <alignment vertical="center"/>
    </xf>
    <xf numFmtId="0" fontId="16" fillId="3" borderId="0" xfId="0" applyFont="1" applyFill="1" applyAlignment="1">
      <alignment horizontal="right" vertical="center"/>
    </xf>
    <xf numFmtId="0" fontId="26" fillId="0" borderId="0" xfId="0" applyFont="1" applyAlignment="1">
      <alignment horizontal="center" vertical="center"/>
    </xf>
    <xf numFmtId="0" fontId="51" fillId="4" borderId="0" xfId="0" applyFont="1" applyFill="1" applyAlignment="1">
      <alignment horizontal="center" vertical="center"/>
    </xf>
    <xf numFmtId="49" fontId="17" fillId="3" borderId="0" xfId="0" applyNumberFormat="1" applyFont="1" applyFill="1" applyAlignment="1">
      <alignment vertical="center"/>
    </xf>
    <xf numFmtId="0" fontId="18" fillId="3" borderId="0" xfId="0" applyFont="1" applyFill="1" applyAlignment="1">
      <alignment vertical="center"/>
    </xf>
    <xf numFmtId="0" fontId="26" fillId="3" borderId="0" xfId="0" applyFont="1" applyFill="1" applyAlignment="1">
      <alignment vertical="center"/>
    </xf>
    <xf numFmtId="0" fontId="14" fillId="3" borderId="0" xfId="0" applyFont="1" applyFill="1" applyAlignment="1">
      <alignment horizontal="right" vertical="center"/>
    </xf>
    <xf numFmtId="0" fontId="0" fillId="3" borderId="0" xfId="0" applyFill="1" applyAlignment="1">
      <alignment horizontal="center" vertical="center" shrinkToFit="1"/>
    </xf>
    <xf numFmtId="0" fontId="0" fillId="0" borderId="24" xfId="0" applyBorder="1" applyAlignment="1" applyProtection="1">
      <alignment horizontal="center" vertical="center"/>
      <protection locked="0"/>
    </xf>
    <xf numFmtId="0" fontId="2" fillId="0" borderId="1" xfId="5" applyBorder="1">
      <alignment vertical="center"/>
    </xf>
    <xf numFmtId="0" fontId="2" fillId="0" borderId="0" xfId="5">
      <alignment vertical="center"/>
    </xf>
    <xf numFmtId="14" fontId="2" fillId="0" borderId="1" xfId="5" applyNumberFormat="1" applyBorder="1">
      <alignment vertical="center"/>
    </xf>
    <xf numFmtId="5" fontId="2" fillId="0" borderId="1" xfId="5" applyNumberFormat="1" applyBorder="1">
      <alignment vertical="center"/>
    </xf>
    <xf numFmtId="49" fontId="0" fillId="0" borderId="0" xfId="0" applyNumberFormat="1" applyAlignment="1">
      <alignment vertical="center"/>
    </xf>
    <xf numFmtId="0" fontId="53" fillId="8" borderId="0" xfId="0" applyFont="1" applyFill="1" applyAlignment="1">
      <alignment horizontal="center" vertical="center"/>
    </xf>
    <xf numFmtId="0" fontId="27" fillId="4" borderId="35" xfId="3" applyFont="1" applyFill="1" applyBorder="1" applyAlignment="1" applyProtection="1">
      <alignment horizontal="right" vertical="center"/>
      <protection hidden="1"/>
    </xf>
    <xf numFmtId="0" fontId="0" fillId="0" borderId="0" xfId="0" applyAlignment="1">
      <alignment horizontal="center" vertical="center"/>
    </xf>
    <xf numFmtId="0" fontId="0" fillId="0" borderId="24" xfId="0" applyBorder="1" applyAlignment="1">
      <alignment vertical="center" shrinkToFit="1"/>
    </xf>
    <xf numFmtId="0" fontId="0" fillId="22" borderId="102" xfId="0" applyFill="1" applyBorder="1" applyAlignment="1" applyProtection="1">
      <alignment vertical="center"/>
      <protection locked="0"/>
    </xf>
    <xf numFmtId="0" fontId="32" fillId="4" borderId="35" xfId="3" applyFont="1" applyFill="1" applyBorder="1" applyProtection="1">
      <alignment vertical="center"/>
      <protection hidden="1"/>
    </xf>
    <xf numFmtId="14" fontId="27" fillId="4" borderId="35" xfId="3" applyNumberFormat="1" applyFont="1" applyFill="1" applyBorder="1" applyProtection="1">
      <alignment vertical="center"/>
      <protection hidden="1"/>
    </xf>
    <xf numFmtId="0" fontId="27" fillId="4" borderId="0" xfId="3" applyFont="1" applyFill="1" applyAlignment="1" applyProtection="1">
      <alignment horizontal="right" vertical="center"/>
      <protection hidden="1"/>
    </xf>
    <xf numFmtId="0" fontId="27" fillId="4" borderId="0" xfId="3" applyFont="1" applyFill="1" applyAlignment="1" applyProtection="1">
      <alignment vertical="top"/>
      <protection hidden="1"/>
    </xf>
    <xf numFmtId="0" fontId="27" fillId="4" borderId="0" xfId="3" applyFont="1" applyFill="1" applyAlignment="1" applyProtection="1">
      <alignment horizontal="center" vertical="center" wrapText="1"/>
      <protection hidden="1"/>
    </xf>
    <xf numFmtId="0" fontId="27" fillId="4" borderId="0" xfId="3" applyFont="1" applyFill="1" applyAlignment="1" applyProtection="1">
      <alignment horizontal="left" vertical="center" wrapText="1"/>
      <protection hidden="1"/>
    </xf>
    <xf numFmtId="0" fontId="27" fillId="23" borderId="0" xfId="3" applyFont="1" applyFill="1" applyProtection="1">
      <alignment vertical="center"/>
      <protection hidden="1"/>
    </xf>
    <xf numFmtId="0" fontId="27" fillId="23" borderId="0" xfId="3" applyFont="1" applyFill="1" applyAlignment="1" applyProtection="1">
      <alignment horizontal="left" vertical="center"/>
      <protection hidden="1"/>
    </xf>
    <xf numFmtId="0" fontId="31" fillId="4" borderId="0" xfId="3" applyFont="1" applyFill="1" applyAlignment="1" applyProtection="1">
      <alignment vertical="top"/>
      <protection hidden="1"/>
    </xf>
    <xf numFmtId="0" fontId="27" fillId="23" borderId="0" xfId="3" applyFont="1" applyFill="1" applyAlignment="1" applyProtection="1">
      <alignment horizontal="right" vertical="center"/>
      <protection hidden="1"/>
    </xf>
    <xf numFmtId="0" fontId="27" fillId="23" borderId="0" xfId="3" applyFont="1" applyFill="1" applyAlignment="1" applyProtection="1">
      <alignment horizontal="center" vertical="center"/>
      <protection hidden="1"/>
    </xf>
    <xf numFmtId="49" fontId="27" fillId="23" borderId="0" xfId="3" applyNumberFormat="1" applyFont="1" applyFill="1" applyAlignment="1" applyProtection="1">
      <alignment vertical="center" shrinkToFit="1"/>
      <protection hidden="1"/>
    </xf>
    <xf numFmtId="0" fontId="6" fillId="4" borderId="0" xfId="0" applyFont="1" applyFill="1" applyAlignment="1">
      <alignment vertical="center"/>
    </xf>
    <xf numFmtId="0" fontId="4" fillId="4" borderId="0" xfId="0" applyFont="1" applyFill="1" applyAlignment="1">
      <alignment horizontal="left" vertical="center"/>
    </xf>
    <xf numFmtId="0" fontId="6" fillId="4" borderId="0" xfId="0" applyFont="1" applyFill="1" applyAlignment="1">
      <alignment horizontal="center" vertical="center"/>
    </xf>
    <xf numFmtId="0" fontId="34" fillId="4" borderId="0" xfId="0" applyFont="1" applyFill="1" applyAlignment="1">
      <alignment horizontal="center" vertical="center"/>
    </xf>
    <xf numFmtId="0" fontId="4" fillId="4" borderId="0" xfId="0" applyFont="1" applyFill="1" applyAlignment="1">
      <alignment vertical="center"/>
    </xf>
    <xf numFmtId="0" fontId="34" fillId="4" borderId="1" xfId="0" applyFont="1" applyFill="1" applyBorder="1" applyAlignment="1" applyProtection="1">
      <alignment horizontal="center" vertical="center" shrinkToFit="1"/>
      <protection locked="0"/>
    </xf>
    <xf numFmtId="0" fontId="6" fillId="23" borderId="0" xfId="0" applyFont="1" applyFill="1" applyAlignment="1">
      <alignment vertical="center"/>
    </xf>
    <xf numFmtId="0" fontId="4" fillId="23" borderId="0" xfId="0" applyFont="1" applyFill="1" applyAlignment="1">
      <alignment vertical="center"/>
    </xf>
    <xf numFmtId="0" fontId="6" fillId="23" borderId="0" xfId="0" applyFont="1" applyFill="1" applyAlignment="1">
      <alignment horizontal="center" vertical="center"/>
    </xf>
    <xf numFmtId="0" fontId="7" fillId="23" borderId="0" xfId="0" applyFont="1" applyFill="1" applyAlignment="1">
      <alignment vertical="center"/>
    </xf>
    <xf numFmtId="0" fontId="6" fillId="4" borderId="0" xfId="0" applyFont="1" applyFill="1" applyAlignment="1" applyProtection="1">
      <alignment vertical="center"/>
      <protection hidden="1"/>
    </xf>
    <xf numFmtId="0" fontId="4" fillId="4" borderId="0" xfId="0" applyFont="1" applyFill="1" applyAlignment="1" applyProtection="1">
      <alignment horizontal="left" vertical="center"/>
      <protection hidden="1"/>
    </xf>
    <xf numFmtId="0" fontId="6" fillId="4" borderId="0" xfId="0" applyFont="1" applyFill="1" applyAlignment="1" applyProtection="1">
      <alignment horizontal="center" vertical="center"/>
      <protection hidden="1"/>
    </xf>
    <xf numFmtId="0" fontId="34" fillId="4" borderId="0" xfId="0" applyFont="1" applyFill="1" applyAlignment="1" applyProtection="1">
      <alignment horizontal="center" vertical="center"/>
      <protection hidden="1"/>
    </xf>
    <xf numFmtId="0" fontId="4" fillId="4" borderId="0" xfId="0" applyFont="1" applyFill="1" applyAlignment="1" applyProtection="1">
      <alignment vertical="center"/>
      <protection hidden="1"/>
    </xf>
    <xf numFmtId="0" fontId="34" fillId="4" borderId="1" xfId="0" applyFont="1" applyFill="1" applyBorder="1" applyAlignment="1" applyProtection="1">
      <alignment horizontal="center" vertical="center" shrinkToFit="1"/>
      <protection hidden="1"/>
    </xf>
    <xf numFmtId="0" fontId="6" fillId="23" borderId="0" xfId="0" applyFont="1" applyFill="1" applyAlignment="1" applyProtection="1">
      <alignment vertical="center"/>
      <protection hidden="1"/>
    </xf>
    <xf numFmtId="0" fontId="4" fillId="23" borderId="0" xfId="0" applyFont="1" applyFill="1" applyAlignment="1" applyProtection="1">
      <alignment vertical="center"/>
      <protection hidden="1"/>
    </xf>
    <xf numFmtId="0" fontId="6" fillId="23" borderId="0" xfId="0" applyFont="1" applyFill="1" applyAlignment="1" applyProtection="1">
      <alignment horizontal="center" vertical="center"/>
      <protection hidden="1"/>
    </xf>
    <xf numFmtId="0" fontId="7" fillId="23" borderId="0" xfId="0" applyFont="1" applyFill="1" applyAlignment="1" applyProtection="1">
      <alignment vertical="center"/>
      <protection hidden="1"/>
    </xf>
    <xf numFmtId="0" fontId="34" fillId="4" borderId="0" xfId="0" applyFont="1" applyFill="1" applyAlignment="1" applyProtection="1">
      <alignment horizontal="right" vertical="center"/>
      <protection hidden="1"/>
    </xf>
    <xf numFmtId="0" fontId="4" fillId="4" borderId="0" xfId="0" applyFont="1" applyFill="1" applyProtection="1">
      <protection hidden="1"/>
    </xf>
    <xf numFmtId="0" fontId="6" fillId="4" borderId="0" xfId="0" applyFont="1" applyFill="1" applyAlignment="1" applyProtection="1">
      <alignment horizontal="right" vertical="center" wrapText="1"/>
      <protection hidden="1"/>
    </xf>
    <xf numFmtId="0" fontId="4" fillId="4" borderId="3" xfId="0" applyFont="1" applyFill="1" applyBorder="1" applyAlignment="1" applyProtection="1">
      <alignment horizontal="center" vertical="center"/>
      <protection hidden="1"/>
    </xf>
    <xf numFmtId="0" fontId="6" fillId="4" borderId="2" xfId="0" applyFont="1" applyFill="1" applyBorder="1" applyAlignment="1" applyProtection="1">
      <alignment horizontal="center" vertical="center"/>
      <protection hidden="1"/>
    </xf>
    <xf numFmtId="0" fontId="4" fillId="4" borderId="6" xfId="0" applyFont="1" applyFill="1" applyBorder="1" applyAlignment="1" applyProtection="1">
      <alignment horizontal="center" vertical="center"/>
      <protection hidden="1"/>
    </xf>
    <xf numFmtId="0" fontId="6" fillId="4" borderId="5" xfId="0" applyFont="1" applyFill="1" applyBorder="1" applyAlignment="1" applyProtection="1">
      <alignment horizontal="center" vertical="center"/>
      <protection hidden="1"/>
    </xf>
    <xf numFmtId="38" fontId="34" fillId="4" borderId="11" xfId="2" applyFont="1" applyFill="1" applyBorder="1" applyAlignment="1" applyProtection="1">
      <alignment horizontal="right" vertical="center"/>
      <protection hidden="1"/>
    </xf>
    <xf numFmtId="38" fontId="34" fillId="4" borderId="12" xfId="2" applyFont="1" applyFill="1" applyBorder="1" applyAlignment="1" applyProtection="1">
      <alignment horizontal="right" vertical="center"/>
      <protection hidden="1"/>
    </xf>
    <xf numFmtId="38" fontId="34" fillId="4" borderId="1" xfId="2" applyFont="1" applyFill="1" applyBorder="1" applyAlignment="1" applyProtection="1">
      <alignment horizontal="right" vertical="center"/>
      <protection hidden="1"/>
    </xf>
    <xf numFmtId="38" fontId="6" fillId="4" borderId="1" xfId="2" applyFont="1" applyFill="1" applyBorder="1" applyAlignment="1" applyProtection="1">
      <alignment horizontal="center" vertical="center" wrapText="1"/>
      <protection hidden="1"/>
    </xf>
    <xf numFmtId="38" fontId="34" fillId="4" borderId="13" xfId="2" applyFont="1" applyFill="1" applyBorder="1" applyAlignment="1" applyProtection="1">
      <alignment horizontal="right" vertical="center"/>
      <protection hidden="1"/>
    </xf>
    <xf numFmtId="38" fontId="6" fillId="4" borderId="1" xfId="2" applyFont="1" applyFill="1" applyBorder="1" applyAlignment="1" applyProtection="1">
      <alignment horizontal="center" vertical="center"/>
      <protection hidden="1"/>
    </xf>
    <xf numFmtId="0" fontId="6" fillId="4" borderId="2" xfId="0" applyFont="1" applyFill="1" applyBorder="1" applyAlignment="1" applyProtection="1">
      <alignment horizontal="left" vertical="center"/>
      <protection hidden="1"/>
    </xf>
    <xf numFmtId="0" fontId="6" fillId="4" borderId="8" xfId="0" applyFont="1" applyFill="1" applyBorder="1" applyAlignment="1" applyProtection="1">
      <alignment horizontal="center" vertical="center"/>
      <protection hidden="1"/>
    </xf>
    <xf numFmtId="0" fontId="6" fillId="4" borderId="5" xfId="0" applyFont="1" applyFill="1" applyBorder="1" applyAlignment="1" applyProtection="1">
      <alignment vertical="center"/>
      <protection hidden="1"/>
    </xf>
    <xf numFmtId="0" fontId="9" fillId="4" borderId="0" xfId="0" applyFont="1" applyFill="1" applyAlignment="1" applyProtection="1">
      <alignment vertical="center"/>
      <protection hidden="1"/>
    </xf>
    <xf numFmtId="0" fontId="6" fillId="23" borderId="0" xfId="0" applyFont="1" applyFill="1" applyAlignment="1" applyProtection="1">
      <alignment vertical="center" wrapText="1"/>
      <protection hidden="1"/>
    </xf>
    <xf numFmtId="0" fontId="6" fillId="4" borderId="0" xfId="0" applyFont="1" applyFill="1" applyAlignment="1" applyProtection="1">
      <alignment vertical="center" wrapText="1"/>
      <protection hidden="1"/>
    </xf>
    <xf numFmtId="0" fontId="4" fillId="4" borderId="0" xfId="0" applyFont="1" applyFill="1" applyAlignment="1" applyProtection="1">
      <alignment vertical="top" wrapText="1"/>
      <protection hidden="1"/>
    </xf>
    <xf numFmtId="0" fontId="4" fillId="4" borderId="0" xfId="0" applyFont="1" applyFill="1" applyAlignment="1" applyProtection="1">
      <alignment vertical="center" wrapText="1"/>
      <protection hidden="1"/>
    </xf>
    <xf numFmtId="0" fontId="4" fillId="4" borderId="0" xfId="0" applyFont="1" applyFill="1" applyAlignment="1" applyProtection="1">
      <alignment horizontal="center" vertical="top" wrapText="1"/>
      <protection hidden="1"/>
    </xf>
    <xf numFmtId="0" fontId="4" fillId="4" borderId="0" xfId="0" applyFont="1" applyFill="1" applyAlignment="1" applyProtection="1">
      <alignment horizontal="right" vertical="top" wrapText="1"/>
      <protection hidden="1"/>
    </xf>
    <xf numFmtId="0" fontId="6" fillId="4" borderId="0" xfId="0" applyFont="1" applyFill="1" applyAlignment="1" applyProtection="1">
      <alignment horizontal="right" vertical="center"/>
      <protection hidden="1"/>
    </xf>
    <xf numFmtId="49" fontId="6" fillId="4" borderId="0" xfId="0" applyNumberFormat="1" applyFont="1" applyFill="1" applyAlignment="1" applyProtection="1">
      <alignment vertical="center"/>
      <protection hidden="1"/>
    </xf>
    <xf numFmtId="0" fontId="6" fillId="4" borderId="0" xfId="0" applyFont="1" applyFill="1" applyAlignment="1" applyProtection="1">
      <alignment horizontal="distributed" vertical="center"/>
      <protection hidden="1"/>
    </xf>
    <xf numFmtId="49" fontId="4" fillId="4" borderId="0" xfId="0" applyNumberFormat="1" applyFont="1" applyFill="1" applyAlignment="1" applyProtection="1">
      <alignment vertical="center"/>
      <protection hidden="1"/>
    </xf>
    <xf numFmtId="0" fontId="7" fillId="4" borderId="0" xfId="0" applyFont="1" applyFill="1" applyAlignment="1" applyProtection="1">
      <alignment vertical="center"/>
      <protection hidden="1"/>
    </xf>
    <xf numFmtId="0" fontId="0" fillId="23" borderId="0" xfId="0" applyFill="1" applyAlignment="1">
      <alignment vertical="center"/>
    </xf>
    <xf numFmtId="0" fontId="0" fillId="23" borderId="0" xfId="0" applyFill="1" applyAlignment="1">
      <alignment vertical="center" shrinkToFit="1"/>
    </xf>
    <xf numFmtId="0" fontId="0" fillId="23" borderId="0" xfId="0" applyFill="1"/>
    <xf numFmtId="0" fontId="0" fillId="4" borderId="0" xfId="0" applyFill="1" applyAlignment="1">
      <alignment vertical="center"/>
    </xf>
    <xf numFmtId="0" fontId="0" fillId="4" borderId="0" xfId="0" applyFill="1"/>
    <xf numFmtId="0" fontId="48" fillId="4" borderId="0" xfId="0" applyFont="1" applyFill="1"/>
    <xf numFmtId="0" fontId="0" fillId="4" borderId="0" xfId="0" applyFill="1" applyAlignment="1">
      <alignment vertical="top"/>
    </xf>
    <xf numFmtId="5" fontId="0" fillId="4" borderId="24" xfId="0" applyNumberFormat="1" applyFill="1" applyBorder="1" applyAlignment="1" applyProtection="1">
      <alignment horizontal="right" vertical="center"/>
      <protection locked="0"/>
    </xf>
    <xf numFmtId="38" fontId="48" fillId="4" borderId="0" xfId="2" applyFont="1" applyFill="1" applyAlignment="1"/>
    <xf numFmtId="0" fontId="32" fillId="4" borderId="0" xfId="0" applyFont="1" applyFill="1" applyAlignment="1">
      <alignment horizontal="right"/>
    </xf>
    <xf numFmtId="0" fontId="26" fillId="4" borderId="0" xfId="0" applyFont="1" applyFill="1" applyAlignment="1">
      <alignment horizontal="center" vertical="center"/>
    </xf>
    <xf numFmtId="49" fontId="0" fillId="4" borderId="0" xfId="0" applyNumberFormat="1" applyFill="1" applyAlignment="1">
      <alignment vertical="center"/>
    </xf>
    <xf numFmtId="0" fontId="0" fillId="4" borderId="0" xfId="0" applyFill="1" applyAlignment="1">
      <alignment horizontal="right" vertical="center"/>
    </xf>
    <xf numFmtId="0" fontId="10" fillId="4" borderId="0" xfId="0" applyFont="1" applyFill="1" applyAlignment="1">
      <alignment vertical="center"/>
    </xf>
    <xf numFmtId="176" fontId="0" fillId="4" borderId="0" xfId="0" applyNumberFormat="1" applyFill="1" applyAlignment="1">
      <alignment horizontal="center" vertical="center"/>
    </xf>
    <xf numFmtId="0" fontId="0" fillId="23" borderId="0" xfId="0" applyFill="1" applyAlignment="1">
      <alignment horizontal="right" vertical="center"/>
    </xf>
    <xf numFmtId="0" fontId="26" fillId="4" borderId="0" xfId="0" applyFont="1" applyFill="1" applyAlignment="1">
      <alignment vertical="center"/>
    </xf>
    <xf numFmtId="49" fontId="1" fillId="0" borderId="1" xfId="5" applyNumberFormat="1" applyFont="1" applyBorder="1">
      <alignment vertical="center"/>
    </xf>
    <xf numFmtId="0" fontId="55" fillId="23" borderId="0" xfId="0" applyFont="1" applyFill="1" applyAlignment="1">
      <alignment vertical="center"/>
    </xf>
    <xf numFmtId="0" fontId="0" fillId="4" borderId="0" xfId="0" applyFill="1" applyAlignment="1">
      <alignment vertical="center" shrinkToFit="1"/>
    </xf>
    <xf numFmtId="0" fontId="17" fillId="4" borderId="0" xfId="0" applyFont="1" applyFill="1" applyAlignment="1">
      <alignment vertical="center"/>
    </xf>
    <xf numFmtId="5" fontId="55" fillId="23" borderId="0" xfId="0" applyNumberFormat="1" applyFont="1" applyFill="1"/>
    <xf numFmtId="0" fontId="55" fillId="23" borderId="0" xfId="0" applyFont="1" applyFill="1"/>
    <xf numFmtId="0" fontId="0" fillId="4" borderId="0" xfId="0" applyFill="1" applyAlignment="1">
      <alignment horizontal="right"/>
    </xf>
    <xf numFmtId="0" fontId="56" fillId="23" borderId="0" xfId="0" applyFont="1" applyFill="1"/>
    <xf numFmtId="0" fontId="11" fillId="9" borderId="0" xfId="0" applyFont="1" applyFill="1" applyAlignment="1">
      <alignment horizontal="center" vertical="center"/>
    </xf>
    <xf numFmtId="0" fontId="51" fillId="4" borderId="0" xfId="0" applyFont="1" applyFill="1" applyAlignment="1">
      <alignment horizontal="center" vertical="center"/>
    </xf>
    <xf numFmtId="0" fontId="0" fillId="5" borderId="0" xfId="0" applyFill="1" applyAlignment="1">
      <alignment horizontal="right" vertical="center" shrinkToFit="1"/>
    </xf>
    <xf numFmtId="0" fontId="0" fillId="5" borderId="31" xfId="0" applyFill="1" applyBorder="1" applyAlignment="1">
      <alignment horizontal="right" vertical="center" shrinkToFit="1"/>
    </xf>
    <xf numFmtId="0" fontId="47" fillId="3" borderId="0" xfId="4" applyFill="1" applyAlignment="1" applyProtection="1">
      <alignment horizontal="center" vertical="center" shrinkToFit="1"/>
      <protection locked="0"/>
    </xf>
    <xf numFmtId="0" fontId="0" fillId="3" borderId="0" xfId="0" applyFill="1" applyAlignment="1">
      <alignment horizontal="center" vertical="center" shrinkToFit="1"/>
    </xf>
    <xf numFmtId="0" fontId="0" fillId="3" borderId="31" xfId="0" applyFill="1" applyBorder="1" applyAlignment="1">
      <alignment horizontal="center" vertical="center" shrinkToFit="1"/>
    </xf>
    <xf numFmtId="0" fontId="39" fillId="5" borderId="0" xfId="0" applyFont="1" applyFill="1" applyAlignment="1">
      <alignment horizontal="left" vertical="center" wrapText="1"/>
    </xf>
    <xf numFmtId="0" fontId="0" fillId="4" borderId="25" xfId="0" applyFill="1" applyBorder="1" applyAlignment="1" applyProtection="1">
      <alignment horizontal="left" vertical="center"/>
      <protection locked="0"/>
    </xf>
    <xf numFmtId="0" fontId="0" fillId="4" borderId="27" xfId="0" applyFill="1" applyBorder="1" applyAlignment="1" applyProtection="1">
      <alignment horizontal="left" vertical="center"/>
      <protection locked="0"/>
    </xf>
    <xf numFmtId="0" fontId="0" fillId="4" borderId="26" xfId="0" applyFill="1" applyBorder="1" applyAlignment="1" applyProtection="1">
      <alignment horizontal="left" vertical="center"/>
      <protection locked="0"/>
    </xf>
    <xf numFmtId="0" fontId="39" fillId="3" borderId="0" xfId="0" applyFont="1" applyFill="1" applyAlignment="1">
      <alignment horizontal="left" vertical="top" wrapText="1"/>
    </xf>
    <xf numFmtId="0" fontId="0" fillId="5" borderId="0" xfId="0" applyFill="1" applyAlignment="1">
      <alignment horizontal="center" vertical="center" shrinkToFit="1"/>
    </xf>
    <xf numFmtId="0" fontId="0" fillId="5" borderId="31" xfId="0" applyFill="1" applyBorder="1" applyAlignment="1">
      <alignment horizontal="center" vertical="center" shrinkToFit="1"/>
    </xf>
    <xf numFmtId="0" fontId="0" fillId="3" borderId="0" xfId="0" applyFill="1" applyAlignment="1">
      <alignment horizontal="right" vertical="center"/>
    </xf>
    <xf numFmtId="0" fontId="0" fillId="3" borderId="31" xfId="0" applyFill="1" applyBorder="1" applyAlignment="1">
      <alignment horizontal="right" vertical="center"/>
    </xf>
    <xf numFmtId="0" fontId="0" fillId="0" borderId="25" xfId="0" applyBorder="1" applyAlignment="1" applyProtection="1">
      <alignment horizontal="left" vertical="center" shrinkToFit="1"/>
      <protection locked="0"/>
    </xf>
    <xf numFmtId="0" fontId="0" fillId="0" borderId="27" xfId="0" applyBorder="1" applyAlignment="1" applyProtection="1">
      <alignment horizontal="left" vertical="center" shrinkToFit="1"/>
      <protection locked="0"/>
    </xf>
    <xf numFmtId="0" fontId="0" fillId="0" borderId="26" xfId="0" applyBorder="1" applyAlignment="1" applyProtection="1">
      <alignment horizontal="left" vertical="center" shrinkToFit="1"/>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49" fontId="0" fillId="0" borderId="25" xfId="0" applyNumberFormat="1" applyBorder="1" applyAlignment="1" applyProtection="1">
      <alignment horizontal="left" vertical="center" shrinkToFit="1"/>
      <protection locked="0"/>
    </xf>
    <xf numFmtId="49" fontId="0" fillId="0" borderId="27" xfId="0" applyNumberFormat="1" applyBorder="1" applyAlignment="1" applyProtection="1">
      <alignment horizontal="left" vertical="center" shrinkToFit="1"/>
      <protection locked="0"/>
    </xf>
    <xf numFmtId="49" fontId="0" fillId="0" borderId="26" xfId="0" applyNumberFormat="1" applyBorder="1" applyAlignment="1" applyProtection="1">
      <alignment horizontal="left" vertical="center" shrinkToFit="1"/>
      <protection locked="0"/>
    </xf>
    <xf numFmtId="0" fontId="48" fillId="4" borderId="0" xfId="0" applyFont="1" applyFill="1" applyAlignment="1">
      <alignment horizontal="center" vertical="center"/>
    </xf>
    <xf numFmtId="5" fontId="0" fillId="6" borderId="28" xfId="0" applyNumberFormat="1" applyFill="1" applyBorder="1" applyAlignment="1">
      <alignment horizontal="right" vertical="center"/>
    </xf>
    <xf numFmtId="5" fontId="0" fillId="6" borderId="30" xfId="0" applyNumberFormat="1" applyFill="1" applyBorder="1" applyAlignment="1">
      <alignment horizontal="right" vertical="center"/>
    </xf>
    <xf numFmtId="5" fontId="0" fillId="6" borderId="29" xfId="0" applyNumberFormat="1" applyFill="1" applyBorder="1" applyAlignment="1">
      <alignment horizontal="right" vertical="center"/>
    </xf>
    <xf numFmtId="5" fontId="0" fillId="4" borderId="25" xfId="0" applyNumberFormat="1" applyFill="1" applyBorder="1" applyAlignment="1" applyProtection="1">
      <alignment horizontal="right" vertical="center"/>
      <protection locked="0"/>
    </xf>
    <xf numFmtId="5" fontId="0" fillId="4" borderId="27" xfId="0" applyNumberFormat="1" applyFill="1" applyBorder="1" applyAlignment="1" applyProtection="1">
      <alignment horizontal="right" vertical="center"/>
      <protection locked="0"/>
    </xf>
    <xf numFmtId="5" fontId="0" fillId="4" borderId="26" xfId="0" applyNumberFormat="1" applyFill="1" applyBorder="1" applyAlignment="1" applyProtection="1">
      <alignment horizontal="right" vertical="center"/>
      <protection locked="0"/>
    </xf>
    <xf numFmtId="5" fontId="0" fillId="6" borderId="25" xfId="0" applyNumberFormat="1" applyFill="1" applyBorder="1" applyAlignment="1">
      <alignment horizontal="right" vertical="center"/>
    </xf>
    <xf numFmtId="5" fontId="0" fillId="6" borderId="27" xfId="0" applyNumberFormat="1" applyFill="1" applyBorder="1" applyAlignment="1">
      <alignment horizontal="right" vertical="center"/>
    </xf>
    <xf numFmtId="5" fontId="0" fillId="6" borderId="26" xfId="0" applyNumberFormat="1" applyFill="1" applyBorder="1" applyAlignment="1">
      <alignment horizontal="right" vertical="center"/>
    </xf>
    <xf numFmtId="178" fontId="0" fillId="4" borderId="25" xfId="0" applyNumberFormat="1" applyFill="1" applyBorder="1" applyAlignment="1" applyProtection="1">
      <alignment horizontal="center" vertical="center"/>
      <protection locked="0"/>
    </xf>
    <xf numFmtId="178" fontId="0" fillId="4" borderId="27" xfId="0" applyNumberFormat="1" applyFill="1" applyBorder="1" applyAlignment="1" applyProtection="1">
      <alignment horizontal="center" vertical="center"/>
      <protection locked="0"/>
    </xf>
    <xf numFmtId="178" fontId="0" fillId="4" borderId="26" xfId="0" applyNumberFormat="1" applyFill="1" applyBorder="1" applyAlignment="1" applyProtection="1">
      <alignment horizontal="center" vertical="center"/>
      <protection locked="0"/>
    </xf>
    <xf numFmtId="0" fontId="0" fillId="4" borderId="25" xfId="0" applyFill="1" applyBorder="1" applyAlignment="1" applyProtection="1">
      <alignment horizontal="left" vertical="center" wrapText="1"/>
      <protection locked="0"/>
    </xf>
    <xf numFmtId="0" fontId="0" fillId="4" borderId="27" xfId="0" applyFill="1" applyBorder="1" applyAlignment="1" applyProtection="1">
      <alignment horizontal="left" vertical="center" wrapText="1"/>
      <protection locked="0"/>
    </xf>
    <xf numFmtId="49" fontId="0" fillId="4" borderId="25" xfId="0" applyNumberFormat="1" applyFill="1" applyBorder="1" applyAlignment="1" applyProtection="1">
      <alignment horizontal="left" vertical="center"/>
      <protection locked="0"/>
    </xf>
    <xf numFmtId="49" fontId="0" fillId="4" borderId="27" xfId="0" applyNumberFormat="1" applyFill="1" applyBorder="1" applyAlignment="1" applyProtection="1">
      <alignment horizontal="left" vertical="center"/>
      <protection locked="0"/>
    </xf>
    <xf numFmtId="49" fontId="0" fillId="4" borderId="26" xfId="0" applyNumberFormat="1" applyFill="1" applyBorder="1" applyAlignment="1" applyProtection="1">
      <alignment horizontal="left" vertical="center"/>
      <protection locked="0"/>
    </xf>
    <xf numFmtId="0" fontId="26" fillId="0" borderId="0" xfId="0" applyFont="1" applyAlignment="1">
      <alignment horizontal="center" vertical="center"/>
    </xf>
    <xf numFmtId="0" fontId="0" fillId="6" borderId="25" xfId="0" applyFill="1" applyBorder="1" applyAlignment="1">
      <alignment horizontal="center" vertical="center" shrinkToFit="1"/>
    </xf>
    <xf numFmtId="0" fontId="0" fillId="6" borderId="26" xfId="0" applyFill="1" applyBorder="1" applyAlignment="1">
      <alignment horizontal="center" vertical="center" shrinkToFit="1"/>
    </xf>
    <xf numFmtId="0" fontId="0" fillId="4" borderId="25" xfId="0" applyFill="1" applyBorder="1" applyAlignment="1" applyProtection="1">
      <alignment horizontal="center" vertical="center" shrinkToFit="1"/>
      <protection locked="0"/>
    </xf>
    <xf numFmtId="0" fontId="0" fillId="4" borderId="26" xfId="0" applyFill="1" applyBorder="1" applyAlignment="1" applyProtection="1">
      <alignment horizontal="center" vertical="center" shrinkToFit="1"/>
      <protection locked="0"/>
    </xf>
    <xf numFmtId="0" fontId="0" fillId="5" borderId="0" xfId="0" applyFill="1" applyAlignment="1">
      <alignment horizontal="center" vertical="center"/>
    </xf>
    <xf numFmtId="0" fontId="52" fillId="8" borderId="0" xfId="0" applyFont="1" applyFill="1" applyAlignment="1">
      <alignment horizontal="center" vertical="center"/>
    </xf>
    <xf numFmtId="0" fontId="53" fillId="8" borderId="0" xfId="0" applyFont="1" applyFill="1" applyAlignment="1">
      <alignment horizontal="center" vertical="center"/>
    </xf>
    <xf numFmtId="178" fontId="0" fillId="0" borderId="25" xfId="0" applyNumberFormat="1" applyBorder="1" applyAlignment="1" applyProtection="1">
      <alignment horizontal="center" vertical="center"/>
      <protection locked="0"/>
    </xf>
    <xf numFmtId="178" fontId="0" fillId="0" borderId="27" xfId="0" applyNumberFormat="1" applyBorder="1" applyAlignment="1" applyProtection="1">
      <alignment horizontal="center" vertical="center"/>
      <protection locked="0"/>
    </xf>
    <xf numFmtId="178" fontId="0" fillId="0" borderId="26" xfId="0" applyNumberFormat="1" applyBorder="1" applyAlignment="1" applyProtection="1">
      <alignment horizontal="center" vertical="center"/>
      <protection locked="0"/>
    </xf>
    <xf numFmtId="49" fontId="0" fillId="0" borderId="25" xfId="0" applyNumberFormat="1" applyBorder="1" applyAlignment="1" applyProtection="1">
      <alignment horizontal="left" vertical="center"/>
      <protection locked="0"/>
    </xf>
    <xf numFmtId="49" fontId="0" fillId="0" borderId="27" xfId="0" applyNumberFormat="1" applyBorder="1" applyAlignment="1" applyProtection="1">
      <alignment horizontal="left" vertical="center"/>
      <protection locked="0"/>
    </xf>
    <xf numFmtId="49" fontId="0" fillId="0" borderId="26" xfId="0" applyNumberFormat="1" applyBorder="1" applyAlignment="1" applyProtection="1">
      <alignment horizontal="left" vertical="center"/>
      <protection locked="0"/>
    </xf>
    <xf numFmtId="0" fontId="0" fillId="5" borderId="0" xfId="0" applyFill="1" applyAlignment="1">
      <alignment horizontal="right" vertical="center"/>
    </xf>
    <xf numFmtId="0" fontId="0" fillId="5" borderId="31" xfId="0" applyFill="1" applyBorder="1" applyAlignment="1">
      <alignment horizontal="right" vertical="center"/>
    </xf>
    <xf numFmtId="0" fontId="0" fillId="0" borderId="27" xfId="0" applyBorder="1" applyAlignment="1" applyProtection="1">
      <alignment horizontal="center" vertical="center"/>
      <protection locked="0"/>
    </xf>
    <xf numFmtId="0" fontId="0" fillId="3" borderId="0" xfId="0" applyFill="1" applyAlignment="1">
      <alignment horizontal="center" vertical="center"/>
    </xf>
    <xf numFmtId="49" fontId="0" fillId="4" borderId="25" xfId="0" applyNumberFormat="1" applyFill="1" applyBorder="1" applyAlignment="1" applyProtection="1">
      <alignment horizontal="left" vertical="center" shrinkToFit="1"/>
      <protection locked="0"/>
    </xf>
    <xf numFmtId="49" fontId="0" fillId="4" borderId="27" xfId="0" applyNumberFormat="1" applyFill="1" applyBorder="1" applyAlignment="1" applyProtection="1">
      <alignment horizontal="left" vertical="center" shrinkToFit="1"/>
      <protection locked="0"/>
    </xf>
    <xf numFmtId="49" fontId="0" fillId="4" borderId="26" xfId="0" applyNumberFormat="1" applyFill="1" applyBorder="1" applyAlignment="1" applyProtection="1">
      <alignment horizontal="left" vertical="center" shrinkToFit="1"/>
      <protection locked="0"/>
    </xf>
    <xf numFmtId="0" fontId="0" fillId="0" borderId="25"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5" xfId="0" applyBorder="1" applyAlignment="1">
      <alignment horizontal="left" vertical="center"/>
    </xf>
    <xf numFmtId="0" fontId="0" fillId="0" borderId="27" xfId="0" applyBorder="1" applyAlignment="1">
      <alignment horizontal="left" vertical="center"/>
    </xf>
    <xf numFmtId="0" fontId="0" fillId="0" borderId="26" xfId="0" applyBorder="1" applyAlignment="1">
      <alignment horizontal="left" vertical="center"/>
    </xf>
    <xf numFmtId="0" fontId="0" fillId="4" borderId="25" xfId="0" applyFill="1" applyBorder="1" applyAlignment="1" applyProtection="1">
      <alignment horizontal="center" vertical="center"/>
      <protection locked="0"/>
    </xf>
    <xf numFmtId="0" fontId="0" fillId="4" borderId="26" xfId="0" applyFill="1" applyBorder="1" applyAlignment="1" applyProtection="1">
      <alignment horizontal="center" vertical="center"/>
      <protection locked="0"/>
    </xf>
    <xf numFmtId="5" fontId="0" fillId="0" borderId="25" xfId="0" applyNumberFormat="1" applyBorder="1" applyAlignment="1" applyProtection="1">
      <alignment horizontal="right" vertical="center"/>
      <protection locked="0"/>
    </xf>
    <xf numFmtId="5" fontId="0" fillId="0" borderId="27" xfId="0" applyNumberFormat="1" applyBorder="1" applyAlignment="1" applyProtection="1">
      <alignment horizontal="right" vertical="center"/>
      <protection locked="0"/>
    </xf>
    <xf numFmtId="5" fontId="0" fillId="0" borderId="26" xfId="0" applyNumberFormat="1" applyBorder="1" applyAlignment="1" applyProtection="1">
      <alignment horizontal="right" vertical="center"/>
      <protection locked="0"/>
    </xf>
    <xf numFmtId="14" fontId="0" fillId="0" borderId="25" xfId="0" applyNumberFormat="1" applyBorder="1" applyAlignment="1" applyProtection="1">
      <alignment horizontal="center" vertical="center" shrinkToFit="1"/>
      <protection locked="0"/>
    </xf>
    <xf numFmtId="14" fontId="0" fillId="0" borderId="27" xfId="0" applyNumberFormat="1" applyBorder="1" applyAlignment="1" applyProtection="1">
      <alignment horizontal="center" vertical="center" shrinkToFit="1"/>
      <protection locked="0"/>
    </xf>
    <xf numFmtId="14" fontId="0" fillId="0" borderId="26" xfId="0" applyNumberFormat="1" applyBorder="1" applyAlignment="1" applyProtection="1">
      <alignment horizontal="center" vertical="center" shrinkToFit="1"/>
      <protection locked="0"/>
    </xf>
    <xf numFmtId="0" fontId="0" fillId="23" borderId="0" xfId="0" applyFill="1" applyAlignment="1">
      <alignment horizontal="center" vertical="center"/>
    </xf>
    <xf numFmtId="0" fontId="21" fillId="5" borderId="0" xfId="0" applyFont="1" applyFill="1" applyAlignment="1">
      <alignment horizontal="right" vertical="center"/>
    </xf>
    <xf numFmtId="0" fontId="27" fillId="5" borderId="0" xfId="0" applyFont="1" applyFill="1" applyAlignment="1">
      <alignment horizontal="right" vertical="center"/>
    </xf>
    <xf numFmtId="0" fontId="27" fillId="5" borderId="31" xfId="0" applyFont="1" applyFill="1" applyBorder="1" applyAlignment="1">
      <alignment horizontal="right" vertical="center"/>
    </xf>
    <xf numFmtId="0" fontId="21" fillId="3" borderId="0" xfId="0" applyFont="1" applyFill="1" applyAlignment="1">
      <alignment horizontal="right" vertical="center"/>
    </xf>
    <xf numFmtId="0" fontId="27" fillId="3" borderId="0" xfId="0" applyFont="1" applyFill="1" applyAlignment="1">
      <alignment horizontal="right" vertical="center"/>
    </xf>
    <xf numFmtId="0" fontId="27" fillId="3" borderId="31" xfId="0" applyFont="1" applyFill="1" applyBorder="1" applyAlignment="1">
      <alignment horizontal="right" vertical="center"/>
    </xf>
    <xf numFmtId="0" fontId="0" fillId="3" borderId="0" xfId="0" applyFill="1" applyAlignment="1">
      <alignment horizontal="center"/>
    </xf>
    <xf numFmtId="0" fontId="0" fillId="5" borderId="0" xfId="0" applyFill="1" applyAlignment="1">
      <alignment horizontal="center"/>
    </xf>
    <xf numFmtId="0" fontId="47" fillId="4" borderId="0" xfId="4" applyFill="1" applyAlignment="1" applyProtection="1">
      <alignment horizontal="center"/>
      <protection locked="0"/>
    </xf>
    <xf numFmtId="0" fontId="0" fillId="14" borderId="0" xfId="0" applyFill="1" applyAlignment="1">
      <alignment horizontal="center" vertical="center"/>
    </xf>
    <xf numFmtId="0" fontId="0" fillId="14" borderId="0" xfId="0" applyFill="1" applyAlignment="1">
      <alignment horizontal="center" vertical="center" wrapText="1"/>
    </xf>
    <xf numFmtId="0" fontId="0" fillId="0" borderId="25" xfId="0" applyBorder="1" applyAlignment="1" applyProtection="1">
      <alignment horizontal="center"/>
      <protection locked="0"/>
    </xf>
    <xf numFmtId="0" fontId="0" fillId="0" borderId="26" xfId="0" applyBorder="1" applyAlignment="1" applyProtection="1">
      <alignment horizontal="center"/>
      <protection locked="0"/>
    </xf>
    <xf numFmtId="0" fontId="0" fillId="5" borderId="0" xfId="0" applyFill="1" applyAlignment="1">
      <alignment horizontal="left" vertical="center" shrinkToFit="1"/>
    </xf>
    <xf numFmtId="0" fontId="0" fillId="3" borderId="0" xfId="0" applyFill="1" applyAlignment="1">
      <alignment horizontal="left" vertical="center" shrinkToFit="1"/>
    </xf>
    <xf numFmtId="0" fontId="0" fillId="16" borderId="0" xfId="0" applyFill="1" applyAlignment="1">
      <alignment horizontal="left" vertical="center" shrinkToFit="1"/>
    </xf>
    <xf numFmtId="0" fontId="22" fillId="8" borderId="0" xfId="0" applyFont="1" applyFill="1" applyAlignment="1">
      <alignment horizontal="center" vertical="center"/>
    </xf>
    <xf numFmtId="0" fontId="0" fillId="14" borderId="0" xfId="0" applyFill="1" applyAlignment="1">
      <alignment horizontal="center" vertical="center" shrinkToFit="1"/>
    </xf>
    <xf numFmtId="0" fontId="0" fillId="15" borderId="0" xfId="0" applyFill="1" applyAlignment="1">
      <alignment horizontal="left" vertical="center" shrinkToFit="1"/>
    </xf>
    <xf numFmtId="0" fontId="20" fillId="4" borderId="0" xfId="0" applyFont="1" applyFill="1" applyAlignment="1">
      <alignment horizontal="center" vertical="center"/>
    </xf>
    <xf numFmtId="0" fontId="26" fillId="4" borderId="0" xfId="0" applyFont="1" applyFill="1" applyAlignment="1">
      <alignment horizontal="left" vertical="center" wrapText="1"/>
    </xf>
    <xf numFmtId="0" fontId="13" fillId="4" borderId="0" xfId="0" applyFont="1" applyFill="1" applyAlignment="1">
      <alignment horizontal="left" vertical="center" wrapText="1"/>
    </xf>
    <xf numFmtId="0" fontId="0" fillId="20" borderId="0" xfId="0" applyFill="1" applyAlignment="1">
      <alignment horizontal="left" vertical="center" shrinkToFit="1"/>
    </xf>
    <xf numFmtId="0" fontId="0" fillId="21" borderId="0" xfId="0" applyFill="1" applyAlignment="1">
      <alignment horizontal="left" vertical="center" shrinkToFit="1"/>
    </xf>
    <xf numFmtId="0" fontId="0" fillId="4" borderId="27" xfId="0" applyFill="1" applyBorder="1" applyAlignment="1" applyProtection="1">
      <alignment horizontal="center" vertical="center"/>
      <protection locked="0"/>
    </xf>
    <xf numFmtId="0" fontId="0" fillId="14" borderId="25" xfId="0" applyFill="1" applyBorder="1" applyAlignment="1" applyProtection="1">
      <alignment horizontal="left" vertical="center" shrinkToFit="1"/>
      <protection locked="0"/>
    </xf>
    <xf numFmtId="0" fontId="0" fillId="14" borderId="27" xfId="0" applyFill="1" applyBorder="1" applyAlignment="1" applyProtection="1">
      <alignment horizontal="left" vertical="center" shrinkToFit="1"/>
      <protection locked="0"/>
    </xf>
    <xf numFmtId="0" fontId="0" fillId="14" borderId="26" xfId="0" applyFill="1" applyBorder="1" applyAlignment="1" applyProtection="1">
      <alignment horizontal="left" vertical="center" shrinkToFit="1"/>
      <protection locked="0"/>
    </xf>
    <xf numFmtId="0" fontId="0" fillId="4" borderId="25" xfId="0" applyFill="1" applyBorder="1" applyAlignment="1" applyProtection="1">
      <alignment horizontal="left" vertical="center" shrinkToFit="1"/>
      <protection locked="0"/>
    </xf>
    <xf numFmtId="0" fontId="0" fillId="4" borderId="27" xfId="0" applyFill="1" applyBorder="1" applyAlignment="1" applyProtection="1">
      <alignment horizontal="left" vertical="center" shrinkToFit="1"/>
      <protection locked="0"/>
    </xf>
    <xf numFmtId="0" fontId="0" fillId="4" borderId="26" xfId="0" applyFill="1" applyBorder="1" applyAlignment="1" applyProtection="1">
      <alignment horizontal="left" vertical="center" shrinkToFit="1"/>
      <protection locked="0"/>
    </xf>
    <xf numFmtId="0" fontId="0" fillId="14" borderId="25" xfId="0" applyFill="1" applyBorder="1" applyAlignment="1" applyProtection="1">
      <alignment horizontal="left" vertical="center"/>
      <protection locked="0"/>
    </xf>
    <xf numFmtId="0" fontId="0" fillId="14" borderId="27" xfId="0" applyFill="1" applyBorder="1" applyAlignment="1" applyProtection="1">
      <alignment horizontal="left" vertical="center"/>
      <protection locked="0"/>
    </xf>
    <xf numFmtId="0" fontId="0" fillId="14" borderId="26" xfId="0" applyFill="1" applyBorder="1" applyAlignment="1" applyProtection="1">
      <alignment horizontal="left" vertical="center"/>
      <protection locked="0"/>
    </xf>
    <xf numFmtId="0" fontId="16" fillId="4" borderId="25" xfId="0" applyFont="1" applyFill="1" applyBorder="1" applyAlignment="1">
      <alignment horizontal="left" vertical="center"/>
    </xf>
    <xf numFmtId="0" fontId="16" fillId="4" borderId="27" xfId="0" applyFont="1" applyFill="1" applyBorder="1" applyAlignment="1">
      <alignment horizontal="left" vertical="center"/>
    </xf>
    <xf numFmtId="0" fontId="16" fillId="4" borderId="26" xfId="0" applyFont="1" applyFill="1" applyBorder="1" applyAlignment="1">
      <alignment horizontal="left" vertical="center"/>
    </xf>
    <xf numFmtId="0" fontId="0" fillId="0" borderId="25" xfId="0"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0" fillId="4" borderId="25" xfId="0" applyFill="1" applyBorder="1" applyAlignment="1">
      <alignment horizontal="center" vertical="center"/>
    </xf>
    <xf numFmtId="0" fontId="0" fillId="4" borderId="27" xfId="0" applyFill="1" applyBorder="1" applyAlignment="1">
      <alignment horizontal="center" vertical="center"/>
    </xf>
    <xf numFmtId="0" fontId="0" fillId="4" borderId="26" xfId="0" applyFill="1" applyBorder="1" applyAlignment="1">
      <alignment horizontal="center" vertical="center"/>
    </xf>
    <xf numFmtId="0" fontId="0" fillId="3" borderId="0" xfId="0" applyFill="1" applyAlignment="1">
      <alignment horizontal="right" vertical="center" shrinkToFit="1"/>
    </xf>
    <xf numFmtId="14" fontId="0" fillId="4" borderId="25" xfId="0" applyNumberFormat="1" applyFill="1" applyBorder="1" applyAlignment="1" applyProtection="1">
      <alignment horizontal="left" vertical="center" shrinkToFit="1"/>
      <protection locked="0"/>
    </xf>
    <xf numFmtId="14" fontId="0" fillId="4" borderId="27" xfId="0" applyNumberFormat="1" applyFill="1" applyBorder="1" applyAlignment="1" applyProtection="1">
      <alignment horizontal="left" vertical="center" shrinkToFit="1"/>
      <protection locked="0"/>
    </xf>
    <xf numFmtId="14" fontId="0" fillId="4" borderId="26" xfId="0" applyNumberFormat="1" applyFill="1" applyBorder="1" applyAlignment="1" applyProtection="1">
      <alignment horizontal="left" vertical="center" shrinkToFit="1"/>
      <protection locked="0"/>
    </xf>
    <xf numFmtId="0" fontId="0" fillId="4" borderId="25" xfId="0" applyFill="1" applyBorder="1" applyAlignment="1">
      <alignment vertical="center"/>
    </xf>
    <xf numFmtId="0" fontId="0" fillId="4" borderId="27" xfId="0" applyFill="1" applyBorder="1" applyAlignment="1">
      <alignment vertical="center"/>
    </xf>
    <xf numFmtId="0" fontId="0" fillId="4" borderId="26" xfId="0" applyFill="1" applyBorder="1" applyAlignment="1">
      <alignment vertical="center"/>
    </xf>
    <xf numFmtId="14" fontId="0" fillId="4" borderId="25" xfId="0" applyNumberFormat="1" applyFill="1" applyBorder="1" applyAlignment="1" applyProtection="1">
      <alignment horizontal="center" vertical="center" shrinkToFit="1"/>
      <protection locked="0"/>
    </xf>
    <xf numFmtId="14" fontId="0" fillId="4" borderId="27" xfId="0" applyNumberFormat="1" applyFill="1" applyBorder="1" applyAlignment="1" applyProtection="1">
      <alignment horizontal="center" vertical="center" shrinkToFit="1"/>
      <protection locked="0"/>
    </xf>
    <xf numFmtId="0" fontId="0" fillId="14" borderId="25" xfId="0" applyFill="1" applyBorder="1" applyAlignment="1">
      <alignment horizontal="left" vertical="center"/>
    </xf>
    <xf numFmtId="0" fontId="0" fillId="14" borderId="27" xfId="0" applyFill="1" applyBorder="1" applyAlignment="1">
      <alignment horizontal="left" vertical="center"/>
    </xf>
    <xf numFmtId="0" fontId="0" fillId="14" borderId="26" xfId="0" applyFill="1" applyBorder="1" applyAlignment="1">
      <alignment horizontal="left" vertical="center"/>
    </xf>
    <xf numFmtId="0" fontId="11" fillId="10" borderId="0" xfId="0" applyFont="1" applyFill="1" applyAlignment="1">
      <alignment horizontal="center" vertical="center"/>
    </xf>
    <xf numFmtId="0" fontId="12" fillId="10" borderId="0" xfId="0" applyFont="1" applyFill="1" applyAlignment="1">
      <alignment horizontal="center" vertical="center"/>
    </xf>
    <xf numFmtId="176" fontId="0" fillId="4" borderId="25" xfId="0" applyNumberFormat="1" applyFill="1" applyBorder="1" applyAlignment="1" applyProtection="1">
      <alignment horizontal="left" vertical="center"/>
      <protection locked="0"/>
    </xf>
    <xf numFmtId="176" fontId="0" fillId="4" borderId="27" xfId="0" applyNumberFormat="1" applyFill="1" applyBorder="1" applyAlignment="1" applyProtection="1">
      <alignment horizontal="left" vertical="center"/>
      <protection locked="0"/>
    </xf>
    <xf numFmtId="176" fontId="0" fillId="4" borderId="26" xfId="0" applyNumberFormat="1" applyFill="1" applyBorder="1" applyAlignment="1" applyProtection="1">
      <alignment horizontal="left" vertical="center"/>
      <protection locked="0"/>
    </xf>
    <xf numFmtId="0" fontId="0" fillId="4" borderId="25" xfId="0" applyFill="1" applyBorder="1"/>
    <xf numFmtId="0" fontId="0" fillId="4" borderId="27" xfId="0" applyFill="1" applyBorder="1"/>
    <xf numFmtId="0" fontId="0" fillId="4" borderId="26" xfId="0" applyFill="1" applyBorder="1"/>
    <xf numFmtId="0" fontId="23" fillId="10" borderId="0" xfId="0" applyFont="1" applyFill="1" applyAlignment="1">
      <alignment horizontal="center" vertical="center"/>
    </xf>
    <xf numFmtId="0" fontId="24" fillId="10" borderId="0" xfId="0" applyFont="1" applyFill="1" applyAlignment="1">
      <alignment horizontal="center" vertical="center"/>
    </xf>
    <xf numFmtId="0" fontId="6" fillId="4" borderId="0" xfId="0" applyFont="1" applyFill="1" applyAlignment="1" applyProtection="1">
      <alignment horizontal="distributed" vertical="center"/>
      <protection hidden="1"/>
    </xf>
    <xf numFmtId="177" fontId="36" fillId="4" borderId="0" xfId="0" applyNumberFormat="1" applyFont="1" applyFill="1" applyAlignment="1" applyProtection="1">
      <alignment horizontal="right" vertical="center"/>
      <protection hidden="1"/>
    </xf>
    <xf numFmtId="0" fontId="35" fillId="4" borderId="0" xfId="0" applyFont="1" applyFill="1" applyAlignment="1" applyProtection="1">
      <alignment horizontal="left" vertical="top" wrapText="1" shrinkToFit="1"/>
      <protection hidden="1"/>
    </xf>
    <xf numFmtId="0" fontId="36" fillId="4" borderId="0" xfId="0" applyFont="1" applyFill="1" applyAlignment="1" applyProtection="1">
      <alignment horizontal="left" vertical="top" wrapText="1"/>
      <protection hidden="1"/>
    </xf>
    <xf numFmtId="0" fontId="34" fillId="4" borderId="0" xfId="0" applyFont="1" applyFill="1" applyAlignment="1" applyProtection="1">
      <alignment horizontal="center" vertical="center" shrinkToFit="1"/>
      <protection hidden="1"/>
    </xf>
    <xf numFmtId="0" fontId="4" fillId="4" borderId="0" xfId="0" applyFont="1" applyFill="1" applyAlignment="1" applyProtection="1">
      <alignment horizontal="distributed" vertical="center"/>
      <protection hidden="1"/>
    </xf>
    <xf numFmtId="0" fontId="4" fillId="4" borderId="0" xfId="0" applyFont="1" applyFill="1" applyAlignment="1" applyProtection="1">
      <alignment horizontal="center" vertical="top" wrapText="1"/>
      <protection hidden="1"/>
    </xf>
    <xf numFmtId="0" fontId="4" fillId="4" borderId="0" xfId="0" applyFont="1" applyFill="1" applyAlignment="1" applyProtection="1">
      <alignment horizontal="right" vertical="center"/>
      <protection hidden="1"/>
    </xf>
    <xf numFmtId="0" fontId="4" fillId="4" borderId="0" xfId="0" applyFont="1" applyFill="1" applyAlignment="1" applyProtection="1">
      <alignment horizontal="right" vertical="top" wrapText="1"/>
      <protection hidden="1"/>
    </xf>
    <xf numFmtId="0" fontId="34" fillId="4" borderId="0" xfId="0" applyFont="1" applyFill="1" applyAlignment="1" applyProtection="1">
      <alignment horizontal="left" vertical="top" shrinkToFit="1"/>
      <protection hidden="1"/>
    </xf>
    <xf numFmtId="0" fontId="35" fillId="4" borderId="0" xfId="0" applyFont="1" applyFill="1" applyAlignment="1" applyProtection="1">
      <alignment horizontal="left" vertical="center" shrinkToFit="1"/>
      <protection hidden="1"/>
    </xf>
    <xf numFmtId="0" fontId="34" fillId="4" borderId="0" xfId="0" applyFont="1" applyFill="1" applyAlignment="1" applyProtection="1">
      <alignment horizontal="left" vertical="top" wrapText="1" shrinkToFit="1"/>
      <protection hidden="1"/>
    </xf>
    <xf numFmtId="0" fontId="34" fillId="4" borderId="14" xfId="0" applyFont="1" applyFill="1" applyBorder="1" applyAlignment="1" applyProtection="1">
      <alignment horizontal="left" vertical="top" wrapText="1" shrinkToFit="1"/>
      <protection hidden="1"/>
    </xf>
    <xf numFmtId="0" fontId="34" fillId="4" borderId="6" xfId="0" applyFont="1" applyFill="1" applyBorder="1" applyAlignment="1" applyProtection="1">
      <alignment horizontal="left" vertical="top" wrapText="1" shrinkToFit="1"/>
      <protection hidden="1"/>
    </xf>
    <xf numFmtId="0" fontId="34" fillId="4" borderId="7" xfId="0" applyFont="1" applyFill="1" applyBorder="1" applyAlignment="1" applyProtection="1">
      <alignment horizontal="left" vertical="top" wrapText="1" shrinkToFit="1"/>
      <protection hidden="1"/>
    </xf>
    <xf numFmtId="0" fontId="6" fillId="4" borderId="19" xfId="0" applyFont="1" applyFill="1" applyBorder="1" applyAlignment="1" applyProtection="1">
      <alignment horizontal="center" vertical="center"/>
      <protection hidden="1"/>
    </xf>
    <xf numFmtId="0" fontId="6" fillId="4" borderId="23" xfId="0" applyFont="1" applyFill="1" applyBorder="1" applyAlignment="1" applyProtection="1">
      <alignment horizontal="center" vertical="center"/>
      <protection hidden="1"/>
    </xf>
    <xf numFmtId="0" fontId="6" fillId="4" borderId="20" xfId="0" applyFont="1" applyFill="1" applyBorder="1" applyAlignment="1" applyProtection="1">
      <alignment horizontal="center" vertical="center"/>
      <protection hidden="1"/>
    </xf>
    <xf numFmtId="0" fontId="34" fillId="4" borderId="3" xfId="0" applyFont="1" applyFill="1" applyBorder="1" applyAlignment="1" applyProtection="1">
      <alignment horizontal="left" vertical="center"/>
      <protection hidden="1"/>
    </xf>
    <xf numFmtId="0" fontId="34" fillId="4" borderId="4" xfId="0" applyFont="1" applyFill="1" applyBorder="1" applyAlignment="1" applyProtection="1">
      <alignment horizontal="left" vertical="center"/>
      <protection hidden="1"/>
    </xf>
    <xf numFmtId="0" fontId="35" fillId="4" borderId="2" xfId="0" applyFont="1" applyFill="1" applyBorder="1" applyAlignment="1" applyProtection="1">
      <alignment horizontal="left" vertical="center" shrinkToFit="1"/>
      <protection hidden="1"/>
    </xf>
    <xf numFmtId="0" fontId="35" fillId="4" borderId="3" xfId="0" applyFont="1" applyFill="1" applyBorder="1" applyAlignment="1" applyProtection="1">
      <alignment horizontal="left" vertical="center" shrinkToFit="1"/>
      <protection hidden="1"/>
    </xf>
    <xf numFmtId="0" fontId="35" fillId="4" borderId="4" xfId="0" applyFont="1" applyFill="1" applyBorder="1" applyAlignment="1" applyProtection="1">
      <alignment horizontal="left" vertical="center" shrinkToFit="1"/>
      <protection hidden="1"/>
    </xf>
    <xf numFmtId="0" fontId="34" fillId="4" borderId="2" xfId="0" applyFont="1" applyFill="1" applyBorder="1" applyAlignment="1" applyProtection="1">
      <alignment horizontal="center" vertical="center"/>
      <protection hidden="1"/>
    </xf>
    <xf numFmtId="0" fontId="34" fillId="4" borderId="3" xfId="0" applyFont="1" applyFill="1" applyBorder="1" applyAlignment="1" applyProtection="1">
      <alignment horizontal="center" vertical="center"/>
      <protection hidden="1"/>
    </xf>
    <xf numFmtId="0" fontId="34" fillId="4" borderId="4" xfId="0" applyFont="1" applyFill="1" applyBorder="1" applyAlignment="1" applyProtection="1">
      <alignment horizontal="center" vertical="center"/>
      <protection hidden="1"/>
    </xf>
    <xf numFmtId="0" fontId="34" fillId="4" borderId="8" xfId="0" applyFont="1" applyFill="1" applyBorder="1" applyAlignment="1" applyProtection="1">
      <alignment horizontal="center" vertical="center"/>
      <protection hidden="1"/>
    </xf>
    <xf numFmtId="0" fontId="34" fillId="4" borderId="0" xfId="0" applyFont="1" applyFill="1" applyAlignment="1" applyProtection="1">
      <alignment horizontal="center" vertical="center"/>
      <protection hidden="1"/>
    </xf>
    <xf numFmtId="0" fontId="34" fillId="4" borderId="14" xfId="0" applyFont="1" applyFill="1" applyBorder="1" applyAlignment="1" applyProtection="1">
      <alignment horizontal="center" vertical="center"/>
      <protection hidden="1"/>
    </xf>
    <xf numFmtId="0" fontId="34" fillId="4" borderId="5" xfId="0" applyFont="1" applyFill="1" applyBorder="1" applyAlignment="1" applyProtection="1">
      <alignment horizontal="center" vertical="center"/>
      <protection hidden="1"/>
    </xf>
    <xf numFmtId="0" fontId="34" fillId="4" borderId="6" xfId="0" applyFont="1" applyFill="1" applyBorder="1" applyAlignment="1" applyProtection="1">
      <alignment horizontal="center" vertical="center"/>
      <protection hidden="1"/>
    </xf>
    <xf numFmtId="0" fontId="34" fillId="4" borderId="7" xfId="0" applyFont="1" applyFill="1" applyBorder="1" applyAlignment="1" applyProtection="1">
      <alignment horizontal="center" vertical="center"/>
      <protection hidden="1"/>
    </xf>
    <xf numFmtId="0" fontId="35" fillId="4" borderId="8" xfId="0" applyFont="1" applyFill="1" applyBorder="1" applyAlignment="1" applyProtection="1">
      <alignment horizontal="left" vertical="center" shrinkToFit="1"/>
      <protection hidden="1"/>
    </xf>
    <xf numFmtId="0" fontId="35" fillId="4" borderId="14" xfId="0" applyFont="1" applyFill="1" applyBorder="1" applyAlignment="1" applyProtection="1">
      <alignment horizontal="left" vertical="center" shrinkToFit="1"/>
      <protection hidden="1"/>
    </xf>
    <xf numFmtId="0" fontId="35" fillId="4" borderId="5" xfId="0" applyFont="1" applyFill="1" applyBorder="1" applyAlignment="1" applyProtection="1">
      <alignment horizontal="center" vertical="center" shrinkToFit="1"/>
      <protection hidden="1"/>
    </xf>
    <xf numFmtId="0" fontId="35" fillId="4" borderId="6" xfId="0" applyFont="1" applyFill="1" applyBorder="1" applyAlignment="1" applyProtection="1">
      <alignment horizontal="center" vertical="center" shrinkToFit="1"/>
      <protection hidden="1"/>
    </xf>
    <xf numFmtId="0" fontId="35" fillId="4" borderId="7" xfId="0" applyFont="1" applyFill="1" applyBorder="1" applyAlignment="1" applyProtection="1">
      <alignment horizontal="center" vertical="center" shrinkToFit="1"/>
      <protection hidden="1"/>
    </xf>
    <xf numFmtId="38" fontId="34" fillId="4" borderId="15" xfId="2" applyFont="1" applyFill="1" applyBorder="1" applyAlignment="1" applyProtection="1">
      <alignment horizontal="right" vertical="center"/>
      <protection hidden="1"/>
    </xf>
    <xf numFmtId="38" fontId="34" fillId="4" borderId="16" xfId="2" applyFont="1" applyFill="1" applyBorder="1" applyAlignment="1" applyProtection="1">
      <alignment horizontal="right" vertical="center"/>
      <protection hidden="1"/>
    </xf>
    <xf numFmtId="38" fontId="34" fillId="4" borderId="19" xfId="2" applyFont="1" applyFill="1" applyBorder="1" applyAlignment="1" applyProtection="1">
      <alignment horizontal="right" vertical="center"/>
      <protection hidden="1"/>
    </xf>
    <xf numFmtId="38" fontId="34" fillId="4" borderId="20" xfId="2" applyFont="1" applyFill="1" applyBorder="1" applyAlignment="1" applyProtection="1">
      <alignment horizontal="right" vertical="center"/>
      <protection hidden="1"/>
    </xf>
    <xf numFmtId="38" fontId="34" fillId="4" borderId="17" xfId="2" applyFont="1" applyFill="1" applyBorder="1" applyAlignment="1" applyProtection="1">
      <alignment horizontal="right" vertical="center"/>
      <protection hidden="1"/>
    </xf>
    <xf numFmtId="38" fontId="34" fillId="4" borderId="18" xfId="2" applyFont="1" applyFill="1" applyBorder="1" applyAlignment="1" applyProtection="1">
      <alignment horizontal="right" vertical="center"/>
      <protection hidden="1"/>
    </xf>
    <xf numFmtId="38" fontId="34" fillId="4" borderId="21" xfId="2" applyFont="1" applyFill="1" applyBorder="1" applyAlignment="1" applyProtection="1">
      <alignment horizontal="right" vertical="center"/>
      <protection hidden="1"/>
    </xf>
    <xf numFmtId="38" fontId="34" fillId="4" borderId="22" xfId="2" applyFont="1" applyFill="1" applyBorder="1" applyAlignment="1" applyProtection="1">
      <alignment horizontal="right" vertical="center"/>
      <protection hidden="1"/>
    </xf>
    <xf numFmtId="0" fontId="6" fillId="4" borderId="2" xfId="0" applyFont="1" applyFill="1" applyBorder="1" applyAlignment="1" applyProtection="1">
      <alignment horizontal="center" vertical="center"/>
      <protection hidden="1"/>
    </xf>
    <xf numFmtId="0" fontId="6" fillId="4" borderId="4" xfId="0" applyFont="1" applyFill="1" applyBorder="1" applyAlignment="1" applyProtection="1">
      <alignment horizontal="center" vertical="center"/>
      <protection hidden="1"/>
    </xf>
    <xf numFmtId="0" fontId="6" fillId="4" borderId="5" xfId="0" applyFont="1" applyFill="1" applyBorder="1" applyAlignment="1" applyProtection="1">
      <alignment horizontal="center" vertical="center"/>
      <protection hidden="1"/>
    </xf>
    <xf numFmtId="0" fontId="6" fillId="4" borderId="7" xfId="0" applyFont="1" applyFill="1" applyBorder="1" applyAlignment="1" applyProtection="1">
      <alignment horizontal="center" vertical="center"/>
      <protection hidden="1"/>
    </xf>
    <xf numFmtId="0" fontId="6" fillId="4" borderId="15" xfId="0" applyFont="1" applyFill="1" applyBorder="1" applyAlignment="1" applyProtection="1">
      <alignment horizontal="center" vertical="center" wrapText="1"/>
      <protection hidden="1"/>
    </xf>
    <xf numFmtId="0" fontId="6" fillId="4" borderId="16" xfId="0" applyFont="1" applyFill="1" applyBorder="1" applyAlignment="1" applyProtection="1">
      <alignment horizontal="center" vertical="center" wrapText="1"/>
      <protection hidden="1"/>
    </xf>
    <xf numFmtId="0" fontId="6" fillId="4" borderId="21" xfId="0" applyFont="1" applyFill="1" applyBorder="1" applyAlignment="1" applyProtection="1">
      <alignment horizontal="center" vertical="center"/>
      <protection hidden="1"/>
    </xf>
    <xf numFmtId="0" fontId="6" fillId="4" borderId="22" xfId="0" applyFont="1" applyFill="1" applyBorder="1" applyAlignment="1" applyProtection="1">
      <alignment horizontal="center" vertical="center"/>
      <protection hidden="1"/>
    </xf>
    <xf numFmtId="0" fontId="4" fillId="4" borderId="19" xfId="0" applyFont="1" applyFill="1" applyBorder="1" applyAlignment="1" applyProtection="1">
      <alignment horizontal="center" vertical="center"/>
      <protection hidden="1"/>
    </xf>
    <xf numFmtId="0" fontId="4" fillId="4" borderId="23" xfId="0" applyFont="1" applyFill="1" applyBorder="1" applyAlignment="1" applyProtection="1">
      <alignment horizontal="center" vertical="center"/>
      <protection hidden="1"/>
    </xf>
    <xf numFmtId="0" fontId="4" fillId="4" borderId="20" xfId="0" applyFont="1" applyFill="1" applyBorder="1" applyAlignment="1" applyProtection="1">
      <alignment horizontal="center" vertical="center"/>
      <protection hidden="1"/>
    </xf>
    <xf numFmtId="0" fontId="6" fillId="4" borderId="17" xfId="0" applyFont="1" applyFill="1" applyBorder="1" applyAlignment="1" applyProtection="1">
      <alignment horizontal="center" vertical="center"/>
      <protection hidden="1"/>
    </xf>
    <xf numFmtId="0" fontId="6" fillId="4" borderId="18" xfId="0" applyFont="1" applyFill="1" applyBorder="1" applyAlignment="1" applyProtection="1">
      <alignment horizontal="center" vertical="center"/>
      <protection hidden="1"/>
    </xf>
    <xf numFmtId="0" fontId="9" fillId="4" borderId="8" xfId="0" applyFont="1" applyFill="1" applyBorder="1" applyAlignment="1" applyProtection="1">
      <alignment horizontal="center" vertical="top" wrapText="1" shrinkToFit="1"/>
      <protection hidden="1"/>
    </xf>
    <xf numFmtId="0" fontId="9" fillId="4" borderId="0" xfId="0" applyFont="1" applyFill="1" applyAlignment="1" applyProtection="1">
      <alignment horizontal="center" vertical="top" wrapText="1" shrinkToFit="1"/>
      <protection hidden="1"/>
    </xf>
    <xf numFmtId="0" fontId="9" fillId="4" borderId="14" xfId="0" applyFont="1" applyFill="1" applyBorder="1" applyAlignment="1" applyProtection="1">
      <alignment horizontal="center" vertical="top" wrapText="1" shrinkToFit="1"/>
      <protection hidden="1"/>
    </xf>
    <xf numFmtId="0" fontId="9" fillId="4" borderId="5" xfId="0" applyFont="1" applyFill="1" applyBorder="1" applyAlignment="1" applyProtection="1">
      <alignment horizontal="center" vertical="top" wrapText="1" shrinkToFit="1"/>
      <protection hidden="1"/>
    </xf>
    <xf numFmtId="0" fontId="9" fillId="4" borderId="6" xfId="0" applyFont="1" applyFill="1" applyBorder="1" applyAlignment="1" applyProtection="1">
      <alignment horizontal="center" vertical="top" wrapText="1" shrinkToFit="1"/>
      <protection hidden="1"/>
    </xf>
    <xf numFmtId="0" fontId="9" fillId="4" borderId="7" xfId="0" applyFont="1" applyFill="1" applyBorder="1" applyAlignment="1" applyProtection="1">
      <alignment horizontal="center" vertical="top" wrapText="1" shrinkToFit="1"/>
      <protection hidden="1"/>
    </xf>
    <xf numFmtId="0" fontId="6" fillId="4" borderId="2" xfId="0" applyFont="1" applyFill="1" applyBorder="1" applyAlignment="1" applyProtection="1">
      <alignment horizontal="center" vertical="center" wrapText="1"/>
      <protection hidden="1"/>
    </xf>
    <xf numFmtId="0" fontId="6" fillId="4" borderId="3" xfId="0" applyFont="1" applyFill="1" applyBorder="1" applyAlignment="1" applyProtection="1">
      <alignment horizontal="center" vertical="center" wrapText="1"/>
      <protection hidden="1"/>
    </xf>
    <xf numFmtId="0" fontId="6" fillId="4" borderId="4" xfId="0" applyFont="1" applyFill="1" applyBorder="1" applyAlignment="1" applyProtection="1">
      <alignment horizontal="center" vertical="center" wrapText="1"/>
      <protection hidden="1"/>
    </xf>
    <xf numFmtId="0" fontId="6" fillId="4" borderId="8" xfId="0" applyFont="1" applyFill="1" applyBorder="1" applyAlignment="1" applyProtection="1">
      <alignment horizontal="center" vertical="center" wrapText="1"/>
      <protection hidden="1"/>
    </xf>
    <xf numFmtId="0" fontId="6" fillId="4" borderId="0" xfId="0" applyFont="1" applyFill="1" applyAlignment="1" applyProtection="1">
      <alignment horizontal="center" vertical="center" wrapText="1"/>
      <protection hidden="1"/>
    </xf>
    <xf numFmtId="0" fontId="6" fillId="4" borderId="14" xfId="0" applyFont="1" applyFill="1" applyBorder="1" applyAlignment="1" applyProtection="1">
      <alignment horizontal="center" vertical="center" wrapText="1"/>
      <protection hidden="1"/>
    </xf>
    <xf numFmtId="0" fontId="6" fillId="4" borderId="5" xfId="0" applyFont="1" applyFill="1" applyBorder="1" applyAlignment="1" applyProtection="1">
      <alignment horizontal="center" vertical="center" wrapText="1"/>
      <protection hidden="1"/>
    </xf>
    <xf numFmtId="0" fontId="6" fillId="4" borderId="6" xfId="0" applyFont="1" applyFill="1" applyBorder="1" applyAlignment="1" applyProtection="1">
      <alignment horizontal="center" vertical="center" wrapText="1"/>
      <protection hidden="1"/>
    </xf>
    <xf numFmtId="0" fontId="6" fillId="4" borderId="7" xfId="0" applyFont="1" applyFill="1" applyBorder="1" applyAlignment="1" applyProtection="1">
      <alignment horizontal="center" vertical="center" wrapText="1"/>
      <protection hidden="1"/>
    </xf>
    <xf numFmtId="38" fontId="6" fillId="4" borderId="32" xfId="2" applyFont="1" applyFill="1" applyBorder="1" applyAlignment="1" applyProtection="1">
      <alignment horizontal="center" vertical="center"/>
      <protection hidden="1"/>
    </xf>
    <xf numFmtId="38" fontId="6" fillId="4" borderId="34" xfId="2" applyFont="1" applyFill="1" applyBorder="1" applyAlignment="1" applyProtection="1">
      <alignment horizontal="center" vertical="center"/>
      <protection hidden="1"/>
    </xf>
    <xf numFmtId="38" fontId="6" fillId="4" borderId="33" xfId="2" applyFont="1" applyFill="1" applyBorder="1" applyAlignment="1" applyProtection="1">
      <alignment horizontal="center" vertical="center"/>
      <protection hidden="1"/>
    </xf>
    <xf numFmtId="0" fontId="4" fillId="4" borderId="2" xfId="0" applyFont="1" applyFill="1" applyBorder="1" applyAlignment="1" applyProtection="1">
      <alignment horizontal="center" vertical="center"/>
      <protection hidden="1"/>
    </xf>
    <xf numFmtId="0" fontId="4" fillId="4" borderId="3" xfId="0" applyFont="1" applyFill="1" applyBorder="1" applyAlignment="1" applyProtection="1">
      <alignment horizontal="center" vertical="center"/>
      <protection hidden="1"/>
    </xf>
    <xf numFmtId="0" fontId="4" fillId="4" borderId="5" xfId="0" applyFont="1" applyFill="1" applyBorder="1" applyAlignment="1" applyProtection="1">
      <alignment horizontal="center" vertical="center"/>
      <protection hidden="1"/>
    </xf>
    <xf numFmtId="0" fontId="4" fillId="4" borderId="6" xfId="0" applyFont="1" applyFill="1" applyBorder="1" applyAlignment="1" applyProtection="1">
      <alignment horizontal="center" vertical="center"/>
      <protection hidden="1"/>
    </xf>
    <xf numFmtId="0" fontId="6" fillId="4" borderId="9" xfId="0" applyFont="1" applyFill="1" applyBorder="1" applyAlignment="1" applyProtection="1">
      <alignment horizontal="center" vertical="center"/>
      <protection hidden="1"/>
    </xf>
    <xf numFmtId="0" fontId="6" fillId="4" borderId="10" xfId="0" applyFont="1" applyFill="1" applyBorder="1" applyAlignment="1" applyProtection="1">
      <alignment horizontal="center" vertical="center"/>
      <protection hidden="1"/>
    </xf>
    <xf numFmtId="0" fontId="6" fillId="4" borderId="15" xfId="0" applyFont="1" applyFill="1" applyBorder="1" applyAlignment="1" applyProtection="1">
      <alignment horizontal="center" vertical="center"/>
      <protection hidden="1"/>
    </xf>
    <xf numFmtId="0" fontId="6" fillId="4" borderId="16" xfId="0" applyFont="1" applyFill="1" applyBorder="1" applyAlignment="1" applyProtection="1">
      <alignment horizontal="center" vertical="center"/>
      <protection hidden="1"/>
    </xf>
    <xf numFmtId="0" fontId="6" fillId="23" borderId="0" xfId="0" applyFont="1" applyFill="1" applyAlignment="1" applyProtection="1">
      <alignment horizontal="distributed" vertical="center"/>
      <protection hidden="1"/>
    </xf>
    <xf numFmtId="0" fontId="35" fillId="4" borderId="19" xfId="0" applyFont="1" applyFill="1" applyBorder="1" applyAlignment="1" applyProtection="1">
      <alignment horizontal="center" vertical="center" shrinkToFit="1"/>
      <protection hidden="1"/>
    </xf>
    <xf numFmtId="0" fontId="35" fillId="4" borderId="20" xfId="0" applyFont="1" applyFill="1" applyBorder="1" applyAlignment="1" applyProtection="1">
      <alignment horizontal="center" vertical="center" shrinkToFit="1"/>
      <protection hidden="1"/>
    </xf>
    <xf numFmtId="0" fontId="6" fillId="4" borderId="1" xfId="0" applyFont="1" applyFill="1" applyBorder="1" applyAlignment="1" applyProtection="1">
      <alignment horizontal="center" vertical="center"/>
      <protection hidden="1"/>
    </xf>
    <xf numFmtId="0" fontId="6" fillId="4" borderId="0" xfId="0" applyFont="1" applyFill="1" applyAlignment="1" applyProtection="1">
      <alignment horizontal="center" vertical="center"/>
      <protection hidden="1"/>
    </xf>
    <xf numFmtId="0" fontId="6" fillId="4" borderId="9" xfId="0" applyFont="1" applyFill="1" applyBorder="1" applyAlignment="1" applyProtection="1">
      <alignment horizontal="center" vertical="center" wrapText="1"/>
      <protection hidden="1"/>
    </xf>
    <xf numFmtId="0" fontId="6" fillId="4" borderId="8" xfId="0" applyFont="1" applyFill="1" applyBorder="1" applyAlignment="1" applyProtection="1">
      <alignment horizontal="center" vertical="center"/>
      <protection hidden="1"/>
    </xf>
    <xf numFmtId="0" fontId="6" fillId="4" borderId="14" xfId="0" applyFont="1" applyFill="1" applyBorder="1" applyAlignment="1" applyProtection="1">
      <alignment horizontal="center" vertical="center"/>
      <protection hidden="1"/>
    </xf>
    <xf numFmtId="0" fontId="4" fillId="4" borderId="2" xfId="0" applyFont="1" applyFill="1" applyBorder="1" applyAlignment="1" applyProtection="1">
      <alignment horizontal="center" vertical="top"/>
      <protection hidden="1"/>
    </xf>
    <xf numFmtId="0" fontId="4" fillId="4" borderId="3" xfId="0" applyFont="1" applyFill="1" applyBorder="1" applyAlignment="1" applyProtection="1">
      <alignment horizontal="center" vertical="top"/>
      <protection hidden="1"/>
    </xf>
    <xf numFmtId="0" fontId="4" fillId="4" borderId="4" xfId="0" applyFont="1" applyFill="1" applyBorder="1" applyAlignment="1" applyProtection="1">
      <alignment horizontal="center" vertical="top"/>
      <protection hidden="1"/>
    </xf>
    <xf numFmtId="0" fontId="4" fillId="4" borderId="5" xfId="0" applyFont="1" applyFill="1" applyBorder="1" applyAlignment="1" applyProtection="1">
      <alignment horizontal="center" vertical="top"/>
      <protection hidden="1"/>
    </xf>
    <xf numFmtId="0" fontId="4" fillId="4" borderId="6" xfId="0" applyFont="1" applyFill="1" applyBorder="1" applyAlignment="1" applyProtection="1">
      <alignment horizontal="center" vertical="top"/>
      <protection hidden="1"/>
    </xf>
    <xf numFmtId="0" fontId="4" fillId="4" borderId="7" xfId="0" applyFont="1" applyFill="1" applyBorder="1" applyAlignment="1" applyProtection="1">
      <alignment horizontal="center" vertical="top"/>
      <protection hidden="1"/>
    </xf>
    <xf numFmtId="0" fontId="34" fillId="4" borderId="19" xfId="0" applyFont="1" applyFill="1" applyBorder="1" applyAlignment="1" applyProtection="1">
      <alignment horizontal="center" vertical="center" shrinkToFit="1"/>
      <protection hidden="1"/>
    </xf>
    <xf numFmtId="0" fontId="34" fillId="4" borderId="23" xfId="0" applyFont="1" applyFill="1" applyBorder="1" applyAlignment="1" applyProtection="1">
      <alignment horizontal="center" vertical="center" shrinkToFit="1"/>
      <protection hidden="1"/>
    </xf>
    <xf numFmtId="0" fontId="34" fillId="4" borderId="20" xfId="0" applyFont="1" applyFill="1" applyBorder="1" applyAlignment="1" applyProtection="1">
      <alignment horizontal="center" vertical="center" shrinkToFit="1"/>
      <protection hidden="1"/>
    </xf>
    <xf numFmtId="0" fontId="34" fillId="4" borderId="1" xfId="0" applyFont="1" applyFill="1" applyBorder="1" applyAlignment="1" applyProtection="1">
      <alignment horizontal="center" vertical="center" shrinkToFit="1"/>
      <protection hidden="1"/>
    </xf>
    <xf numFmtId="0" fontId="34" fillId="4" borderId="1" xfId="0" applyFont="1" applyFill="1" applyBorder="1" applyAlignment="1" applyProtection="1">
      <alignment horizontal="center" vertical="center" shrinkToFit="1"/>
      <protection locked="0"/>
    </xf>
    <xf numFmtId="0" fontId="35" fillId="4" borderId="1" xfId="0" applyFont="1" applyFill="1" applyBorder="1" applyAlignment="1" applyProtection="1">
      <alignment horizontal="center" vertical="center" shrinkToFit="1"/>
      <protection locked="0"/>
    </xf>
    <xf numFmtId="0" fontId="35" fillId="4" borderId="19" xfId="0" applyFont="1" applyFill="1" applyBorder="1" applyAlignment="1" applyProtection="1">
      <alignment horizontal="center" vertical="center" shrinkToFit="1"/>
      <protection locked="0"/>
    </xf>
    <xf numFmtId="0" fontId="35" fillId="4" borderId="20" xfId="0" applyFont="1" applyFill="1" applyBorder="1" applyAlignment="1" applyProtection="1">
      <alignment horizontal="center" vertical="center" shrinkToFit="1"/>
      <protection locked="0"/>
    </xf>
    <xf numFmtId="0" fontId="6" fillId="4" borderId="0" xfId="0" applyFont="1" applyFill="1" applyAlignment="1">
      <alignment horizontal="center" vertical="center"/>
    </xf>
    <xf numFmtId="0" fontId="6" fillId="4" borderId="1" xfId="0" applyFont="1" applyFill="1" applyBorder="1" applyAlignment="1">
      <alignment horizontal="center" vertical="center"/>
    </xf>
    <xf numFmtId="0" fontId="34" fillId="4" borderId="19" xfId="0" applyFont="1" applyFill="1" applyBorder="1" applyAlignment="1" applyProtection="1">
      <alignment horizontal="left" vertical="center"/>
      <protection locked="0"/>
    </xf>
    <xf numFmtId="0" fontId="34" fillId="4" borderId="23" xfId="0" applyFont="1" applyFill="1" applyBorder="1" applyAlignment="1" applyProtection="1">
      <alignment horizontal="left" vertical="center"/>
      <protection locked="0"/>
    </xf>
    <xf numFmtId="0" fontId="34" fillId="4" borderId="20" xfId="0" applyFont="1" applyFill="1" applyBorder="1" applyAlignment="1" applyProtection="1">
      <alignment horizontal="left" vertical="center"/>
      <protection locked="0"/>
    </xf>
    <xf numFmtId="0" fontId="4" fillId="4" borderId="2" xfId="0" applyFont="1" applyFill="1" applyBorder="1" applyAlignment="1">
      <alignment horizontal="center" vertical="top"/>
    </xf>
    <xf numFmtId="0" fontId="4" fillId="4" borderId="3" xfId="0" applyFont="1" applyFill="1" applyBorder="1" applyAlignment="1">
      <alignment horizontal="center" vertical="top"/>
    </xf>
    <xf numFmtId="0" fontId="4" fillId="4" borderId="4" xfId="0" applyFont="1" applyFill="1" applyBorder="1" applyAlignment="1">
      <alignment horizontal="center" vertical="top"/>
    </xf>
    <xf numFmtId="0" fontId="4" fillId="4" borderId="5" xfId="0" applyFont="1" applyFill="1" applyBorder="1" applyAlignment="1">
      <alignment horizontal="center" vertical="top"/>
    </xf>
    <xf numFmtId="0" fontId="4" fillId="4" borderId="6" xfId="0" applyFont="1" applyFill="1" applyBorder="1" applyAlignment="1">
      <alignment horizontal="center" vertical="top"/>
    </xf>
    <xf numFmtId="0" fontId="4" fillId="4" borderId="7" xfId="0" applyFont="1" applyFill="1" applyBorder="1" applyAlignment="1">
      <alignment horizontal="center" vertical="top"/>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xf>
    <xf numFmtId="0" fontId="6" fillId="4" borderId="9" xfId="0" applyFont="1" applyFill="1" applyBorder="1" applyAlignment="1">
      <alignment horizontal="center" vertical="center"/>
    </xf>
    <xf numFmtId="0" fontId="6" fillId="23" borderId="0" xfId="0" applyFont="1" applyFill="1" applyAlignment="1">
      <alignment horizontal="distributed" vertical="center"/>
    </xf>
    <xf numFmtId="0" fontId="27" fillId="11" borderId="46" xfId="3" applyFont="1" applyFill="1" applyBorder="1" applyAlignment="1" applyProtection="1">
      <alignment horizontal="center" vertical="center"/>
      <protection hidden="1"/>
    </xf>
    <xf numFmtId="0" fontId="27" fillId="11" borderId="47" xfId="3" applyFont="1" applyFill="1" applyBorder="1" applyAlignment="1" applyProtection="1">
      <alignment horizontal="center" vertical="center"/>
      <protection hidden="1"/>
    </xf>
    <xf numFmtId="0" fontId="27" fillId="11" borderId="22" xfId="3" applyFont="1" applyFill="1" applyBorder="1" applyAlignment="1" applyProtection="1">
      <alignment horizontal="center" vertical="center"/>
      <protection hidden="1"/>
    </xf>
    <xf numFmtId="0" fontId="43" fillId="0" borderId="49" xfId="3" applyFont="1" applyBorder="1" applyAlignment="1" applyProtection="1">
      <alignment horizontal="left" vertical="center" wrapText="1"/>
      <protection hidden="1"/>
    </xf>
    <xf numFmtId="0" fontId="43" fillId="0" borderId="50" xfId="3" applyFont="1" applyBorder="1" applyAlignment="1" applyProtection="1">
      <alignment horizontal="left" vertical="center" wrapText="1"/>
      <protection hidden="1"/>
    </xf>
    <xf numFmtId="0" fontId="43" fillId="0" borderId="51" xfId="3" applyFont="1" applyBorder="1" applyAlignment="1" applyProtection="1">
      <alignment horizontal="left" vertical="center" wrapText="1"/>
      <protection hidden="1"/>
    </xf>
    <xf numFmtId="0" fontId="43" fillId="0" borderId="21" xfId="3" applyFont="1" applyBorder="1" applyAlignment="1" applyProtection="1">
      <alignment horizontal="left" vertical="center" wrapText="1"/>
      <protection hidden="1"/>
    </xf>
    <xf numFmtId="0" fontId="43" fillId="0" borderId="47" xfId="3" applyFont="1" applyBorder="1" applyAlignment="1" applyProtection="1">
      <alignment horizontal="left" vertical="center" wrapText="1"/>
      <protection hidden="1"/>
    </xf>
    <xf numFmtId="0" fontId="43" fillId="0" borderId="52" xfId="3" applyFont="1" applyBorder="1" applyAlignment="1" applyProtection="1">
      <alignment horizontal="left" vertical="center" wrapText="1"/>
      <protection hidden="1"/>
    </xf>
    <xf numFmtId="0" fontId="27" fillId="11" borderId="53" xfId="3" applyFont="1" applyFill="1" applyBorder="1" applyAlignment="1" applyProtection="1">
      <alignment horizontal="center" vertical="center"/>
      <protection hidden="1"/>
    </xf>
    <xf numFmtId="0" fontId="27" fillId="11" borderId="54" xfId="3" applyFont="1" applyFill="1" applyBorder="1" applyAlignment="1" applyProtection="1">
      <alignment horizontal="center" vertical="center"/>
      <protection hidden="1"/>
    </xf>
    <xf numFmtId="0" fontId="27" fillId="11" borderId="18" xfId="3" applyFont="1" applyFill="1" applyBorder="1" applyAlignment="1" applyProtection="1">
      <alignment horizontal="center" vertical="center"/>
      <protection hidden="1"/>
    </xf>
    <xf numFmtId="0" fontId="43" fillId="0" borderId="17" xfId="3" applyFont="1" applyBorder="1" applyAlignment="1" applyProtection="1">
      <alignment horizontal="left" vertical="center" wrapText="1"/>
      <protection hidden="1"/>
    </xf>
    <xf numFmtId="0" fontId="43" fillId="0" borderId="54" xfId="3" applyFont="1" applyBorder="1" applyAlignment="1" applyProtection="1">
      <alignment horizontal="left" vertical="center" wrapText="1"/>
      <protection hidden="1"/>
    </xf>
    <xf numFmtId="0" fontId="43" fillId="0" borderId="55" xfId="3" applyFont="1" applyBorder="1" applyAlignment="1" applyProtection="1">
      <alignment horizontal="left" vertical="center" wrapText="1"/>
      <protection hidden="1"/>
    </xf>
    <xf numFmtId="0" fontId="27" fillId="11" borderId="36" xfId="3" applyFont="1" applyFill="1" applyBorder="1" applyAlignment="1" applyProtection="1">
      <alignment horizontal="center" vertical="center"/>
      <protection hidden="1"/>
    </xf>
    <xf numFmtId="0" fontId="27" fillId="11" borderId="37" xfId="3" applyFont="1" applyFill="1" applyBorder="1" applyAlignment="1" applyProtection="1">
      <alignment horizontal="center" vertical="center"/>
      <protection hidden="1"/>
    </xf>
    <xf numFmtId="0" fontId="27" fillId="11" borderId="38" xfId="3" applyFont="1" applyFill="1" applyBorder="1" applyAlignment="1" applyProtection="1">
      <alignment horizontal="center" vertical="center"/>
      <protection hidden="1"/>
    </xf>
    <xf numFmtId="0" fontId="27" fillId="11" borderId="39" xfId="3" applyFont="1" applyFill="1" applyBorder="1" applyAlignment="1" applyProtection="1">
      <alignment horizontal="center" vertical="center" wrapText="1"/>
      <protection hidden="1"/>
    </xf>
    <xf numFmtId="0" fontId="27" fillId="11" borderId="3" xfId="3" applyFont="1" applyFill="1" applyBorder="1" applyAlignment="1" applyProtection="1">
      <alignment horizontal="center" vertical="center" wrapText="1"/>
      <protection hidden="1"/>
    </xf>
    <xf numFmtId="0" fontId="27" fillId="11" borderId="45" xfId="3" applyFont="1" applyFill="1" applyBorder="1" applyAlignment="1" applyProtection="1">
      <alignment horizontal="center" vertical="center" wrapText="1"/>
      <protection hidden="1"/>
    </xf>
    <xf numFmtId="0" fontId="27" fillId="11" borderId="0" xfId="3" applyFont="1" applyFill="1" applyAlignment="1" applyProtection="1">
      <alignment horizontal="center" vertical="center" wrapText="1"/>
      <protection hidden="1"/>
    </xf>
    <xf numFmtId="0" fontId="27" fillId="11" borderId="61" xfId="3" applyFont="1" applyFill="1" applyBorder="1" applyAlignment="1" applyProtection="1">
      <alignment horizontal="center" vertical="center" wrapText="1"/>
      <protection hidden="1"/>
    </xf>
    <xf numFmtId="0" fontId="27" fillId="11" borderId="35" xfId="3" applyFont="1" applyFill="1" applyBorder="1" applyAlignment="1" applyProtection="1">
      <alignment horizontal="center" vertical="center" wrapText="1"/>
      <protection hidden="1"/>
    </xf>
    <xf numFmtId="0" fontId="27" fillId="11" borderId="2" xfId="3" applyFont="1" applyFill="1" applyBorder="1" applyAlignment="1" applyProtection="1">
      <alignment horizontal="center" vertical="center"/>
      <protection hidden="1"/>
    </xf>
    <xf numFmtId="0" fontId="27" fillId="11" borderId="3" xfId="3" applyFont="1" applyFill="1" applyBorder="1" applyAlignment="1" applyProtection="1">
      <alignment horizontal="center" vertical="center"/>
      <protection hidden="1"/>
    </xf>
    <xf numFmtId="0" fontId="27" fillId="11" borderId="8" xfId="3" applyFont="1" applyFill="1" applyBorder="1" applyAlignment="1" applyProtection="1">
      <alignment horizontal="center" vertical="center"/>
      <protection hidden="1"/>
    </xf>
    <xf numFmtId="0" fontId="27" fillId="11" borderId="0" xfId="3" applyFont="1" applyFill="1" applyAlignment="1" applyProtection="1">
      <alignment horizontal="center" vertical="center"/>
      <protection hidden="1"/>
    </xf>
    <xf numFmtId="0" fontId="27" fillId="11" borderId="5" xfId="3" applyFont="1" applyFill="1" applyBorder="1" applyAlignment="1" applyProtection="1">
      <alignment horizontal="center" vertical="center"/>
      <protection hidden="1"/>
    </xf>
    <xf numFmtId="0" fontId="27" fillId="11" borderId="6" xfId="3" applyFont="1" applyFill="1" applyBorder="1" applyAlignment="1" applyProtection="1">
      <alignment horizontal="center" vertical="center"/>
      <protection hidden="1"/>
    </xf>
    <xf numFmtId="0" fontId="27" fillId="11" borderId="40" xfId="3" applyFont="1" applyFill="1" applyBorder="1" applyAlignment="1" applyProtection="1">
      <alignment horizontal="center" vertical="center"/>
      <protection hidden="1"/>
    </xf>
    <xf numFmtId="0" fontId="27" fillId="11" borderId="41" xfId="3" applyFont="1" applyFill="1" applyBorder="1" applyAlignment="1" applyProtection="1">
      <alignment horizontal="center" vertical="center"/>
      <protection hidden="1"/>
    </xf>
    <xf numFmtId="0" fontId="27" fillId="11" borderId="16" xfId="3" applyFont="1" applyFill="1" applyBorder="1" applyAlignment="1" applyProtection="1">
      <alignment horizontal="center" vertical="center"/>
      <protection hidden="1"/>
    </xf>
    <xf numFmtId="0" fontId="43" fillId="11" borderId="2" xfId="3" applyFont="1" applyFill="1" applyBorder="1" applyAlignment="1" applyProtection="1">
      <alignment horizontal="center" vertical="center" wrapText="1"/>
      <protection hidden="1"/>
    </xf>
    <xf numFmtId="0" fontId="43" fillId="11" borderId="3" xfId="3" applyFont="1" applyFill="1" applyBorder="1" applyAlignment="1" applyProtection="1">
      <alignment horizontal="center" vertical="center" wrapText="1"/>
      <protection hidden="1"/>
    </xf>
    <xf numFmtId="0" fontId="43" fillId="0" borderId="40" xfId="3" applyFont="1" applyBorder="1" applyAlignment="1" applyProtection="1">
      <alignment horizontal="center" vertical="center" wrapText="1"/>
      <protection hidden="1"/>
    </xf>
    <xf numFmtId="0" fontId="43" fillId="0" borderId="41" xfId="3" applyFont="1" applyBorder="1" applyAlignment="1" applyProtection="1">
      <alignment horizontal="center" vertical="center" wrapText="1"/>
      <protection hidden="1"/>
    </xf>
    <xf numFmtId="0" fontId="43" fillId="0" borderId="3" xfId="3" applyFont="1" applyBorder="1" applyAlignment="1" applyProtection="1">
      <alignment horizontal="center" vertical="center" wrapText="1"/>
      <protection hidden="1"/>
    </xf>
    <xf numFmtId="0" fontId="43" fillId="0" borderId="23" xfId="3" applyFont="1" applyBorder="1" applyAlignment="1" applyProtection="1">
      <alignment horizontal="left" vertical="center" wrapText="1"/>
      <protection hidden="1"/>
    </xf>
    <xf numFmtId="0" fontId="43" fillId="11" borderId="59" xfId="3" applyFont="1" applyFill="1" applyBorder="1" applyAlignment="1" applyProtection="1">
      <alignment horizontal="center" vertical="center" wrapText="1"/>
      <protection hidden="1"/>
    </xf>
    <xf numFmtId="0" fontId="43" fillId="11" borderId="58" xfId="3" applyFont="1" applyFill="1" applyBorder="1" applyAlignment="1" applyProtection="1">
      <alignment horizontal="center" vertical="center" wrapText="1"/>
      <protection hidden="1"/>
    </xf>
    <xf numFmtId="0" fontId="43" fillId="0" borderId="57" xfId="3" applyFont="1" applyBorder="1" applyAlignment="1" applyProtection="1">
      <alignment horizontal="left" vertical="center" wrapText="1"/>
      <protection hidden="1"/>
    </xf>
    <xf numFmtId="0" fontId="27" fillId="11" borderId="1" xfId="3" applyFont="1" applyFill="1" applyBorder="1" applyAlignment="1" applyProtection="1">
      <alignment horizontal="center" vertical="center"/>
      <protection hidden="1"/>
    </xf>
    <xf numFmtId="0" fontId="43" fillId="0" borderId="19" xfId="3" applyFont="1" applyBorder="1" applyAlignment="1" applyProtection="1">
      <alignment horizontal="left" vertical="center" wrapText="1"/>
      <protection hidden="1"/>
    </xf>
    <xf numFmtId="0" fontId="43" fillId="0" borderId="20" xfId="3" applyFont="1" applyBorder="1" applyAlignment="1" applyProtection="1">
      <alignment horizontal="left" vertical="center" wrapText="1"/>
      <protection hidden="1"/>
    </xf>
    <xf numFmtId="0" fontId="27" fillId="11" borderId="4" xfId="3" applyFont="1" applyFill="1" applyBorder="1" applyAlignment="1" applyProtection="1">
      <alignment horizontal="center" vertical="center"/>
      <protection hidden="1"/>
    </xf>
    <xf numFmtId="0" fontId="27" fillId="11" borderId="7" xfId="3" applyFont="1" applyFill="1" applyBorder="1" applyAlignment="1" applyProtection="1">
      <alignment horizontal="center" vertical="center"/>
      <protection hidden="1"/>
    </xf>
    <xf numFmtId="0" fontId="27" fillId="11" borderId="15" xfId="3" applyFont="1" applyFill="1" applyBorder="1" applyAlignment="1" applyProtection="1">
      <alignment horizontal="center" vertical="center"/>
      <protection hidden="1"/>
    </xf>
    <xf numFmtId="0" fontId="43" fillId="0" borderId="15" xfId="3" applyFont="1" applyBorder="1" applyAlignment="1" applyProtection="1">
      <alignment horizontal="left" vertical="center" wrapText="1"/>
      <protection hidden="1"/>
    </xf>
    <xf numFmtId="0" fontId="43" fillId="0" borderId="41" xfId="3" applyFont="1" applyBorder="1" applyAlignment="1" applyProtection="1">
      <alignment horizontal="left" vertical="center" wrapText="1"/>
      <protection hidden="1"/>
    </xf>
    <xf numFmtId="0" fontId="43" fillId="0" borderId="56" xfId="3" applyFont="1" applyBorder="1" applyAlignment="1" applyProtection="1">
      <alignment horizontal="left" vertical="center" wrapText="1"/>
      <protection hidden="1"/>
    </xf>
    <xf numFmtId="0" fontId="27" fillId="11" borderId="17" xfId="3" applyFont="1" applyFill="1" applyBorder="1" applyAlignment="1" applyProtection="1">
      <alignment horizontal="center" vertical="center"/>
      <protection hidden="1"/>
    </xf>
    <xf numFmtId="0" fontId="27" fillId="11" borderId="14" xfId="3" applyFont="1" applyFill="1" applyBorder="1" applyAlignment="1" applyProtection="1">
      <alignment horizontal="center" vertical="center"/>
      <protection hidden="1"/>
    </xf>
    <xf numFmtId="0" fontId="27" fillId="11" borderId="19" xfId="3" applyFont="1" applyFill="1" applyBorder="1" applyAlignment="1" applyProtection="1">
      <alignment horizontal="center" vertical="center"/>
      <protection hidden="1"/>
    </xf>
    <xf numFmtId="0" fontId="27" fillId="11" borderId="23" xfId="3" applyFont="1" applyFill="1" applyBorder="1" applyAlignment="1" applyProtection="1">
      <alignment horizontal="center" vertical="center"/>
      <protection hidden="1"/>
    </xf>
    <xf numFmtId="0" fontId="27" fillId="11" borderId="20" xfId="3" applyFont="1" applyFill="1" applyBorder="1" applyAlignment="1" applyProtection="1">
      <alignment horizontal="center" vertical="center"/>
      <protection hidden="1"/>
    </xf>
    <xf numFmtId="0" fontId="27" fillId="11" borderId="19" xfId="3" applyFont="1" applyFill="1" applyBorder="1" applyAlignment="1" applyProtection="1">
      <alignment horizontal="center" vertical="center" wrapText="1"/>
      <protection hidden="1"/>
    </xf>
    <xf numFmtId="0" fontId="27" fillId="11" borderId="23" xfId="3" applyFont="1" applyFill="1" applyBorder="1" applyAlignment="1" applyProtection="1">
      <alignment horizontal="center" vertical="center" wrapText="1"/>
      <protection hidden="1"/>
    </xf>
    <xf numFmtId="0" fontId="27" fillId="11" borderId="57" xfId="3" applyFont="1" applyFill="1" applyBorder="1" applyAlignment="1" applyProtection="1">
      <alignment horizontal="center" vertical="center" wrapText="1"/>
      <protection hidden="1"/>
    </xf>
    <xf numFmtId="0" fontId="43" fillId="11" borderId="19" xfId="3" applyFont="1" applyFill="1" applyBorder="1" applyAlignment="1" applyProtection="1">
      <alignment horizontal="center" vertical="center" wrapText="1"/>
      <protection hidden="1"/>
    </xf>
    <xf numFmtId="0" fontId="10" fillId="11" borderId="19" xfId="3" applyFill="1" applyBorder="1" applyAlignment="1" applyProtection="1">
      <alignment horizontal="center" vertical="center"/>
      <protection hidden="1"/>
    </xf>
    <xf numFmtId="0" fontId="10" fillId="11" borderId="23" xfId="3" applyFill="1" applyBorder="1" applyAlignment="1" applyProtection="1">
      <alignment horizontal="center" vertical="center"/>
      <protection hidden="1"/>
    </xf>
    <xf numFmtId="0" fontId="10" fillId="11" borderId="20" xfId="3" applyFill="1" applyBorder="1" applyAlignment="1" applyProtection="1">
      <alignment horizontal="center" vertical="center"/>
      <protection hidden="1"/>
    </xf>
    <xf numFmtId="0" fontId="27" fillId="11" borderId="19" xfId="3" applyFont="1" applyFill="1" applyBorder="1" applyAlignment="1" applyProtection="1">
      <alignment horizontal="left" vertical="center"/>
      <protection hidden="1"/>
    </xf>
    <xf numFmtId="0" fontId="27" fillId="11" borderId="23" xfId="3" applyFont="1" applyFill="1" applyBorder="1" applyAlignment="1" applyProtection="1">
      <alignment horizontal="left" vertical="center"/>
      <protection hidden="1"/>
    </xf>
    <xf numFmtId="0" fontId="27" fillId="11" borderId="20" xfId="3" applyFont="1" applyFill="1" applyBorder="1" applyAlignment="1" applyProtection="1">
      <alignment horizontal="left" vertical="center"/>
      <protection hidden="1"/>
    </xf>
    <xf numFmtId="0" fontId="10" fillId="11" borderId="2" xfId="3" applyFill="1" applyBorder="1" applyAlignment="1" applyProtection="1">
      <alignment horizontal="center" vertical="center"/>
      <protection hidden="1"/>
    </xf>
    <xf numFmtId="0" fontId="10" fillId="11" borderId="3" xfId="3" applyFill="1" applyBorder="1" applyAlignment="1" applyProtection="1">
      <alignment horizontal="center" vertical="center"/>
      <protection hidden="1"/>
    </xf>
    <xf numFmtId="0" fontId="10" fillId="11" borderId="4" xfId="3" applyFill="1" applyBorder="1" applyAlignment="1" applyProtection="1">
      <alignment horizontal="center" vertical="center"/>
      <protection hidden="1"/>
    </xf>
    <xf numFmtId="0" fontId="10" fillId="11" borderId="5" xfId="3" applyFill="1" applyBorder="1" applyAlignment="1" applyProtection="1">
      <alignment horizontal="center" vertical="center"/>
      <protection hidden="1"/>
    </xf>
    <xf numFmtId="0" fontId="10" fillId="11" borderId="6" xfId="3" applyFill="1" applyBorder="1" applyAlignment="1" applyProtection="1">
      <alignment horizontal="center" vertical="center"/>
      <protection hidden="1"/>
    </xf>
    <xf numFmtId="0" fontId="10" fillId="11" borderId="7" xfId="3" applyFill="1" applyBorder="1" applyAlignment="1" applyProtection="1">
      <alignment horizontal="center" vertical="center"/>
      <protection hidden="1"/>
    </xf>
    <xf numFmtId="0" fontId="27" fillId="11" borderId="2" xfId="3" applyFont="1" applyFill="1" applyBorder="1" applyAlignment="1" applyProtection="1">
      <alignment horizontal="left" vertical="center" wrapText="1"/>
      <protection hidden="1"/>
    </xf>
    <xf numFmtId="0" fontId="27" fillId="11" borderId="3" xfId="3" applyFont="1" applyFill="1" applyBorder="1" applyAlignment="1" applyProtection="1">
      <alignment horizontal="left" vertical="center"/>
      <protection hidden="1"/>
    </xf>
    <xf numFmtId="0" fontId="27" fillId="11" borderId="4" xfId="3" applyFont="1" applyFill="1" applyBorder="1" applyAlignment="1" applyProtection="1">
      <alignment horizontal="left" vertical="center"/>
      <protection hidden="1"/>
    </xf>
    <xf numFmtId="0" fontId="27" fillId="11" borderId="5" xfId="3" applyFont="1" applyFill="1" applyBorder="1" applyAlignment="1" applyProtection="1">
      <alignment horizontal="left" vertical="center"/>
      <protection hidden="1"/>
    </xf>
    <xf numFmtId="0" fontId="27" fillId="11" borderId="6" xfId="3" applyFont="1" applyFill="1" applyBorder="1" applyAlignment="1" applyProtection="1">
      <alignment horizontal="left" vertical="center"/>
      <protection hidden="1"/>
    </xf>
    <xf numFmtId="0" fontId="27" fillId="11" borderId="7" xfId="3" applyFont="1" applyFill="1" applyBorder="1" applyAlignment="1" applyProtection="1">
      <alignment horizontal="left" vertical="center"/>
      <protection hidden="1"/>
    </xf>
    <xf numFmtId="0" fontId="27" fillId="11" borderId="19" xfId="3" applyFont="1" applyFill="1" applyBorder="1" applyAlignment="1" applyProtection="1">
      <alignment horizontal="left" vertical="center" wrapText="1"/>
      <protection hidden="1"/>
    </xf>
    <xf numFmtId="0" fontId="27" fillId="11" borderId="23" xfId="3" applyFont="1" applyFill="1" applyBorder="1" applyAlignment="1" applyProtection="1">
      <alignment horizontal="left" vertical="center" wrapText="1"/>
      <protection hidden="1"/>
    </xf>
    <xf numFmtId="0" fontId="27" fillId="11" borderId="1" xfId="3" applyFont="1" applyFill="1" applyBorder="1" applyAlignment="1" applyProtection="1">
      <alignment horizontal="center" vertical="center" wrapText="1"/>
      <protection hidden="1"/>
    </xf>
    <xf numFmtId="0" fontId="27" fillId="11" borderId="57" xfId="3" applyFont="1" applyFill="1" applyBorder="1" applyAlignment="1" applyProtection="1">
      <alignment horizontal="left" vertical="center" wrapText="1"/>
      <protection hidden="1"/>
    </xf>
    <xf numFmtId="0" fontId="45" fillId="0" borderId="2" xfId="3" applyFont="1" applyBorder="1" applyAlignment="1" applyProtection="1">
      <alignment horizontal="center" vertical="center"/>
      <protection hidden="1"/>
    </xf>
    <xf numFmtId="0" fontId="45" fillId="0" borderId="3" xfId="3" applyFont="1" applyBorder="1" applyAlignment="1" applyProtection="1">
      <alignment horizontal="center" vertical="center"/>
      <protection hidden="1"/>
    </xf>
    <xf numFmtId="0" fontId="45" fillId="0" borderId="44" xfId="3" applyFont="1" applyBorder="1" applyAlignment="1" applyProtection="1">
      <alignment horizontal="center" vertical="center"/>
      <protection hidden="1"/>
    </xf>
    <xf numFmtId="0" fontId="45" fillId="0" borderId="8" xfId="3" applyFont="1" applyBorder="1" applyAlignment="1" applyProtection="1">
      <alignment horizontal="center" vertical="center"/>
      <protection hidden="1"/>
    </xf>
    <xf numFmtId="0" fontId="45" fillId="0" borderId="0" xfId="3" applyFont="1" applyAlignment="1" applyProtection="1">
      <alignment horizontal="center" vertical="center"/>
      <protection hidden="1"/>
    </xf>
    <xf numFmtId="0" fontId="45" fillId="0" borderId="31" xfId="3" applyFont="1" applyBorder="1" applyAlignment="1" applyProtection="1">
      <alignment horizontal="center" vertical="center"/>
      <protection hidden="1"/>
    </xf>
    <xf numFmtId="0" fontId="45" fillId="0" borderId="5" xfId="3" applyFont="1" applyBorder="1" applyAlignment="1" applyProtection="1">
      <alignment horizontal="center" vertical="center"/>
      <protection hidden="1"/>
    </xf>
    <xf numFmtId="0" fontId="45" fillId="0" borderId="6" xfId="3" applyFont="1" applyBorder="1" applyAlignment="1" applyProtection="1">
      <alignment horizontal="center" vertical="center"/>
      <protection hidden="1"/>
    </xf>
    <xf numFmtId="0" fontId="45" fillId="0" borderId="48" xfId="3" applyFont="1" applyBorder="1" applyAlignment="1" applyProtection="1">
      <alignment horizontal="center" vertical="center"/>
      <protection hidden="1"/>
    </xf>
    <xf numFmtId="0" fontId="43" fillId="7" borderId="19" xfId="3" applyFont="1" applyFill="1" applyBorder="1" applyAlignment="1" applyProtection="1">
      <alignment horizontal="right" vertical="center"/>
      <protection hidden="1"/>
    </xf>
    <xf numFmtId="0" fontId="43" fillId="7" borderId="23" xfId="3" applyFont="1" applyFill="1" applyBorder="1" applyAlignment="1" applyProtection="1">
      <alignment horizontal="right" vertical="center"/>
      <protection hidden="1"/>
    </xf>
    <xf numFmtId="0" fontId="27" fillId="7" borderId="23" xfId="3" applyFont="1" applyFill="1" applyBorder="1" applyAlignment="1" applyProtection="1">
      <alignment horizontal="center" vertical="center"/>
      <protection hidden="1"/>
    </xf>
    <xf numFmtId="0" fontId="27" fillId="7" borderId="57" xfId="3" applyFont="1" applyFill="1" applyBorder="1" applyAlignment="1" applyProtection="1">
      <alignment horizontal="center" vertical="center"/>
      <protection hidden="1"/>
    </xf>
    <xf numFmtId="0" fontId="43" fillId="4" borderId="19" xfId="3" applyFont="1" applyFill="1" applyBorder="1" applyAlignment="1" applyProtection="1">
      <alignment horizontal="right" vertical="center"/>
      <protection hidden="1"/>
    </xf>
    <xf numFmtId="0" fontId="43" fillId="4" borderId="23" xfId="3" applyFont="1" applyFill="1" applyBorder="1" applyAlignment="1" applyProtection="1">
      <alignment horizontal="right" vertical="center"/>
      <protection hidden="1"/>
    </xf>
    <xf numFmtId="0" fontId="27" fillId="4" borderId="23" xfId="3" applyFont="1" applyFill="1" applyBorder="1" applyAlignment="1" applyProtection="1">
      <alignment horizontal="center" vertical="center"/>
      <protection hidden="1"/>
    </xf>
    <xf numFmtId="0" fontId="27" fillId="4" borderId="57" xfId="3" applyFont="1" applyFill="1" applyBorder="1" applyAlignment="1" applyProtection="1">
      <alignment horizontal="center" vertical="center"/>
      <protection hidden="1"/>
    </xf>
    <xf numFmtId="0" fontId="27" fillId="11" borderId="67" xfId="3" applyFont="1" applyFill="1" applyBorder="1" applyAlignment="1" applyProtection="1">
      <alignment horizontal="center" vertical="center"/>
      <protection hidden="1"/>
    </xf>
    <xf numFmtId="0" fontId="27" fillId="11" borderId="35" xfId="3" applyFont="1" applyFill="1" applyBorder="1" applyAlignment="1" applyProtection="1">
      <alignment horizontal="center" vertical="center"/>
      <protection hidden="1"/>
    </xf>
    <xf numFmtId="0" fontId="27" fillId="11" borderId="62" xfId="3" applyFont="1" applyFill="1" applyBorder="1" applyAlignment="1" applyProtection="1">
      <alignment horizontal="center" vertical="center"/>
      <protection hidden="1"/>
    </xf>
    <xf numFmtId="0" fontId="43" fillId="0" borderId="19" xfId="3" applyFont="1" applyBorder="1" applyAlignment="1" applyProtection="1">
      <alignment horizontal="center" vertical="center"/>
      <protection hidden="1"/>
    </xf>
    <xf numFmtId="0" fontId="43" fillId="0" borderId="23" xfId="3" applyFont="1" applyBorder="1" applyAlignment="1" applyProtection="1">
      <alignment horizontal="center" vertical="center"/>
      <protection hidden="1"/>
    </xf>
    <xf numFmtId="0" fontId="43" fillId="0" borderId="57" xfId="3" applyFont="1" applyBorder="1" applyAlignment="1" applyProtection="1">
      <alignment horizontal="center" vertical="center"/>
      <protection hidden="1"/>
    </xf>
    <xf numFmtId="0" fontId="27" fillId="11" borderId="64" xfId="3" applyFont="1" applyFill="1" applyBorder="1" applyAlignment="1" applyProtection="1">
      <alignment horizontal="left" vertical="center"/>
      <protection hidden="1"/>
    </xf>
    <xf numFmtId="0" fontId="27" fillId="11" borderId="65" xfId="3" applyFont="1" applyFill="1" applyBorder="1" applyAlignment="1" applyProtection="1">
      <alignment horizontal="left" vertical="center"/>
      <protection hidden="1"/>
    </xf>
    <xf numFmtId="0" fontId="27" fillId="11" borderId="66" xfId="3" applyFont="1" applyFill="1" applyBorder="1" applyAlignment="1" applyProtection="1">
      <alignment horizontal="left" vertical="center"/>
      <protection hidden="1"/>
    </xf>
    <xf numFmtId="0" fontId="43" fillId="0" borderId="64" xfId="3" applyFont="1" applyBorder="1" applyAlignment="1" applyProtection="1">
      <alignment horizontal="center" vertical="center"/>
      <protection hidden="1"/>
    </xf>
    <xf numFmtId="0" fontId="43" fillId="0" borderId="65" xfId="3" applyFont="1" applyBorder="1" applyAlignment="1" applyProtection="1">
      <alignment horizontal="center" vertical="center"/>
      <protection hidden="1"/>
    </xf>
    <xf numFmtId="0" fontId="43" fillId="0" borderId="81" xfId="3" applyFont="1" applyBorder="1" applyAlignment="1" applyProtection="1">
      <alignment horizontal="center" vertical="center"/>
      <protection hidden="1"/>
    </xf>
    <xf numFmtId="0" fontId="27" fillId="11" borderId="23" xfId="3" applyFont="1" applyFill="1" applyBorder="1" applyAlignment="1" applyProtection="1">
      <alignment horizontal="right" vertical="center"/>
      <protection hidden="1"/>
    </xf>
    <xf numFmtId="0" fontId="27" fillId="11" borderId="20" xfId="3" applyFont="1" applyFill="1" applyBorder="1" applyAlignment="1" applyProtection="1">
      <alignment horizontal="right" vertical="center"/>
      <protection hidden="1"/>
    </xf>
    <xf numFmtId="0" fontId="27" fillId="4" borderId="0" xfId="3" applyFont="1" applyFill="1" applyAlignment="1" applyProtection="1">
      <alignment horizontal="center" vertical="center"/>
      <protection hidden="1"/>
    </xf>
    <xf numFmtId="0" fontId="27" fillId="11" borderId="69" xfId="3" applyFont="1" applyFill="1" applyBorder="1" applyAlignment="1" applyProtection="1">
      <alignment horizontal="center" vertical="center" wrapText="1"/>
      <protection hidden="1"/>
    </xf>
    <xf numFmtId="0" fontId="27" fillId="11" borderId="70" xfId="3" applyFont="1" applyFill="1" applyBorder="1" applyAlignment="1" applyProtection="1">
      <alignment horizontal="center" vertical="center" wrapText="1"/>
      <protection hidden="1"/>
    </xf>
    <xf numFmtId="0" fontId="27" fillId="11" borderId="90" xfId="3" applyFont="1" applyFill="1" applyBorder="1" applyAlignment="1" applyProtection="1">
      <alignment horizontal="center" vertical="center" wrapText="1"/>
      <protection hidden="1"/>
    </xf>
    <xf numFmtId="0" fontId="27" fillId="11" borderId="14" xfId="3" applyFont="1" applyFill="1" applyBorder="1" applyAlignment="1" applyProtection="1">
      <alignment horizontal="center" vertical="center" wrapText="1"/>
      <protection hidden="1"/>
    </xf>
    <xf numFmtId="0" fontId="27" fillId="11" borderId="62" xfId="3" applyFont="1" applyFill="1" applyBorder="1" applyAlignment="1" applyProtection="1">
      <alignment horizontal="center" vertical="center" wrapText="1"/>
      <protection hidden="1"/>
    </xf>
    <xf numFmtId="0" fontId="27" fillId="11" borderId="70" xfId="3" applyFont="1" applyFill="1" applyBorder="1" applyAlignment="1" applyProtection="1">
      <alignment horizontal="center" vertical="center"/>
      <protection hidden="1"/>
    </xf>
    <xf numFmtId="0" fontId="27" fillId="11" borderId="73" xfId="3" applyFont="1" applyFill="1" applyBorder="1" applyAlignment="1" applyProtection="1">
      <alignment horizontal="center" vertical="center"/>
      <protection hidden="1"/>
    </xf>
    <xf numFmtId="0" fontId="27" fillId="11" borderId="74" xfId="3" applyFont="1" applyFill="1" applyBorder="1" applyAlignment="1" applyProtection="1">
      <alignment horizontal="center" vertical="center"/>
      <protection hidden="1"/>
    </xf>
    <xf numFmtId="0" fontId="27" fillId="11" borderId="75" xfId="3" applyFont="1" applyFill="1" applyBorder="1" applyAlignment="1" applyProtection="1">
      <alignment horizontal="center" vertical="center"/>
      <protection hidden="1"/>
    </xf>
    <xf numFmtId="0" fontId="43" fillId="11" borderId="71" xfId="3" applyFont="1" applyFill="1" applyBorder="1" applyAlignment="1" applyProtection="1">
      <alignment horizontal="center" vertical="center" wrapText="1"/>
      <protection hidden="1"/>
    </xf>
    <xf numFmtId="0" fontId="43" fillId="11" borderId="70" xfId="3" applyFont="1" applyFill="1" applyBorder="1" applyAlignment="1" applyProtection="1">
      <alignment horizontal="center" vertical="center" wrapText="1"/>
      <protection hidden="1"/>
    </xf>
    <xf numFmtId="0" fontId="43" fillId="0" borderId="73" xfId="3" applyFont="1" applyBorder="1" applyAlignment="1" applyProtection="1">
      <alignment horizontal="center" vertical="center" wrapText="1"/>
      <protection hidden="1"/>
    </xf>
    <xf numFmtId="0" fontId="43" fillId="0" borderId="74" xfId="3" applyFont="1" applyBorder="1" applyAlignment="1" applyProtection="1">
      <alignment horizontal="center" vertical="center" wrapText="1"/>
      <protection hidden="1"/>
    </xf>
    <xf numFmtId="0" fontId="43" fillId="0" borderId="76" xfId="3" applyFont="1" applyBorder="1" applyAlignment="1" applyProtection="1">
      <alignment horizontal="center" vertical="center" wrapText="1"/>
      <protection hidden="1"/>
    </xf>
    <xf numFmtId="0" fontId="27" fillId="11" borderId="66" xfId="3" applyFont="1" applyFill="1" applyBorder="1" applyAlignment="1" applyProtection="1">
      <alignment horizontal="center" vertical="center"/>
      <protection hidden="1"/>
    </xf>
    <xf numFmtId="0" fontId="27" fillId="11" borderId="63" xfId="3" applyFont="1" applyFill="1" applyBorder="1" applyAlignment="1" applyProtection="1">
      <alignment horizontal="center" vertical="center"/>
      <protection hidden="1"/>
    </xf>
    <xf numFmtId="0" fontId="43" fillId="0" borderId="64" xfId="3" applyFont="1" applyBorder="1" applyAlignment="1" applyProtection="1">
      <alignment horizontal="left" vertical="center" wrapText="1"/>
      <protection hidden="1"/>
    </xf>
    <xf numFmtId="0" fontId="43" fillId="0" borderId="65" xfId="3" applyFont="1" applyBorder="1" applyAlignment="1" applyProtection="1">
      <alignment horizontal="left" vertical="center" wrapText="1"/>
      <protection hidden="1"/>
    </xf>
    <xf numFmtId="0" fontId="43" fillId="0" borderId="81" xfId="3" applyFont="1" applyBorder="1" applyAlignment="1" applyProtection="1">
      <alignment horizontal="left" vertical="center" wrapText="1"/>
      <protection hidden="1"/>
    </xf>
    <xf numFmtId="0" fontId="27" fillId="0" borderId="97" xfId="3" applyFont="1" applyBorder="1" applyAlignment="1" applyProtection="1">
      <alignment horizontal="center" vertical="center"/>
      <protection hidden="1"/>
    </xf>
    <xf numFmtId="0" fontId="27" fillId="0" borderId="98" xfId="3" applyFont="1" applyBorder="1" applyAlignment="1" applyProtection="1">
      <alignment horizontal="center" vertical="center"/>
      <protection hidden="1"/>
    </xf>
    <xf numFmtId="0" fontId="27" fillId="0" borderId="94" xfId="3" applyFont="1" applyBorder="1" applyAlignment="1" applyProtection="1">
      <alignment horizontal="center" vertical="center"/>
      <protection hidden="1"/>
    </xf>
    <xf numFmtId="0" fontId="27" fillId="0" borderId="95" xfId="3" applyFont="1" applyBorder="1" applyAlignment="1" applyProtection="1">
      <alignment horizontal="center" vertical="center"/>
      <protection hidden="1"/>
    </xf>
    <xf numFmtId="0" fontId="27" fillId="11" borderId="98" xfId="3" applyFont="1" applyFill="1" applyBorder="1" applyAlignment="1" applyProtection="1">
      <alignment horizontal="left" vertical="center" wrapText="1" indent="1"/>
      <protection hidden="1"/>
    </xf>
    <xf numFmtId="0" fontId="27" fillId="11" borderId="99" xfId="3" applyFont="1" applyFill="1" applyBorder="1" applyAlignment="1" applyProtection="1">
      <alignment horizontal="left" vertical="center" wrapText="1" indent="1"/>
      <protection hidden="1"/>
    </xf>
    <xf numFmtId="0" fontId="27" fillId="11" borderId="95" xfId="3" applyFont="1" applyFill="1" applyBorder="1" applyAlignment="1" applyProtection="1">
      <alignment horizontal="left" vertical="center" wrapText="1" indent="1"/>
      <protection hidden="1"/>
    </xf>
    <xf numFmtId="0" fontId="27" fillId="11" borderId="96" xfId="3" applyFont="1" applyFill="1" applyBorder="1" applyAlignment="1" applyProtection="1">
      <alignment horizontal="left" vertical="center" wrapText="1" indent="1"/>
      <protection hidden="1"/>
    </xf>
    <xf numFmtId="0" fontId="27" fillId="11" borderId="92" xfId="3" applyFont="1" applyFill="1" applyBorder="1" applyAlignment="1" applyProtection="1">
      <alignment horizontal="left" vertical="center" wrapText="1" indent="1"/>
      <protection hidden="1"/>
    </xf>
    <xf numFmtId="0" fontId="27" fillId="11" borderId="93" xfId="3" applyFont="1" applyFill="1" applyBorder="1" applyAlignment="1" applyProtection="1">
      <alignment horizontal="left" vertical="center" wrapText="1" indent="1"/>
      <protection hidden="1"/>
    </xf>
    <xf numFmtId="0" fontId="43" fillId="0" borderId="91" xfId="3" applyFont="1" applyBorder="1" applyAlignment="1" applyProtection="1">
      <alignment horizontal="center" vertical="center" wrapText="1"/>
      <protection hidden="1"/>
    </xf>
    <xf numFmtId="0" fontId="43" fillId="0" borderId="92" xfId="3" applyFont="1" applyBorder="1" applyAlignment="1" applyProtection="1">
      <alignment horizontal="center" vertical="center" wrapText="1"/>
      <protection hidden="1"/>
    </xf>
    <xf numFmtId="0" fontId="43" fillId="0" borderId="94" xfId="3" applyFont="1" applyBorder="1" applyAlignment="1" applyProtection="1">
      <alignment horizontal="center" vertical="center" wrapText="1"/>
      <protection hidden="1"/>
    </xf>
    <xf numFmtId="0" fontId="43" fillId="0" borderId="95" xfId="3" applyFont="1" applyBorder="1" applyAlignment="1" applyProtection="1">
      <alignment horizontal="center" vertical="center" wrapText="1"/>
      <protection hidden="1"/>
    </xf>
    <xf numFmtId="0" fontId="27" fillId="11" borderId="9" xfId="3" applyFont="1" applyFill="1" applyBorder="1" applyAlignment="1" applyProtection="1">
      <alignment horizontal="center" vertical="center"/>
      <protection hidden="1"/>
    </xf>
    <xf numFmtId="0" fontId="43" fillId="0" borderId="70" xfId="3" applyFont="1" applyBorder="1" applyAlignment="1" applyProtection="1">
      <alignment horizontal="center" vertical="center" wrapText="1"/>
      <protection hidden="1"/>
    </xf>
    <xf numFmtId="0" fontId="27" fillId="4" borderId="35" xfId="3" applyFont="1" applyFill="1" applyBorder="1" applyAlignment="1" applyProtection="1">
      <alignment horizontal="right" vertical="center"/>
      <protection hidden="1"/>
    </xf>
    <xf numFmtId="14" fontId="27" fillId="4" borderId="35" xfId="3" applyNumberFormat="1" applyFont="1" applyFill="1" applyBorder="1" applyAlignment="1" applyProtection="1">
      <alignment horizontal="left" vertical="center"/>
      <protection hidden="1"/>
    </xf>
    <xf numFmtId="0" fontId="27" fillId="4" borderId="35" xfId="3" applyFont="1" applyFill="1" applyBorder="1" applyAlignment="1" applyProtection="1">
      <alignment horizontal="left" vertical="center"/>
      <protection hidden="1"/>
    </xf>
    <xf numFmtId="0" fontId="27" fillId="11" borderId="78" xfId="3" applyFont="1" applyFill="1" applyBorder="1" applyAlignment="1" applyProtection="1">
      <alignment horizontal="center" vertical="center"/>
      <protection hidden="1"/>
    </xf>
    <xf numFmtId="0" fontId="27" fillId="11" borderId="84" xfId="3" applyFont="1" applyFill="1" applyBorder="1" applyAlignment="1" applyProtection="1">
      <alignment horizontal="center" vertical="center"/>
      <protection hidden="1"/>
    </xf>
    <xf numFmtId="0" fontId="27" fillId="11" borderId="79" xfId="3" applyFont="1" applyFill="1" applyBorder="1" applyAlignment="1" applyProtection="1">
      <alignment horizontal="center" vertical="center"/>
      <protection hidden="1"/>
    </xf>
    <xf numFmtId="0" fontId="27" fillId="11" borderId="80" xfId="3" applyFont="1" applyFill="1" applyBorder="1" applyAlignment="1" applyProtection="1">
      <alignment horizontal="center" vertical="center"/>
      <protection hidden="1"/>
    </xf>
    <xf numFmtId="0" fontId="43" fillId="11" borderId="15" xfId="3" applyFont="1" applyFill="1" applyBorder="1" applyAlignment="1" applyProtection="1">
      <alignment horizontal="center" vertical="center" wrapText="1"/>
      <protection hidden="1"/>
    </xf>
    <xf numFmtId="0" fontId="43" fillId="11" borderId="41" xfId="3" applyFont="1" applyFill="1" applyBorder="1" applyAlignment="1" applyProtection="1">
      <alignment horizontal="center" vertical="center" wrapText="1"/>
      <protection hidden="1"/>
    </xf>
    <xf numFmtId="0" fontId="43" fillId="0" borderId="42" xfId="3" applyFont="1" applyBorder="1" applyAlignment="1" applyProtection="1">
      <alignment horizontal="center" vertical="center" wrapText="1"/>
      <protection hidden="1"/>
    </xf>
    <xf numFmtId="0" fontId="27" fillId="11" borderId="2" xfId="3" applyFont="1" applyFill="1" applyBorder="1" applyAlignment="1" applyProtection="1">
      <alignment horizontal="center" vertical="center" wrapText="1"/>
      <protection hidden="1"/>
    </xf>
    <xf numFmtId="0" fontId="27" fillId="11" borderId="8" xfId="3" applyFont="1" applyFill="1" applyBorder="1" applyAlignment="1" applyProtection="1">
      <alignment horizontal="center" vertical="center" wrapText="1"/>
      <protection hidden="1"/>
    </xf>
    <xf numFmtId="0" fontId="27" fillId="11" borderId="5" xfId="3" applyFont="1" applyFill="1" applyBorder="1" applyAlignment="1" applyProtection="1">
      <alignment horizontal="center" vertical="center" wrapText="1"/>
      <protection hidden="1"/>
    </xf>
    <xf numFmtId="0" fontId="27" fillId="11" borderId="6" xfId="3" applyFont="1" applyFill="1" applyBorder="1" applyAlignment="1" applyProtection="1">
      <alignment horizontal="center" vertical="center" wrapText="1"/>
      <protection hidden="1"/>
    </xf>
    <xf numFmtId="0" fontId="27" fillId="11" borderId="7" xfId="3" applyFont="1" applyFill="1" applyBorder="1" applyAlignment="1" applyProtection="1">
      <alignment horizontal="center" vertical="center" wrapText="1"/>
      <protection hidden="1"/>
    </xf>
    <xf numFmtId="0" fontId="31" fillId="11" borderId="23" xfId="3" applyFont="1" applyFill="1" applyBorder="1" applyAlignment="1" applyProtection="1">
      <alignment horizontal="left" vertical="center"/>
      <protection hidden="1"/>
    </xf>
    <xf numFmtId="0" fontId="31" fillId="11" borderId="20" xfId="3" applyFont="1" applyFill="1" applyBorder="1" applyAlignment="1" applyProtection="1">
      <alignment horizontal="left" vertical="center"/>
      <protection hidden="1"/>
    </xf>
    <xf numFmtId="0" fontId="27" fillId="4" borderId="23" xfId="3" applyFont="1" applyFill="1" applyBorder="1" applyAlignment="1" applyProtection="1">
      <alignment horizontal="center" vertical="center" wrapText="1"/>
      <protection hidden="1"/>
    </xf>
    <xf numFmtId="0" fontId="27" fillId="4" borderId="57" xfId="3" applyFont="1" applyFill="1" applyBorder="1" applyAlignment="1" applyProtection="1">
      <alignment horizontal="center" vertical="center" wrapText="1"/>
      <protection hidden="1"/>
    </xf>
    <xf numFmtId="0" fontId="43" fillId="4" borderId="19" xfId="3" applyFont="1" applyFill="1" applyBorder="1" applyAlignment="1" applyProtection="1">
      <alignment horizontal="right" vertical="center" wrapText="1"/>
      <protection hidden="1"/>
    </xf>
    <xf numFmtId="0" fontId="43" fillId="4" borderId="23" xfId="3" applyFont="1" applyFill="1" applyBorder="1" applyAlignment="1" applyProtection="1">
      <alignment horizontal="right" vertical="center" wrapText="1"/>
      <protection hidden="1"/>
    </xf>
    <xf numFmtId="0" fontId="27" fillId="11" borderId="2" xfId="3" applyFont="1" applyFill="1" applyBorder="1" applyAlignment="1" applyProtection="1">
      <alignment horizontal="left" vertical="center"/>
      <protection hidden="1"/>
    </xf>
    <xf numFmtId="0" fontId="43" fillId="4" borderId="2" xfId="3" applyFont="1" applyFill="1" applyBorder="1" applyAlignment="1" applyProtection="1">
      <alignment horizontal="right" vertical="center"/>
      <protection hidden="1"/>
    </xf>
    <xf numFmtId="0" fontId="43" fillId="4" borderId="3" xfId="3" applyFont="1" applyFill="1" applyBorder="1" applyAlignment="1" applyProtection="1">
      <alignment horizontal="right" vertical="center"/>
      <protection hidden="1"/>
    </xf>
    <xf numFmtId="0" fontId="27" fillId="4" borderId="41" xfId="3" applyFont="1" applyFill="1" applyBorder="1" applyAlignment="1" applyProtection="1">
      <alignment horizontal="center" vertical="center" wrapText="1"/>
      <protection hidden="1"/>
    </xf>
    <xf numFmtId="0" fontId="27" fillId="4" borderId="56" xfId="3" applyFont="1" applyFill="1" applyBorder="1" applyAlignment="1" applyProtection="1">
      <alignment horizontal="center" vertical="center" wrapText="1"/>
      <protection hidden="1"/>
    </xf>
    <xf numFmtId="0" fontId="27" fillId="11" borderId="82" xfId="3" applyFont="1" applyFill="1" applyBorder="1" applyAlignment="1" applyProtection="1">
      <alignment horizontal="left" vertical="center"/>
      <protection hidden="1"/>
    </xf>
    <xf numFmtId="0" fontId="27" fillId="11" borderId="83" xfId="3" applyFont="1" applyFill="1" applyBorder="1" applyAlignment="1" applyProtection="1">
      <alignment horizontal="left" vertical="center"/>
      <protection hidden="1"/>
    </xf>
    <xf numFmtId="0" fontId="27" fillId="11" borderId="8" xfId="3" applyFont="1" applyFill="1" applyBorder="1" applyAlignment="1" applyProtection="1">
      <alignment horizontal="left" vertical="center"/>
      <protection hidden="1"/>
    </xf>
    <xf numFmtId="0" fontId="27" fillId="11" borderId="0" xfId="3" applyFont="1" applyFill="1" applyAlignment="1" applyProtection="1">
      <alignment horizontal="left" vertical="center"/>
      <protection hidden="1"/>
    </xf>
    <xf numFmtId="0" fontId="27" fillId="11" borderId="47" xfId="3" applyFont="1" applyFill="1" applyBorder="1" applyAlignment="1" applyProtection="1">
      <alignment horizontal="right" vertical="center"/>
      <protection hidden="1"/>
    </xf>
    <xf numFmtId="0" fontId="27" fillId="11" borderId="22" xfId="3" applyFont="1" applyFill="1" applyBorder="1" applyAlignment="1" applyProtection="1">
      <alignment horizontal="right" vertical="center"/>
      <protection hidden="1"/>
    </xf>
    <xf numFmtId="0" fontId="43" fillId="7" borderId="21" xfId="3" applyFont="1" applyFill="1" applyBorder="1" applyAlignment="1" applyProtection="1">
      <alignment horizontal="right" vertical="center"/>
      <protection hidden="1"/>
    </xf>
    <xf numFmtId="0" fontId="43" fillId="7" borderId="47" xfId="3" applyFont="1" applyFill="1" applyBorder="1" applyAlignment="1" applyProtection="1">
      <alignment horizontal="right" vertical="center"/>
      <protection hidden="1"/>
    </xf>
    <xf numFmtId="0" fontId="27" fillId="7" borderId="47" xfId="3" applyFont="1" applyFill="1" applyBorder="1" applyAlignment="1" applyProtection="1">
      <alignment horizontal="center" vertical="center" wrapText="1"/>
      <protection hidden="1"/>
    </xf>
    <xf numFmtId="0" fontId="27" fillId="7" borderId="52" xfId="3" applyFont="1" applyFill="1" applyBorder="1" applyAlignment="1" applyProtection="1">
      <alignment horizontal="center" vertical="center" wrapText="1"/>
      <protection hidden="1"/>
    </xf>
    <xf numFmtId="0" fontId="27" fillId="11" borderId="85" xfId="3" applyFont="1" applyFill="1" applyBorder="1" applyAlignment="1" applyProtection="1">
      <alignment horizontal="right" vertical="center"/>
      <protection hidden="1"/>
    </xf>
    <xf numFmtId="0" fontId="27" fillId="11" borderId="50" xfId="3" applyFont="1" applyFill="1" applyBorder="1" applyAlignment="1" applyProtection="1">
      <alignment horizontal="right" vertical="center"/>
      <protection hidden="1"/>
    </xf>
    <xf numFmtId="0" fontId="27" fillId="11" borderId="86" xfId="3" applyFont="1" applyFill="1" applyBorder="1" applyAlignment="1" applyProtection="1">
      <alignment horizontal="right" vertical="center"/>
      <protection hidden="1"/>
    </xf>
    <xf numFmtId="0" fontId="43" fillId="4" borderId="21" xfId="3" applyFont="1" applyFill="1" applyBorder="1" applyAlignment="1" applyProtection="1">
      <alignment horizontal="right" vertical="center"/>
      <protection hidden="1"/>
    </xf>
    <xf numFmtId="0" fontId="43" fillId="4" borderId="47" xfId="3" applyFont="1" applyFill="1" applyBorder="1" applyAlignment="1" applyProtection="1">
      <alignment horizontal="right" vertical="center"/>
      <protection hidden="1"/>
    </xf>
    <xf numFmtId="0" fontId="27" fillId="4" borderId="47" xfId="3" applyFont="1" applyFill="1" applyBorder="1" applyAlignment="1" applyProtection="1">
      <alignment horizontal="center" vertical="center" wrapText="1"/>
      <protection hidden="1"/>
    </xf>
    <xf numFmtId="0" fontId="27" fillId="4" borderId="52" xfId="3" applyFont="1" applyFill="1" applyBorder="1" applyAlignment="1" applyProtection="1">
      <alignment horizontal="center" vertical="center" wrapText="1"/>
      <protection hidden="1"/>
    </xf>
    <xf numFmtId="0" fontId="27" fillId="11" borderId="87" xfId="3" applyFont="1" applyFill="1" applyBorder="1" applyAlignment="1" applyProtection="1">
      <alignment horizontal="right" vertical="center"/>
      <protection hidden="1"/>
    </xf>
    <xf numFmtId="0" fontId="27" fillId="11" borderId="83" xfId="3" applyFont="1" applyFill="1" applyBorder="1" applyAlignment="1" applyProtection="1">
      <alignment horizontal="right" vertical="center"/>
      <protection hidden="1"/>
    </xf>
    <xf numFmtId="0" fontId="27" fillId="11" borderId="88" xfId="3" applyFont="1" applyFill="1" applyBorder="1" applyAlignment="1" applyProtection="1">
      <alignment horizontal="right" vertical="center"/>
      <protection hidden="1"/>
    </xf>
    <xf numFmtId="0" fontId="43" fillId="4" borderId="17" xfId="3" applyFont="1" applyFill="1" applyBorder="1" applyAlignment="1" applyProtection="1">
      <alignment horizontal="right" vertical="center"/>
      <protection hidden="1"/>
    </xf>
    <xf numFmtId="0" fontId="43" fillId="4" borderId="54" xfId="3" applyFont="1" applyFill="1" applyBorder="1" applyAlignment="1" applyProtection="1">
      <alignment horizontal="right" vertical="center"/>
      <protection hidden="1"/>
    </xf>
    <xf numFmtId="0" fontId="27" fillId="4" borderId="83" xfId="3" applyFont="1" applyFill="1" applyBorder="1" applyAlignment="1" applyProtection="1">
      <alignment horizontal="center" vertical="center" wrapText="1"/>
      <protection hidden="1"/>
    </xf>
    <xf numFmtId="0" fontId="27" fillId="4" borderId="89" xfId="3" applyFont="1" applyFill="1" applyBorder="1" applyAlignment="1" applyProtection="1">
      <alignment horizontal="center" vertical="center" wrapText="1"/>
      <protection hidden="1"/>
    </xf>
    <xf numFmtId="0" fontId="43" fillId="4" borderId="64" xfId="3" applyFont="1" applyFill="1" applyBorder="1" applyAlignment="1" applyProtection="1">
      <alignment horizontal="right" vertical="center"/>
      <protection hidden="1"/>
    </xf>
    <xf numFmtId="0" fontId="43" fillId="4" borderId="65" xfId="3" applyFont="1" applyFill="1" applyBorder="1" applyAlignment="1" applyProtection="1">
      <alignment horizontal="right" vertical="center"/>
      <protection hidden="1"/>
    </xf>
    <xf numFmtId="0" fontId="27" fillId="4" borderId="65" xfId="3" applyFont="1" applyFill="1" applyBorder="1" applyAlignment="1" applyProtection="1">
      <alignment horizontal="center" vertical="center" wrapText="1"/>
      <protection hidden="1"/>
    </xf>
    <xf numFmtId="0" fontId="27" fillId="4" borderId="81" xfId="3" applyFont="1" applyFill="1" applyBorder="1" applyAlignment="1" applyProtection="1">
      <alignment horizontal="center" vertical="center" wrapText="1"/>
      <protection hidden="1"/>
    </xf>
    <xf numFmtId="0" fontId="27" fillId="11" borderId="71" xfId="3" applyFont="1" applyFill="1" applyBorder="1" applyAlignment="1" applyProtection="1">
      <alignment horizontal="center" vertical="center"/>
      <protection hidden="1"/>
    </xf>
    <xf numFmtId="0" fontId="27" fillId="11" borderId="72" xfId="3" applyFont="1" applyFill="1" applyBorder="1" applyAlignment="1" applyProtection="1">
      <alignment horizontal="center" vertical="center"/>
      <protection hidden="1"/>
    </xf>
    <xf numFmtId="0" fontId="43" fillId="0" borderId="97" xfId="3" applyFont="1" applyBorder="1" applyAlignment="1" applyProtection="1">
      <alignment horizontal="center" vertical="center" wrapText="1"/>
      <protection hidden="1"/>
    </xf>
    <xf numFmtId="0" fontId="43" fillId="0" borderId="98" xfId="3" applyFont="1" applyBorder="1" applyAlignment="1" applyProtection="1">
      <alignment horizontal="center" vertical="center" wrapText="1"/>
      <protection hidden="1"/>
    </xf>
    <xf numFmtId="0" fontId="27" fillId="11" borderId="67" xfId="3" applyFont="1" applyFill="1" applyBorder="1" applyAlignment="1" applyProtection="1">
      <alignment horizontal="center" vertical="center" wrapText="1"/>
      <protection hidden="1"/>
    </xf>
    <xf numFmtId="0" fontId="27" fillId="11" borderId="64" xfId="3" applyFont="1" applyFill="1" applyBorder="1" applyAlignment="1" applyProtection="1">
      <alignment horizontal="right" vertical="center"/>
      <protection hidden="1"/>
    </xf>
    <xf numFmtId="0" fontId="27" fillId="11" borderId="65" xfId="3" applyFont="1" applyFill="1" applyBorder="1" applyAlignment="1" applyProtection="1">
      <alignment horizontal="right" vertical="center"/>
      <protection hidden="1"/>
    </xf>
    <xf numFmtId="0" fontId="27" fillId="11" borderId="66" xfId="3" applyFont="1" applyFill="1" applyBorder="1" applyAlignment="1" applyProtection="1">
      <alignment horizontal="right" vertical="center"/>
      <protection hidden="1"/>
    </xf>
    <xf numFmtId="0" fontId="27" fillId="11" borderId="4" xfId="3" applyFont="1" applyFill="1" applyBorder="1" applyAlignment="1" applyProtection="1">
      <alignment horizontal="center" vertical="center" wrapText="1"/>
      <protection hidden="1"/>
    </xf>
    <xf numFmtId="0" fontId="27" fillId="11" borderId="60" xfId="3" applyFont="1" applyFill="1" applyBorder="1" applyAlignment="1" applyProtection="1">
      <alignment horizontal="center" vertical="center"/>
      <protection hidden="1"/>
    </xf>
    <xf numFmtId="0" fontId="27" fillId="11" borderId="1" xfId="3" applyFont="1" applyFill="1" applyBorder="1" applyAlignment="1" applyProtection="1">
      <alignment horizontal="left" vertical="center"/>
      <protection hidden="1"/>
    </xf>
    <xf numFmtId="0" fontId="27" fillId="11" borderId="1" xfId="3" applyFont="1" applyFill="1" applyBorder="1" applyAlignment="1" applyProtection="1">
      <alignment horizontal="left" vertical="center" wrapText="1"/>
      <protection hidden="1"/>
    </xf>
    <xf numFmtId="0" fontId="43" fillId="0" borderId="19" xfId="3" applyFont="1" applyBorder="1" applyAlignment="1" applyProtection="1">
      <alignment horizontal="right" vertical="center"/>
      <protection hidden="1"/>
    </xf>
    <xf numFmtId="0" fontId="43" fillId="0" borderId="23" xfId="3" applyFont="1" applyBorder="1" applyAlignment="1" applyProtection="1">
      <alignment horizontal="right" vertical="center"/>
      <protection hidden="1"/>
    </xf>
    <xf numFmtId="0" fontId="27" fillId="0" borderId="23" xfId="3" applyFont="1" applyBorder="1" applyAlignment="1" applyProtection="1">
      <alignment horizontal="center" vertical="center"/>
      <protection hidden="1"/>
    </xf>
    <xf numFmtId="0" fontId="27" fillId="0" borderId="57" xfId="3" applyFont="1" applyBorder="1" applyAlignment="1" applyProtection="1">
      <alignment horizontal="center" vertical="center"/>
      <protection hidden="1"/>
    </xf>
    <xf numFmtId="0" fontId="27" fillId="11" borderId="9" xfId="3" applyFont="1" applyFill="1" applyBorder="1" applyAlignment="1" applyProtection="1">
      <alignment horizontal="center" vertical="center" wrapText="1"/>
      <protection hidden="1"/>
    </xf>
    <xf numFmtId="0" fontId="27" fillId="11" borderId="46" xfId="3" applyFont="1" applyFill="1" applyBorder="1" applyAlignment="1" applyProtection="1">
      <alignment horizontal="right" vertical="center"/>
      <protection hidden="1"/>
    </xf>
    <xf numFmtId="0" fontId="27" fillId="11" borderId="53" xfId="3" applyFont="1" applyFill="1" applyBorder="1" applyAlignment="1" applyProtection="1">
      <alignment horizontal="right" vertical="center"/>
      <protection hidden="1"/>
    </xf>
    <xf numFmtId="0" fontId="27" fillId="11" borderId="54" xfId="3" applyFont="1" applyFill="1" applyBorder="1" applyAlignment="1" applyProtection="1">
      <alignment horizontal="right" vertical="center"/>
      <protection hidden="1"/>
    </xf>
    <xf numFmtId="0" fontId="27" fillId="11" borderId="18" xfId="3" applyFont="1" applyFill="1" applyBorder="1" applyAlignment="1" applyProtection="1">
      <alignment horizontal="right" vertical="center"/>
      <protection hidden="1"/>
    </xf>
    <xf numFmtId="0" fontId="27" fillId="4" borderId="54" xfId="3" applyFont="1" applyFill="1" applyBorder="1" applyAlignment="1" applyProtection="1">
      <alignment horizontal="center" vertical="center" wrapText="1"/>
      <protection hidden="1"/>
    </xf>
    <xf numFmtId="0" fontId="27" fillId="4" borderId="55" xfId="3" applyFont="1" applyFill="1" applyBorder="1" applyAlignment="1" applyProtection="1">
      <alignment horizontal="center" vertical="center" wrapText="1"/>
      <protection hidden="1"/>
    </xf>
    <xf numFmtId="0" fontId="27" fillId="11" borderId="15" xfId="3" applyFont="1" applyFill="1" applyBorder="1" applyAlignment="1" applyProtection="1">
      <alignment horizontal="left" vertical="center"/>
      <protection hidden="1"/>
    </xf>
    <xf numFmtId="0" fontId="27" fillId="11" borderId="41" xfId="3" applyFont="1" applyFill="1" applyBorder="1" applyAlignment="1" applyProtection="1">
      <alignment horizontal="left" vertical="center"/>
      <protection hidden="1"/>
    </xf>
    <xf numFmtId="0" fontId="27" fillId="11" borderId="16" xfId="3" applyFont="1" applyFill="1" applyBorder="1" applyAlignment="1" applyProtection="1">
      <alignment horizontal="left" vertical="center"/>
      <protection hidden="1"/>
    </xf>
    <xf numFmtId="0" fontId="43" fillId="4" borderId="15" xfId="3" applyFont="1" applyFill="1" applyBorder="1" applyAlignment="1" applyProtection="1">
      <alignment horizontal="right" vertical="center"/>
      <protection hidden="1"/>
    </xf>
    <xf numFmtId="0" fontId="43" fillId="4" borderId="41" xfId="3" applyFont="1" applyFill="1" applyBorder="1" applyAlignment="1" applyProtection="1">
      <alignment horizontal="right" vertical="center"/>
      <protection hidden="1"/>
    </xf>
    <xf numFmtId="0" fontId="27" fillId="4" borderId="35" xfId="3" applyFont="1" applyFill="1" applyBorder="1" applyAlignment="1" applyProtection="1">
      <alignment horizontal="center" vertical="center" wrapText="1"/>
      <protection hidden="1"/>
    </xf>
    <xf numFmtId="0" fontId="27" fillId="4" borderId="68" xfId="3" applyFont="1" applyFill="1" applyBorder="1" applyAlignment="1" applyProtection="1">
      <alignment horizontal="center" vertical="center" wrapText="1"/>
      <protection hidden="1"/>
    </xf>
    <xf numFmtId="0" fontId="27" fillId="11" borderId="63" xfId="3" applyFont="1" applyFill="1" applyBorder="1" applyAlignment="1" applyProtection="1">
      <alignment horizontal="center" vertical="center" wrapText="1"/>
      <protection hidden="1"/>
    </xf>
    <xf numFmtId="0" fontId="45" fillId="0" borderId="67" xfId="3" applyFont="1" applyBorder="1" applyAlignment="1" applyProtection="1">
      <alignment horizontal="center" vertical="center"/>
      <protection hidden="1"/>
    </xf>
    <xf numFmtId="0" fontId="45" fillId="0" borderId="35" xfId="3" applyFont="1" applyBorder="1" applyAlignment="1" applyProtection="1">
      <alignment horizontal="center" vertical="center"/>
      <protection hidden="1"/>
    </xf>
    <xf numFmtId="0" fontId="45" fillId="0" borderId="68" xfId="3" applyFont="1" applyBorder="1" applyAlignment="1" applyProtection="1">
      <alignment horizontal="center" vertical="center"/>
      <protection hidden="1"/>
    </xf>
    <xf numFmtId="0" fontId="27" fillId="11" borderId="3" xfId="3" applyFont="1" applyFill="1" applyBorder="1" applyAlignment="1" applyProtection="1">
      <alignment horizontal="left" vertical="center" wrapText="1"/>
      <protection hidden="1"/>
    </xf>
    <xf numFmtId="0" fontId="27" fillId="11" borderId="4" xfId="3" applyFont="1" applyFill="1" applyBorder="1" applyAlignment="1" applyProtection="1">
      <alignment horizontal="left" vertical="center" wrapText="1"/>
      <protection hidden="1"/>
    </xf>
    <xf numFmtId="0" fontId="27" fillId="11" borderId="5" xfId="3" applyFont="1" applyFill="1" applyBorder="1" applyAlignment="1" applyProtection="1">
      <alignment horizontal="left" vertical="center" wrapText="1"/>
      <protection hidden="1"/>
    </xf>
    <xf numFmtId="0" fontId="27" fillId="11" borderId="6" xfId="3" applyFont="1" applyFill="1" applyBorder="1" applyAlignment="1" applyProtection="1">
      <alignment horizontal="left" vertical="center" wrapText="1"/>
      <protection hidden="1"/>
    </xf>
    <xf numFmtId="0" fontId="27" fillId="11" borderId="7" xfId="3" applyFont="1" applyFill="1" applyBorder="1" applyAlignment="1" applyProtection="1">
      <alignment horizontal="left" vertical="center" wrapText="1"/>
      <protection hidden="1"/>
    </xf>
    <xf numFmtId="0" fontId="27" fillId="11" borderId="64" xfId="3" applyFont="1" applyFill="1" applyBorder="1" applyAlignment="1" applyProtection="1">
      <alignment horizontal="center" vertical="center"/>
      <protection hidden="1"/>
    </xf>
    <xf numFmtId="0" fontId="27" fillId="11" borderId="65" xfId="3" applyFont="1" applyFill="1" applyBorder="1" applyAlignment="1" applyProtection="1">
      <alignment horizontal="center" vertical="center"/>
      <protection hidden="1"/>
    </xf>
    <xf numFmtId="0" fontId="27" fillId="11" borderId="64" xfId="3" applyFont="1" applyFill="1" applyBorder="1" applyAlignment="1" applyProtection="1">
      <alignment horizontal="left" vertical="center" wrapText="1"/>
      <protection hidden="1"/>
    </xf>
    <xf numFmtId="0" fontId="27" fillId="11" borderId="65" xfId="3" applyFont="1" applyFill="1" applyBorder="1" applyAlignment="1" applyProtection="1">
      <alignment horizontal="left" vertical="center" wrapText="1"/>
      <protection hidden="1"/>
    </xf>
    <xf numFmtId="0" fontId="27" fillId="11" borderId="66" xfId="3" applyFont="1" applyFill="1" applyBorder="1" applyAlignment="1" applyProtection="1">
      <alignment horizontal="left" vertical="center" wrapText="1"/>
      <protection hidden="1"/>
    </xf>
  </cellXfs>
  <cellStyles count="6">
    <cellStyle name="ハイパーリンク" xfId="4" builtinId="8"/>
    <cellStyle name="桁区切り" xfId="2" builtinId="6"/>
    <cellStyle name="標準" xfId="0" builtinId="0"/>
    <cellStyle name="標準 2" xfId="3" xr:uid="{00000000-0005-0000-0000-000003000000}"/>
    <cellStyle name="標準 3" xfId="1" xr:uid="{00000000-0005-0000-0000-000004000000}"/>
    <cellStyle name="標準 4" xfId="5" xr:uid="{00000000-0005-0000-0000-000005000000}"/>
  </cellStyles>
  <dxfs count="999">
    <dxf>
      <fill>
        <patternFill>
          <bgColor theme="1" tint="0.14996795556505021"/>
        </patternFill>
      </fill>
    </dxf>
    <dxf>
      <font>
        <color rgb="FF0070C0"/>
      </font>
      <fill>
        <patternFill>
          <bgColor theme="8" tint="0.79998168889431442"/>
        </patternFill>
      </fill>
    </dxf>
    <dxf>
      <font>
        <color theme="9" tint="-0.499984740745262"/>
      </font>
      <fill>
        <patternFill>
          <bgColor theme="9" tint="0.79998168889431442"/>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8" tint="0.79998168889431442"/>
        </patternFill>
      </fill>
    </dxf>
    <dxf>
      <font>
        <color theme="9" tint="-0.499984740745262"/>
      </font>
      <fill>
        <patternFill>
          <bgColor theme="9" tint="0.79998168889431442"/>
        </patternFill>
      </fill>
    </dxf>
    <dxf>
      <font>
        <color rgb="FF0070C0"/>
      </font>
      <fill>
        <patternFill>
          <bgColor theme="8" tint="0.79998168889431442"/>
        </patternFill>
      </fill>
    </dxf>
    <dxf>
      <font>
        <color theme="9" tint="-0.499984740745262"/>
      </font>
      <fill>
        <patternFill>
          <bgColor theme="9" tint="0.79998168889431442"/>
        </patternFill>
      </fill>
    </dxf>
    <dxf>
      <font>
        <color rgb="FF0070C0"/>
      </font>
      <fill>
        <patternFill>
          <bgColor theme="0"/>
        </patternFill>
      </fill>
    </dxf>
    <dxf>
      <font>
        <color rgb="FFFF0000"/>
      </font>
      <fill>
        <patternFill>
          <bgColor rgb="FFFFCCFF"/>
        </patternFill>
      </fill>
    </dxf>
    <dxf>
      <font>
        <color rgb="FF0070C0"/>
      </font>
      <fill>
        <patternFill>
          <bgColor theme="8" tint="0.79998168889431442"/>
        </patternFill>
      </fill>
    </dxf>
    <dxf>
      <font>
        <color theme="9" tint="-0.499984740745262"/>
      </font>
      <fill>
        <patternFill>
          <bgColor theme="9" tint="0.79998168889431442"/>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8" tint="0.79998168889431442"/>
        </patternFill>
      </fill>
    </dxf>
    <dxf>
      <font>
        <color theme="9" tint="-0.499984740745262"/>
      </font>
      <fill>
        <patternFill>
          <bgColor theme="9" tint="0.79998168889431442"/>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ill>
        <patternFill>
          <bgColor theme="1" tint="0.499984740745262"/>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8" tint="0.79998168889431442"/>
        </patternFill>
      </fill>
    </dxf>
    <dxf>
      <font>
        <color theme="9" tint="-0.499984740745262"/>
      </font>
      <fill>
        <patternFill>
          <bgColor theme="9" tint="0.79998168889431442"/>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8" tint="0.79998168889431442"/>
        </patternFill>
      </fill>
    </dxf>
    <dxf>
      <font>
        <color theme="9" tint="-0.499984740745262"/>
      </font>
      <fill>
        <patternFill>
          <bgColor theme="9" tint="0.79998168889431442"/>
        </patternFill>
      </fill>
    </dxf>
    <dxf>
      <font>
        <color rgb="FF0070C0"/>
      </font>
      <fill>
        <patternFill>
          <bgColor theme="8" tint="0.79998168889431442"/>
        </patternFill>
      </fill>
    </dxf>
    <dxf>
      <font>
        <color theme="9" tint="-0.499984740745262"/>
      </font>
      <fill>
        <patternFill>
          <bgColor theme="9" tint="0.79998168889431442"/>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8" tint="0.79998168889431442"/>
        </patternFill>
      </fill>
    </dxf>
    <dxf>
      <font>
        <color theme="9" tint="-0.499984740745262"/>
      </font>
      <fill>
        <patternFill>
          <bgColor theme="9" tint="0.79998168889431442"/>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8" tint="0.79998168889431442"/>
        </patternFill>
      </fill>
    </dxf>
    <dxf>
      <font>
        <color theme="9" tint="-0.499984740745262"/>
      </font>
      <fill>
        <patternFill>
          <bgColor theme="9" tint="0.79998168889431442"/>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0070C0"/>
      </font>
      <fill>
        <patternFill>
          <bgColor theme="0"/>
        </patternFill>
      </fill>
    </dxf>
    <dxf>
      <font>
        <color rgb="FFFF0000"/>
      </font>
      <fill>
        <patternFill>
          <bgColor rgb="FFFFCCFF"/>
        </patternFill>
      </fill>
    </dxf>
    <dxf>
      <font>
        <color rgb="FFFF0000"/>
      </font>
    </dxf>
    <dxf>
      <font>
        <color rgb="FFFF0000"/>
      </font>
    </dxf>
    <dxf>
      <font>
        <color rgb="FFFF0000"/>
      </font>
    </dxf>
    <dxf>
      <font>
        <color rgb="FFFF0000"/>
      </font>
    </dxf>
    <dxf>
      <fill>
        <patternFill>
          <bgColor rgb="FFFF99CC"/>
        </patternFill>
      </fill>
    </dxf>
    <dxf>
      <fill>
        <patternFill>
          <bgColor rgb="FFFF99CC"/>
        </patternFill>
      </fill>
    </dxf>
    <dxf>
      <fill>
        <patternFill>
          <bgColor rgb="FFFF99CC"/>
        </patternFill>
      </fill>
    </dxf>
    <dxf>
      <fill>
        <patternFill>
          <bgColor rgb="FFFF99CC"/>
        </patternFill>
      </fill>
    </dxf>
    <dxf>
      <font>
        <color rgb="FFFF0000"/>
      </font>
    </dxf>
    <dxf>
      <font>
        <color rgb="FFFF0000"/>
      </font>
    </dxf>
    <dxf>
      <fill>
        <patternFill>
          <bgColor theme="1" tint="0.499984740745262"/>
        </patternFill>
      </fill>
    </dxf>
    <dxf>
      <font>
        <u/>
        <color rgb="FFFF0000"/>
      </font>
      <fill>
        <patternFill>
          <bgColor theme="5" tint="0.79998168889431442"/>
        </patternFill>
      </fill>
    </dxf>
    <dxf>
      <font>
        <u/>
        <color rgb="FFFF0000"/>
      </font>
      <fill>
        <patternFill patternType="solid">
          <bgColor theme="4" tint="0.7999816888943144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5" tint="0.39994506668294322"/>
      </font>
      <fill>
        <patternFill>
          <bgColor theme="5" tint="0.39994506668294322"/>
        </patternFill>
      </fill>
    </dxf>
    <dxf>
      <font>
        <color theme="0"/>
      </font>
      <fill>
        <patternFill>
          <bgColor rgb="FFFF0000"/>
        </patternFill>
      </fill>
    </dxf>
    <dxf>
      <font>
        <color rgb="FF0070C0"/>
      </font>
    </dxf>
    <dxf>
      <font>
        <color theme="5" tint="0.39994506668294322"/>
      </font>
      <fill>
        <patternFill>
          <bgColor theme="5" tint="0.39994506668294322"/>
        </patternFill>
      </fill>
    </dxf>
    <dxf>
      <font>
        <color theme="0"/>
      </font>
      <fill>
        <patternFill>
          <bgColor rgb="FFFF0000"/>
        </patternFill>
      </fill>
    </dxf>
    <dxf>
      <font>
        <color rgb="FF0070C0"/>
      </font>
    </dxf>
    <dxf>
      <font>
        <color theme="0"/>
      </font>
      <fill>
        <patternFill>
          <bgColor rgb="FFFF0000"/>
        </patternFill>
      </fill>
    </dxf>
    <dxf>
      <font>
        <color rgb="FF0070C0"/>
      </font>
    </dxf>
    <dxf>
      <font>
        <color theme="0"/>
      </font>
      <fill>
        <patternFill>
          <bgColor rgb="FFFF0000"/>
        </patternFill>
      </fill>
    </dxf>
    <dxf>
      <font>
        <color rgb="FF0070C0"/>
      </font>
    </dxf>
    <dxf>
      <font>
        <color theme="0"/>
      </font>
      <fill>
        <patternFill>
          <bgColor rgb="FFFF0000"/>
        </patternFill>
      </fill>
    </dxf>
    <dxf>
      <font>
        <color rgb="FF0070C0"/>
      </font>
    </dxf>
    <dxf>
      <font>
        <color theme="0"/>
      </font>
      <fill>
        <patternFill>
          <bgColor rgb="FFFF0000"/>
        </patternFill>
      </fill>
    </dxf>
    <dxf>
      <font>
        <color rgb="FF0070C0"/>
      </font>
    </dxf>
    <dxf>
      <font>
        <color theme="0"/>
      </font>
      <fill>
        <patternFill>
          <bgColor rgb="FFFF0000"/>
        </patternFill>
      </fill>
    </dxf>
    <dxf>
      <font>
        <color rgb="FF0070C0"/>
      </font>
    </dxf>
    <dxf>
      <font>
        <color theme="0"/>
      </font>
      <fill>
        <patternFill>
          <bgColor rgb="FFFF0000"/>
        </patternFill>
      </fill>
    </dxf>
    <dxf>
      <font>
        <color rgb="FF0070C0"/>
      </font>
    </dxf>
    <dxf>
      <font>
        <color theme="0"/>
      </font>
      <fill>
        <patternFill>
          <bgColor rgb="FFFF0000"/>
        </patternFill>
      </fill>
    </dxf>
    <dxf>
      <font>
        <color rgb="FF0070C0"/>
      </font>
    </dxf>
    <dxf>
      <font>
        <color theme="0"/>
      </font>
      <fill>
        <patternFill>
          <bgColor rgb="FFFF0000"/>
        </patternFill>
      </fill>
    </dxf>
    <dxf>
      <font>
        <color rgb="FF0070C0"/>
      </font>
    </dxf>
    <dxf>
      <font>
        <color theme="4" tint="0.59996337778862885"/>
      </font>
      <fill>
        <patternFill>
          <bgColor theme="4" tint="0.59996337778862885"/>
        </patternFill>
      </fill>
    </dxf>
    <dxf>
      <font>
        <color theme="5" tint="0.59996337778862885"/>
      </font>
      <fill>
        <patternFill>
          <bgColor theme="5" tint="0.59996337778862885"/>
        </patternFill>
      </fill>
    </dxf>
    <dxf>
      <font>
        <color theme="5" tint="0.39994506668294322"/>
      </font>
      <fill>
        <patternFill>
          <bgColor theme="5" tint="0.39994506668294322"/>
        </patternFill>
      </fill>
    </dxf>
    <dxf>
      <font>
        <color theme="4" tint="0.39994506668294322"/>
      </font>
      <fill>
        <patternFill>
          <bgColor theme="4" tint="0.39994506668294322"/>
        </patternFill>
      </fill>
    </dxf>
    <dxf>
      <font>
        <color theme="0"/>
      </font>
      <fill>
        <patternFill>
          <bgColor rgb="FFFF0000"/>
        </patternFill>
      </fill>
    </dxf>
    <dxf>
      <font>
        <color rgb="FF0070C0"/>
      </font>
    </dxf>
    <dxf>
      <font>
        <color theme="0"/>
      </font>
      <fill>
        <patternFill>
          <bgColor rgb="FFFF0000"/>
        </patternFill>
      </fill>
    </dxf>
    <dxf>
      <font>
        <color rgb="FF0070C0"/>
      </font>
    </dxf>
    <dxf>
      <font>
        <color theme="0"/>
      </font>
      <fill>
        <patternFill>
          <bgColor rgb="FFFF0000"/>
        </patternFill>
      </fill>
    </dxf>
    <dxf>
      <font>
        <color rgb="FF0070C0"/>
      </font>
    </dxf>
    <dxf>
      <font>
        <color theme="0"/>
      </font>
      <fill>
        <patternFill>
          <bgColor rgb="FFFF0000"/>
        </patternFill>
      </fill>
    </dxf>
    <dxf>
      <font>
        <color rgb="FF0070C0"/>
      </font>
    </dxf>
    <dxf>
      <font>
        <color theme="0"/>
      </font>
      <fill>
        <patternFill>
          <bgColor rgb="FFFF0000"/>
        </patternFill>
      </fill>
    </dxf>
    <dxf>
      <font>
        <color rgb="FF0070C0"/>
      </font>
    </dxf>
    <dxf>
      <font>
        <color theme="0"/>
      </font>
      <fill>
        <patternFill>
          <bgColor rgb="FFFF0000"/>
        </patternFill>
      </fill>
    </dxf>
    <dxf>
      <font>
        <color rgb="FF0070C0"/>
      </font>
    </dxf>
    <dxf>
      <font>
        <color theme="0"/>
      </font>
      <fill>
        <patternFill>
          <bgColor rgb="FFFF0000"/>
        </patternFill>
      </fill>
    </dxf>
    <dxf>
      <font>
        <color rgb="FF0070C0"/>
      </font>
    </dxf>
    <dxf>
      <font>
        <color theme="0"/>
      </font>
      <fill>
        <patternFill>
          <bgColor rgb="FFFF0000"/>
        </patternFill>
      </fill>
    </dxf>
    <dxf>
      <font>
        <color rgb="FF0070C0"/>
      </font>
    </dxf>
    <dxf>
      <font>
        <color theme="0"/>
      </font>
      <fill>
        <patternFill>
          <bgColor rgb="FFFF0000"/>
        </patternFill>
      </fill>
    </dxf>
    <dxf>
      <font>
        <color rgb="FF0070C0"/>
      </font>
    </dxf>
    <dxf>
      <font>
        <color theme="0"/>
      </font>
      <fill>
        <patternFill>
          <bgColor rgb="FFFF0000"/>
        </patternFill>
      </fill>
    </dxf>
    <dxf>
      <font>
        <color rgb="FF0070C0"/>
      </font>
    </dxf>
    <dxf>
      <font>
        <color theme="0"/>
      </font>
      <fill>
        <patternFill>
          <bgColor rgb="FFFF0000"/>
        </patternFill>
      </fill>
    </dxf>
    <dxf>
      <font>
        <color rgb="FF0070C0"/>
      </font>
    </dxf>
    <dxf>
      <font>
        <color theme="0"/>
      </font>
      <fill>
        <patternFill>
          <bgColor rgb="FFFF0000"/>
        </patternFill>
      </fill>
    </dxf>
    <dxf>
      <font>
        <color rgb="FF0070C0"/>
      </font>
    </dxf>
    <dxf>
      <font>
        <color theme="0"/>
      </font>
      <fill>
        <patternFill>
          <bgColor rgb="FFFF0000"/>
        </patternFill>
      </fill>
    </dxf>
    <dxf>
      <font>
        <color rgb="FF0070C0"/>
      </font>
    </dxf>
    <dxf>
      <font>
        <color theme="0"/>
      </font>
      <fill>
        <patternFill>
          <bgColor rgb="FFFF0000"/>
        </patternFill>
      </fill>
    </dxf>
    <dxf>
      <font>
        <color rgb="FF0070C0"/>
      </font>
    </dxf>
    <dxf>
      <font>
        <color rgb="FF0070C0"/>
      </font>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rgb="FFFF0000"/>
      </font>
      <fill>
        <patternFill>
          <bgColor rgb="FFFFC7CE"/>
        </patternFill>
      </fill>
    </dxf>
    <dxf>
      <font>
        <color theme="1" tint="0.499984740745262"/>
      </font>
      <fill>
        <patternFill>
          <bgColor theme="1" tint="0.499984740745262"/>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2" tint="-0.499984740745262"/>
      </font>
      <fill>
        <patternFill>
          <bgColor rgb="FFFFD966"/>
        </patternFill>
      </fill>
    </dxf>
    <dxf>
      <font>
        <color rgb="FFFF0000"/>
      </font>
      <fill>
        <patternFill>
          <bgColor rgb="FFFFC7CE"/>
        </patternFill>
      </fill>
    </dxf>
    <dxf>
      <font>
        <color theme="2" tint="-0.499984740745262"/>
      </font>
      <fill>
        <patternFill>
          <bgColor rgb="FFFFD966"/>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2" tint="-0.499984740745262"/>
      </font>
      <fill>
        <patternFill>
          <bgColor rgb="FFFFD966"/>
        </patternFill>
      </fill>
    </dxf>
    <dxf>
      <font>
        <color theme="2" tint="-0.499984740745262"/>
      </font>
      <fill>
        <patternFill>
          <bgColor rgb="FFFFD966"/>
        </patternFill>
      </fill>
    </dxf>
    <dxf>
      <font>
        <color theme="2" tint="-0.499984740745262"/>
      </font>
      <fill>
        <patternFill>
          <bgColor rgb="FFFFD966"/>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2" tint="-0.499984740745262"/>
      </font>
      <fill>
        <patternFill>
          <bgColor rgb="FFFFD966"/>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2" tint="-0.499984740745262"/>
      </font>
      <fill>
        <patternFill>
          <bgColor rgb="FFFFD966"/>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2" tint="-0.499984740745262"/>
      </font>
      <fill>
        <patternFill>
          <bgColor rgb="FFFFD966"/>
        </patternFill>
      </fill>
    </dxf>
    <dxf>
      <font>
        <color rgb="FFFF0000"/>
      </font>
      <fill>
        <patternFill>
          <bgColor rgb="FFFFC7CE"/>
        </patternFill>
      </fill>
    </dxf>
    <dxf>
      <font>
        <color rgb="FFFF0000"/>
      </font>
      <fill>
        <patternFill>
          <bgColor rgb="FFFFC7CE"/>
        </patternFill>
      </fill>
    </dxf>
    <dxf>
      <font>
        <color theme="0"/>
      </font>
      <fill>
        <patternFill>
          <bgColor theme="0"/>
        </patternFill>
      </fill>
      <border>
        <left/>
        <right/>
        <top/>
        <bottom/>
        <vertical/>
        <horizontal/>
      </border>
    </dxf>
    <dxf>
      <font>
        <color theme="1" tint="0.499984740745262"/>
      </font>
      <fill>
        <patternFill>
          <bgColor theme="1" tint="0.499984740745262"/>
        </patternFill>
      </fill>
    </dxf>
    <dxf>
      <font>
        <color theme="0"/>
      </font>
      <fill>
        <patternFill>
          <bgColor theme="0"/>
        </patternFill>
      </fill>
      <border>
        <left/>
        <right/>
        <top/>
        <bottom/>
        <vertical/>
        <horizontal/>
      </border>
    </dxf>
    <dxf>
      <font>
        <b/>
        <i val="0"/>
        <color theme="0"/>
      </font>
      <fill>
        <patternFill>
          <bgColor rgb="FFFF0000"/>
        </patternFill>
      </fill>
    </dxf>
    <dxf>
      <font>
        <color theme="0"/>
      </font>
      <fill>
        <patternFill>
          <bgColor theme="0"/>
        </patternFill>
      </fill>
      <border>
        <left/>
        <right/>
        <top/>
        <bottom/>
        <vertical/>
        <horizontal/>
      </border>
    </dxf>
    <dxf>
      <font>
        <b/>
        <i val="0"/>
        <color theme="0"/>
      </font>
      <fill>
        <patternFill>
          <bgColor rgb="FFFF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color theme="0"/>
      </font>
      <fill>
        <patternFill>
          <bgColor rgb="FF00B0F0"/>
        </patternFill>
      </fill>
    </dxf>
    <dxf>
      <font>
        <b/>
        <i val="0"/>
        <color theme="0"/>
      </font>
      <fill>
        <patternFill>
          <bgColor rgb="FF00B0F0"/>
        </patternFill>
      </fill>
    </dxf>
    <dxf>
      <font>
        <color theme="0"/>
      </font>
      <fill>
        <patternFill>
          <bgColor theme="0"/>
        </patternFill>
      </fill>
      <border>
        <left/>
        <right/>
        <top/>
        <bottom/>
        <vertical/>
        <horizontal/>
      </border>
    </dxf>
    <dxf>
      <font>
        <color theme="1" tint="0.499984740745262"/>
      </font>
      <fill>
        <patternFill>
          <bgColor theme="1" tint="0.499984740745262"/>
        </patternFill>
      </fill>
    </dxf>
    <dxf>
      <font>
        <color rgb="FFFF0000"/>
      </font>
      <fill>
        <patternFill>
          <bgColor rgb="FFFFC7CE"/>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rgb="FFFF0000"/>
      </font>
      <fill>
        <patternFill>
          <bgColor rgb="FFFFC7CE"/>
        </patternFill>
      </fill>
    </dxf>
    <dxf>
      <font>
        <color theme="1" tint="0.499984740745262"/>
      </font>
      <fill>
        <patternFill>
          <bgColor theme="0"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rgb="FFFF0000"/>
      </font>
      <fill>
        <patternFill>
          <bgColor rgb="FFFFC7CE"/>
        </patternFill>
      </fill>
    </dxf>
    <dxf>
      <font>
        <color theme="1" tint="0.499984740745262"/>
      </font>
      <fill>
        <patternFill>
          <bgColor theme="1" tint="0.499984740745262"/>
        </patternFill>
      </fill>
    </dxf>
    <dxf>
      <font>
        <color rgb="FFFF0000"/>
      </font>
      <fill>
        <patternFill>
          <bgColor rgb="FFFFC7CE"/>
        </patternFill>
      </fill>
    </dxf>
    <dxf>
      <font>
        <color theme="1" tint="0.499984740745262"/>
      </font>
      <fill>
        <patternFill>
          <bgColor theme="1" tint="0.499984740745262"/>
        </patternFill>
      </fill>
    </dxf>
    <dxf>
      <font>
        <color rgb="FFFF0000"/>
      </font>
      <fill>
        <patternFill>
          <bgColor rgb="FFFFC7CE"/>
        </patternFill>
      </fill>
    </dxf>
    <dxf>
      <font>
        <color theme="1" tint="0.499984740745262"/>
      </font>
      <fill>
        <patternFill>
          <bgColor theme="1" tint="0.499984740745262"/>
        </patternFill>
      </fill>
    </dxf>
    <dxf>
      <font>
        <color rgb="FFFF0000"/>
      </font>
      <fill>
        <patternFill>
          <bgColor rgb="FFFFC7CE"/>
        </patternFill>
      </fill>
    </dxf>
    <dxf>
      <font>
        <color theme="1" tint="0.499984740745262"/>
      </font>
      <fill>
        <patternFill>
          <bgColor theme="1" tint="0.499984740745262"/>
        </patternFill>
      </fill>
    </dxf>
    <dxf>
      <font>
        <color rgb="FFFF0000"/>
      </font>
      <fill>
        <patternFill>
          <bgColor rgb="FFFFC7CE"/>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rgb="FFFF0000"/>
      </font>
      <fill>
        <patternFill>
          <bgColor rgb="FFFFC7CE"/>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rgb="FFFF0000"/>
      </font>
      <fill>
        <patternFill>
          <bgColor rgb="FFFFC7CE"/>
        </patternFill>
      </fill>
    </dxf>
    <dxf>
      <font>
        <color theme="1" tint="0.499984740745262"/>
      </font>
      <fill>
        <patternFill>
          <bgColor theme="0" tint="-0.499984740745262"/>
        </patternFill>
      </fill>
    </dxf>
    <dxf>
      <font>
        <color theme="1" tint="0.499984740745262"/>
      </font>
      <fill>
        <patternFill>
          <bgColor theme="0" tint="-0.499984740745262"/>
        </patternFill>
      </fill>
    </dxf>
    <dxf>
      <font>
        <color theme="1" tint="0.499984740745262"/>
      </font>
      <fill>
        <patternFill>
          <bgColor theme="0" tint="-0.499984740745262"/>
        </patternFill>
      </fill>
    </dxf>
    <dxf>
      <font>
        <color theme="1" tint="0.499984740745262"/>
      </font>
      <fill>
        <patternFill>
          <bgColor theme="0" tint="-0.499984740745262"/>
        </patternFill>
      </fill>
    </dxf>
    <dxf>
      <font>
        <color theme="1" tint="0.499984740745262"/>
      </font>
      <fill>
        <patternFill>
          <bgColor theme="0" tint="-0.499984740745262"/>
        </patternFill>
      </fill>
    </dxf>
    <dxf>
      <font>
        <color theme="1" tint="0.499984740745262"/>
      </font>
      <fill>
        <patternFill>
          <bgColor theme="0" tint="-0.499984740745262"/>
        </patternFill>
      </fill>
    </dxf>
    <dxf>
      <font>
        <color theme="1" tint="0.499984740745262"/>
      </font>
      <fill>
        <patternFill>
          <bgColor theme="0" tint="-0.499984740745262"/>
        </patternFill>
      </fill>
    </dxf>
    <dxf>
      <font>
        <color theme="1" tint="0.499984740745262"/>
      </font>
      <fill>
        <patternFill>
          <bgColor theme="0"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2" tint="-0.499984740745262"/>
      </font>
      <fill>
        <patternFill>
          <bgColor rgb="FFFFD966"/>
        </patternFill>
      </fill>
    </dxf>
    <dxf>
      <font>
        <color rgb="FFFF0000"/>
      </font>
      <fill>
        <patternFill>
          <bgColor rgb="FFFFC7CE"/>
        </patternFill>
      </fill>
    </dxf>
    <dxf>
      <font>
        <color theme="2" tint="-0.499984740745262"/>
      </font>
      <fill>
        <patternFill>
          <bgColor rgb="FFFFD966"/>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tint="0.499984740745262"/>
      </font>
      <fill>
        <patternFill>
          <bgColor theme="1" tint="0.499984740745262"/>
        </patternFill>
      </fill>
    </dxf>
    <dxf>
      <font>
        <color rgb="FFFF0000"/>
      </font>
    </dxf>
    <dxf>
      <font>
        <color rgb="FFFF0000"/>
      </font>
    </dxf>
    <dxf>
      <font>
        <b/>
        <i val="0"/>
        <color rgb="FFFF0000"/>
      </font>
    </dxf>
    <dxf>
      <font>
        <color theme="0"/>
      </font>
      <fill>
        <patternFill>
          <bgColor rgb="FFFF0000"/>
        </patternFill>
      </fill>
    </dxf>
    <dxf>
      <font>
        <color rgb="FFFF0000"/>
      </font>
    </dxf>
    <dxf>
      <font>
        <color theme="1" tint="0.499984740745262"/>
      </font>
      <fill>
        <patternFill>
          <bgColor theme="1" tint="0.499984740745262"/>
        </patternFill>
      </fill>
    </dxf>
    <dxf>
      <font>
        <color theme="1" tint="0.499984740745262"/>
      </font>
      <fill>
        <patternFill>
          <bgColor theme="1" tint="0.499984740745262"/>
        </patternFill>
      </fill>
    </dxf>
    <dxf>
      <font>
        <color theme="0"/>
      </font>
      <fill>
        <patternFill>
          <bgColor rgb="FFFF0000"/>
        </patternFill>
      </fill>
    </dxf>
    <dxf>
      <font>
        <u/>
        <color rgb="FFFF0000"/>
      </font>
      <fill>
        <patternFill>
          <bgColor theme="8" tint="0.79998168889431442"/>
        </patternFill>
      </fill>
    </dxf>
    <dxf>
      <font>
        <u/>
        <color rgb="FFFF0000"/>
      </font>
    </dxf>
    <dxf>
      <font>
        <color rgb="FFFF0000"/>
      </font>
      <fill>
        <patternFill>
          <bgColor rgb="FFFFC7CE"/>
        </patternFill>
      </fill>
    </dxf>
    <dxf>
      <fill>
        <patternFill>
          <bgColor rgb="FFFF99CC"/>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99CC"/>
        </patternFill>
      </fill>
    </dxf>
  </dxfs>
  <tableStyles count="0" defaultTableStyle="TableStyleMedium2" defaultPivotStyle="PivotStyleMedium9"/>
  <colors>
    <mruColors>
      <color rgb="FFA0A0A0"/>
      <color rgb="FFB4B4B4"/>
      <color rgb="FFFFC7CE"/>
      <color rgb="FFFFD966"/>
      <color rgb="FFFFCC00"/>
      <color rgb="FFFF9999"/>
      <color rgb="FFFFCCFF"/>
      <color rgb="FFFF99CC"/>
      <color rgb="FFFF66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276225</xdr:colOff>
      <xdr:row>5</xdr:row>
      <xdr:rowOff>161925</xdr:rowOff>
    </xdr:from>
    <xdr:to>
      <xdr:col>19</xdr:col>
      <xdr:colOff>100012</xdr:colOff>
      <xdr:row>10</xdr:row>
      <xdr:rowOff>100013</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42900" y="1228725"/>
          <a:ext cx="6596062" cy="566738"/>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kumimoji="1" lang="ja-JP" altLang="en-US" sz="1100"/>
            <a:t>入力シートの１～１２の必要箇所に情報を入力する</a:t>
          </a:r>
        </a:p>
        <a:p>
          <a:pPr algn="ctr"/>
          <a:r>
            <a:rPr kumimoji="1" lang="ja-JP" altLang="en-US" sz="1100"/>
            <a:t>（入力箇所によって文字の制限や、チェックの入外し、リストからのプルダウン選択になっています。）</a:t>
          </a:r>
        </a:p>
      </xdr:txBody>
    </xdr:sp>
    <xdr:clientData/>
  </xdr:twoCellAnchor>
  <xdr:twoCellAnchor>
    <xdr:from>
      <xdr:col>1</xdr:col>
      <xdr:colOff>276224</xdr:colOff>
      <xdr:row>14</xdr:row>
      <xdr:rowOff>47624</xdr:rowOff>
    </xdr:from>
    <xdr:to>
      <xdr:col>19</xdr:col>
      <xdr:colOff>100011</xdr:colOff>
      <xdr:row>17</xdr:row>
      <xdr:rowOff>100012</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42899" y="2428874"/>
          <a:ext cx="6596062" cy="56673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ctr"/>
          <a:r>
            <a:rPr kumimoji="1" lang="ja-JP" altLang="en-US" sz="1100"/>
            <a:t>エラー確認シートをチェックして入力漏れがないかを確認</a:t>
          </a:r>
        </a:p>
        <a:p>
          <a:pPr algn="ctr"/>
          <a:r>
            <a:rPr kumimoji="1" lang="ja-JP" altLang="en-US" sz="1100"/>
            <a:t>（入力漏れがある場合、該当箇所を確認して修正してください。）</a:t>
          </a:r>
        </a:p>
      </xdr:txBody>
    </xdr:sp>
    <xdr:clientData/>
  </xdr:twoCellAnchor>
  <xdr:twoCellAnchor>
    <xdr:from>
      <xdr:col>9</xdr:col>
      <xdr:colOff>564355</xdr:colOff>
      <xdr:row>10</xdr:row>
      <xdr:rowOff>100013</xdr:rowOff>
    </xdr:from>
    <xdr:to>
      <xdr:col>9</xdr:col>
      <xdr:colOff>564356</xdr:colOff>
      <xdr:row>14</xdr:row>
      <xdr:rowOff>47624</xdr:rowOff>
    </xdr:to>
    <xdr:cxnSp macro="">
      <xdr:nvCxnSpPr>
        <xdr:cNvPr id="5" name="直線矢印コネクタ 4">
          <a:extLst>
            <a:ext uri="{FF2B5EF4-FFF2-40B4-BE49-F238E27FC236}">
              <a16:creationId xmlns:a16="http://schemas.microsoft.com/office/drawing/2014/main" id="{00000000-0008-0000-0000-000005000000}"/>
            </a:ext>
          </a:extLst>
        </xdr:cNvPr>
        <xdr:cNvCxnSpPr>
          <a:stCxn id="2" idx="2"/>
          <a:endCxn id="3" idx="0"/>
        </xdr:cNvCxnSpPr>
      </xdr:nvCxnSpPr>
      <xdr:spPr>
        <a:xfrm flipH="1">
          <a:off x="3640930" y="1795463"/>
          <a:ext cx="1" cy="633411"/>
        </a:xfrm>
        <a:prstGeom prst="straightConnector1">
          <a:avLst/>
        </a:prstGeom>
        <a:ln>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1</xdr:col>
      <xdr:colOff>280989</xdr:colOff>
      <xdr:row>20</xdr:row>
      <xdr:rowOff>133354</xdr:rowOff>
    </xdr:from>
    <xdr:to>
      <xdr:col>19</xdr:col>
      <xdr:colOff>104776</xdr:colOff>
      <xdr:row>24</xdr:row>
      <xdr:rowOff>14292</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347664" y="3543304"/>
          <a:ext cx="6596062" cy="566738"/>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ctr"/>
          <a:r>
            <a:rPr kumimoji="1" lang="ja-JP" altLang="en-US" sz="1100"/>
            <a:t>入力内容に誤りがないか再度確認をして事務局にこのファイルをそのまま提出してください。</a:t>
          </a:r>
        </a:p>
      </xdr:txBody>
    </xdr:sp>
    <xdr:clientData/>
  </xdr:twoCellAnchor>
  <xdr:twoCellAnchor>
    <xdr:from>
      <xdr:col>9</xdr:col>
      <xdr:colOff>564355</xdr:colOff>
      <xdr:row>17</xdr:row>
      <xdr:rowOff>100012</xdr:rowOff>
    </xdr:from>
    <xdr:to>
      <xdr:col>9</xdr:col>
      <xdr:colOff>569120</xdr:colOff>
      <xdr:row>20</xdr:row>
      <xdr:rowOff>133354</xdr:rowOff>
    </xdr:to>
    <xdr:cxnSp macro="">
      <xdr:nvCxnSpPr>
        <xdr:cNvPr id="10" name="直線矢印コネクタ 9">
          <a:extLst>
            <a:ext uri="{FF2B5EF4-FFF2-40B4-BE49-F238E27FC236}">
              <a16:creationId xmlns:a16="http://schemas.microsoft.com/office/drawing/2014/main" id="{00000000-0008-0000-0000-00000A000000}"/>
            </a:ext>
          </a:extLst>
        </xdr:cNvPr>
        <xdr:cNvCxnSpPr>
          <a:stCxn id="3" idx="2"/>
          <a:endCxn id="9" idx="0"/>
        </xdr:cNvCxnSpPr>
      </xdr:nvCxnSpPr>
      <xdr:spPr>
        <a:xfrm>
          <a:off x="3640930" y="2995612"/>
          <a:ext cx="4765" cy="547692"/>
        </a:xfrm>
        <a:prstGeom prst="straightConnector1">
          <a:avLst/>
        </a:prstGeom>
        <a:ln>
          <a:tailEnd type="triangle"/>
        </a:ln>
      </xdr:spPr>
      <xdr:style>
        <a:lnRef idx="3">
          <a:schemeClr val="accent5"/>
        </a:lnRef>
        <a:fillRef idx="0">
          <a:schemeClr val="accent5"/>
        </a:fillRef>
        <a:effectRef idx="2">
          <a:schemeClr val="accent5"/>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49</xdr:col>
          <xdr:colOff>0</xdr:colOff>
          <xdr:row>27</xdr:row>
          <xdr:rowOff>0</xdr:rowOff>
        </xdr:from>
        <xdr:to>
          <xdr:col>49</xdr:col>
          <xdr:colOff>0</xdr:colOff>
          <xdr:row>27</xdr:row>
          <xdr:rowOff>200025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E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27</xdr:row>
          <xdr:rowOff>0</xdr:rowOff>
        </xdr:from>
        <xdr:to>
          <xdr:col>49</xdr:col>
          <xdr:colOff>0</xdr:colOff>
          <xdr:row>27</xdr:row>
          <xdr:rowOff>200025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E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27</xdr:row>
          <xdr:rowOff>0</xdr:rowOff>
        </xdr:from>
        <xdr:to>
          <xdr:col>49</xdr:col>
          <xdr:colOff>0</xdr:colOff>
          <xdr:row>27</xdr:row>
          <xdr:rowOff>200025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E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27</xdr:row>
          <xdr:rowOff>0</xdr:rowOff>
        </xdr:from>
        <xdr:to>
          <xdr:col>49</xdr:col>
          <xdr:colOff>0</xdr:colOff>
          <xdr:row>27</xdr:row>
          <xdr:rowOff>200025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E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27</xdr:row>
          <xdr:rowOff>0</xdr:rowOff>
        </xdr:from>
        <xdr:to>
          <xdr:col>49</xdr:col>
          <xdr:colOff>0</xdr:colOff>
          <xdr:row>27</xdr:row>
          <xdr:rowOff>200025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E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27</xdr:row>
          <xdr:rowOff>0</xdr:rowOff>
        </xdr:from>
        <xdr:to>
          <xdr:col>49</xdr:col>
          <xdr:colOff>0</xdr:colOff>
          <xdr:row>27</xdr:row>
          <xdr:rowOff>200025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E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27</xdr:row>
          <xdr:rowOff>0</xdr:rowOff>
        </xdr:from>
        <xdr:to>
          <xdr:col>49</xdr:col>
          <xdr:colOff>0</xdr:colOff>
          <xdr:row>27</xdr:row>
          <xdr:rowOff>200025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E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27</xdr:row>
          <xdr:rowOff>0</xdr:rowOff>
        </xdr:from>
        <xdr:to>
          <xdr:col>49</xdr:col>
          <xdr:colOff>0</xdr:colOff>
          <xdr:row>27</xdr:row>
          <xdr:rowOff>200025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E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27</xdr:row>
          <xdr:rowOff>0</xdr:rowOff>
        </xdr:from>
        <xdr:to>
          <xdr:col>49</xdr:col>
          <xdr:colOff>0</xdr:colOff>
          <xdr:row>27</xdr:row>
          <xdr:rowOff>200025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E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27</xdr:row>
          <xdr:rowOff>0</xdr:rowOff>
        </xdr:from>
        <xdr:to>
          <xdr:col>49</xdr:col>
          <xdr:colOff>0</xdr:colOff>
          <xdr:row>27</xdr:row>
          <xdr:rowOff>200025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E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27</xdr:row>
          <xdr:rowOff>0</xdr:rowOff>
        </xdr:from>
        <xdr:to>
          <xdr:col>49</xdr:col>
          <xdr:colOff>0</xdr:colOff>
          <xdr:row>27</xdr:row>
          <xdr:rowOff>200025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E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27</xdr:row>
          <xdr:rowOff>0</xdr:rowOff>
        </xdr:from>
        <xdr:to>
          <xdr:col>49</xdr:col>
          <xdr:colOff>0</xdr:colOff>
          <xdr:row>27</xdr:row>
          <xdr:rowOff>200025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E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35</xdr:row>
          <xdr:rowOff>0</xdr:rowOff>
        </xdr:from>
        <xdr:to>
          <xdr:col>49</xdr:col>
          <xdr:colOff>0</xdr:colOff>
          <xdr:row>35</xdr:row>
          <xdr:rowOff>200025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E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35</xdr:row>
          <xdr:rowOff>0</xdr:rowOff>
        </xdr:from>
        <xdr:to>
          <xdr:col>49</xdr:col>
          <xdr:colOff>0</xdr:colOff>
          <xdr:row>35</xdr:row>
          <xdr:rowOff>200025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E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27</xdr:row>
          <xdr:rowOff>0</xdr:rowOff>
        </xdr:from>
        <xdr:to>
          <xdr:col>49</xdr:col>
          <xdr:colOff>0</xdr:colOff>
          <xdr:row>27</xdr:row>
          <xdr:rowOff>200025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E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27</xdr:row>
          <xdr:rowOff>0</xdr:rowOff>
        </xdr:from>
        <xdr:to>
          <xdr:col>49</xdr:col>
          <xdr:colOff>0</xdr:colOff>
          <xdr:row>27</xdr:row>
          <xdr:rowOff>200025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E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147077</xdr:colOff>
      <xdr:row>29</xdr:row>
      <xdr:rowOff>127747</xdr:rowOff>
    </xdr:from>
    <xdr:ext cx="184731" cy="311496"/>
    <xdr:sp macro="" textlink="">
      <xdr:nvSpPr>
        <xdr:cNvPr id="18" name="テキスト ボックス 17">
          <a:extLst>
            <a:ext uri="{FF2B5EF4-FFF2-40B4-BE49-F238E27FC236}">
              <a16:creationId xmlns:a16="http://schemas.microsoft.com/office/drawing/2014/main" id="{00000000-0008-0000-0E00-000012000000}"/>
            </a:ext>
          </a:extLst>
        </xdr:cNvPr>
        <xdr:cNvSpPr txBox="1"/>
      </xdr:nvSpPr>
      <xdr:spPr>
        <a:xfrm>
          <a:off x="1099577" y="7490572"/>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5</xdr:col>
      <xdr:colOff>169302</xdr:colOff>
      <xdr:row>21</xdr:row>
      <xdr:rowOff>161364</xdr:rowOff>
    </xdr:from>
    <xdr:ext cx="184731" cy="311496"/>
    <xdr:sp macro="" textlink="">
      <xdr:nvSpPr>
        <xdr:cNvPr id="19" name="テキスト ボックス 18">
          <a:extLst>
            <a:ext uri="{FF2B5EF4-FFF2-40B4-BE49-F238E27FC236}">
              <a16:creationId xmlns:a16="http://schemas.microsoft.com/office/drawing/2014/main" id="{00000000-0008-0000-0E00-000013000000}"/>
            </a:ext>
          </a:extLst>
        </xdr:cNvPr>
        <xdr:cNvSpPr txBox="1"/>
      </xdr:nvSpPr>
      <xdr:spPr>
        <a:xfrm>
          <a:off x="1121802" y="5409639"/>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2</xdr:col>
      <xdr:colOff>109257</xdr:colOff>
      <xdr:row>33</xdr:row>
      <xdr:rowOff>133350</xdr:rowOff>
    </xdr:from>
    <xdr:ext cx="184731" cy="311496"/>
    <xdr:sp macro="" textlink="">
      <xdr:nvSpPr>
        <xdr:cNvPr id="21" name="テキスト ボックス 20">
          <a:extLst>
            <a:ext uri="{FF2B5EF4-FFF2-40B4-BE49-F238E27FC236}">
              <a16:creationId xmlns:a16="http://schemas.microsoft.com/office/drawing/2014/main" id="{00000000-0008-0000-0E00-000015000000}"/>
            </a:ext>
          </a:extLst>
        </xdr:cNvPr>
        <xdr:cNvSpPr txBox="1"/>
      </xdr:nvSpPr>
      <xdr:spPr>
        <a:xfrm>
          <a:off x="490257" y="825817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5</xdr:col>
      <xdr:colOff>72568</xdr:colOff>
      <xdr:row>25</xdr:row>
      <xdr:rowOff>208641</xdr:rowOff>
    </xdr:from>
    <xdr:ext cx="184731" cy="311496"/>
    <xdr:sp macro="" textlink="">
      <xdr:nvSpPr>
        <xdr:cNvPr id="26" name="テキスト ボックス 25">
          <a:extLst>
            <a:ext uri="{FF2B5EF4-FFF2-40B4-BE49-F238E27FC236}">
              <a16:creationId xmlns:a16="http://schemas.microsoft.com/office/drawing/2014/main" id="{00000000-0008-0000-0E00-00001A000000}"/>
            </a:ext>
          </a:extLst>
        </xdr:cNvPr>
        <xdr:cNvSpPr txBox="1"/>
      </xdr:nvSpPr>
      <xdr:spPr>
        <a:xfrm>
          <a:off x="1025068" y="6714216"/>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47</xdr:col>
          <xdr:colOff>0</xdr:colOff>
          <xdr:row>24</xdr:row>
          <xdr:rowOff>171450</xdr:rowOff>
        </xdr:from>
        <xdr:to>
          <xdr:col>47</xdr:col>
          <xdr:colOff>0</xdr:colOff>
          <xdr:row>24</xdr:row>
          <xdr:rowOff>371475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F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24</xdr:row>
          <xdr:rowOff>171450</xdr:rowOff>
        </xdr:from>
        <xdr:to>
          <xdr:col>47</xdr:col>
          <xdr:colOff>0</xdr:colOff>
          <xdr:row>24</xdr:row>
          <xdr:rowOff>371475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F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21</xdr:row>
          <xdr:rowOff>171450</xdr:rowOff>
        </xdr:from>
        <xdr:to>
          <xdr:col>47</xdr:col>
          <xdr:colOff>0</xdr:colOff>
          <xdr:row>22</xdr:row>
          <xdr:rowOff>57150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F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21</xdr:row>
          <xdr:rowOff>171450</xdr:rowOff>
        </xdr:from>
        <xdr:to>
          <xdr:col>47</xdr:col>
          <xdr:colOff>0</xdr:colOff>
          <xdr:row>22</xdr:row>
          <xdr:rowOff>57150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F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162473</xdr:colOff>
      <xdr:row>2</xdr:row>
      <xdr:rowOff>134773</xdr:rowOff>
    </xdr:from>
    <xdr:ext cx="184731" cy="311496"/>
    <xdr:sp macro="" textlink="">
      <xdr:nvSpPr>
        <xdr:cNvPr id="6" name="テキスト ボックス 5">
          <a:extLst>
            <a:ext uri="{FF2B5EF4-FFF2-40B4-BE49-F238E27FC236}">
              <a16:creationId xmlns:a16="http://schemas.microsoft.com/office/drawing/2014/main" id="{00000000-0008-0000-0F00-000006000000}"/>
            </a:ext>
          </a:extLst>
        </xdr:cNvPr>
        <xdr:cNvSpPr txBox="1"/>
      </xdr:nvSpPr>
      <xdr:spPr>
        <a:xfrm>
          <a:off x="1114973" y="630073"/>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5</xdr:col>
      <xdr:colOff>142875</xdr:colOff>
      <xdr:row>10</xdr:row>
      <xdr:rowOff>352425</xdr:rowOff>
    </xdr:from>
    <xdr:ext cx="184731" cy="311496"/>
    <xdr:sp macro="" textlink="">
      <xdr:nvSpPr>
        <xdr:cNvPr id="7" name="テキスト ボックス 6">
          <a:extLst>
            <a:ext uri="{FF2B5EF4-FFF2-40B4-BE49-F238E27FC236}">
              <a16:creationId xmlns:a16="http://schemas.microsoft.com/office/drawing/2014/main" id="{00000000-0008-0000-0F00-000007000000}"/>
            </a:ext>
          </a:extLst>
        </xdr:cNvPr>
        <xdr:cNvSpPr txBox="1"/>
      </xdr:nvSpPr>
      <xdr:spPr>
        <a:xfrm>
          <a:off x="1095375" y="267652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5</xdr:col>
      <xdr:colOff>152400</xdr:colOff>
      <xdr:row>15</xdr:row>
      <xdr:rowOff>152400</xdr:rowOff>
    </xdr:from>
    <xdr:ext cx="184731" cy="311496"/>
    <xdr:sp macro="" textlink="">
      <xdr:nvSpPr>
        <xdr:cNvPr id="8" name="テキスト ボックス 7">
          <a:extLst>
            <a:ext uri="{FF2B5EF4-FFF2-40B4-BE49-F238E27FC236}">
              <a16:creationId xmlns:a16="http://schemas.microsoft.com/office/drawing/2014/main" id="{00000000-0008-0000-0F00-000008000000}"/>
            </a:ext>
          </a:extLst>
        </xdr:cNvPr>
        <xdr:cNvSpPr txBox="1"/>
      </xdr:nvSpPr>
      <xdr:spPr>
        <a:xfrm>
          <a:off x="1104900" y="391477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8</xdr:col>
      <xdr:colOff>123825</xdr:colOff>
      <xdr:row>21</xdr:row>
      <xdr:rowOff>0</xdr:rowOff>
    </xdr:from>
    <xdr:ext cx="184731" cy="311496"/>
    <xdr:sp macro="" textlink="">
      <xdr:nvSpPr>
        <xdr:cNvPr id="9" name="テキスト ボックス 8">
          <a:extLst>
            <a:ext uri="{FF2B5EF4-FFF2-40B4-BE49-F238E27FC236}">
              <a16:creationId xmlns:a16="http://schemas.microsoft.com/office/drawing/2014/main" id="{00000000-0008-0000-0F00-000009000000}"/>
            </a:ext>
          </a:extLst>
        </xdr:cNvPr>
        <xdr:cNvSpPr txBox="1"/>
      </xdr:nvSpPr>
      <xdr:spPr>
        <a:xfrm>
          <a:off x="1647825" y="564832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6</xdr:col>
      <xdr:colOff>0</xdr:colOff>
      <xdr:row>26</xdr:row>
      <xdr:rowOff>76200</xdr:rowOff>
    </xdr:from>
    <xdr:ext cx="184731" cy="311496"/>
    <xdr:sp macro="" textlink="">
      <xdr:nvSpPr>
        <xdr:cNvPr id="10" name="テキスト ボックス 9">
          <a:extLst>
            <a:ext uri="{FF2B5EF4-FFF2-40B4-BE49-F238E27FC236}">
              <a16:creationId xmlns:a16="http://schemas.microsoft.com/office/drawing/2014/main" id="{00000000-0008-0000-0F00-00000A000000}"/>
            </a:ext>
          </a:extLst>
        </xdr:cNvPr>
        <xdr:cNvSpPr txBox="1"/>
      </xdr:nvSpPr>
      <xdr:spPr>
        <a:xfrm>
          <a:off x="1143000" y="715327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5</xdr:col>
      <xdr:colOff>152400</xdr:colOff>
      <xdr:row>34</xdr:row>
      <xdr:rowOff>209550</xdr:rowOff>
    </xdr:from>
    <xdr:ext cx="184731" cy="311496"/>
    <xdr:sp macro="" textlink="">
      <xdr:nvSpPr>
        <xdr:cNvPr id="11" name="テキスト ボックス 10">
          <a:extLst>
            <a:ext uri="{FF2B5EF4-FFF2-40B4-BE49-F238E27FC236}">
              <a16:creationId xmlns:a16="http://schemas.microsoft.com/office/drawing/2014/main" id="{00000000-0008-0000-0F00-00000B000000}"/>
            </a:ext>
          </a:extLst>
        </xdr:cNvPr>
        <xdr:cNvSpPr txBox="1"/>
      </xdr:nvSpPr>
      <xdr:spPr>
        <a:xfrm>
          <a:off x="1104900" y="911542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mc:AlternateContent xmlns:mc="http://schemas.openxmlformats.org/markup-compatibility/2006">
    <mc:Choice xmlns:a14="http://schemas.microsoft.com/office/drawing/2010/main" Requires="a14">
      <xdr:twoCellAnchor editAs="oneCell">
        <xdr:from>
          <xdr:col>47</xdr:col>
          <xdr:colOff>0</xdr:colOff>
          <xdr:row>18</xdr:row>
          <xdr:rowOff>171450</xdr:rowOff>
        </xdr:from>
        <xdr:to>
          <xdr:col>47</xdr:col>
          <xdr:colOff>0</xdr:colOff>
          <xdr:row>19</xdr:row>
          <xdr:rowOff>57150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F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18</xdr:row>
          <xdr:rowOff>171450</xdr:rowOff>
        </xdr:from>
        <xdr:to>
          <xdr:col>47</xdr:col>
          <xdr:colOff>0</xdr:colOff>
          <xdr:row>19</xdr:row>
          <xdr:rowOff>57150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F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95250</xdr:colOff>
      <xdr:row>37</xdr:row>
      <xdr:rowOff>0</xdr:rowOff>
    </xdr:from>
    <xdr:ext cx="184731" cy="311496"/>
    <xdr:sp macro="" textlink="">
      <xdr:nvSpPr>
        <xdr:cNvPr id="14" name="テキスト ボックス 13">
          <a:extLst>
            <a:ext uri="{FF2B5EF4-FFF2-40B4-BE49-F238E27FC236}">
              <a16:creationId xmlns:a16="http://schemas.microsoft.com/office/drawing/2014/main" id="{00000000-0008-0000-0F00-00000E000000}"/>
            </a:ext>
          </a:extLst>
        </xdr:cNvPr>
        <xdr:cNvSpPr txBox="1"/>
      </xdr:nvSpPr>
      <xdr:spPr>
        <a:xfrm>
          <a:off x="476250" y="978217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47</xdr:col>
          <xdr:colOff>0</xdr:colOff>
          <xdr:row>26</xdr:row>
          <xdr:rowOff>0</xdr:rowOff>
        </xdr:from>
        <xdr:to>
          <xdr:col>47</xdr:col>
          <xdr:colOff>0</xdr:colOff>
          <xdr:row>26</xdr:row>
          <xdr:rowOff>200025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1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26</xdr:row>
          <xdr:rowOff>0</xdr:rowOff>
        </xdr:from>
        <xdr:to>
          <xdr:col>47</xdr:col>
          <xdr:colOff>0</xdr:colOff>
          <xdr:row>26</xdr:row>
          <xdr:rowOff>200025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1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26</xdr:row>
          <xdr:rowOff>0</xdr:rowOff>
        </xdr:from>
        <xdr:to>
          <xdr:col>47</xdr:col>
          <xdr:colOff>0</xdr:colOff>
          <xdr:row>26</xdr:row>
          <xdr:rowOff>200025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1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26</xdr:row>
          <xdr:rowOff>0</xdr:rowOff>
        </xdr:from>
        <xdr:to>
          <xdr:col>47</xdr:col>
          <xdr:colOff>0</xdr:colOff>
          <xdr:row>26</xdr:row>
          <xdr:rowOff>200025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1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34</xdr:row>
          <xdr:rowOff>0</xdr:rowOff>
        </xdr:from>
        <xdr:to>
          <xdr:col>47</xdr:col>
          <xdr:colOff>0</xdr:colOff>
          <xdr:row>34</xdr:row>
          <xdr:rowOff>200025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1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34</xdr:row>
          <xdr:rowOff>0</xdr:rowOff>
        </xdr:from>
        <xdr:to>
          <xdr:col>47</xdr:col>
          <xdr:colOff>0</xdr:colOff>
          <xdr:row>34</xdr:row>
          <xdr:rowOff>200025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1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26</xdr:row>
          <xdr:rowOff>0</xdr:rowOff>
        </xdr:from>
        <xdr:to>
          <xdr:col>47</xdr:col>
          <xdr:colOff>0</xdr:colOff>
          <xdr:row>26</xdr:row>
          <xdr:rowOff>200025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1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26</xdr:row>
          <xdr:rowOff>0</xdr:rowOff>
        </xdr:from>
        <xdr:to>
          <xdr:col>47</xdr:col>
          <xdr:colOff>0</xdr:colOff>
          <xdr:row>26</xdr:row>
          <xdr:rowOff>200025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1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26</xdr:row>
          <xdr:rowOff>0</xdr:rowOff>
        </xdr:from>
        <xdr:to>
          <xdr:col>47</xdr:col>
          <xdr:colOff>0</xdr:colOff>
          <xdr:row>26</xdr:row>
          <xdr:rowOff>200025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1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26</xdr:row>
          <xdr:rowOff>0</xdr:rowOff>
        </xdr:from>
        <xdr:to>
          <xdr:col>47</xdr:col>
          <xdr:colOff>0</xdr:colOff>
          <xdr:row>26</xdr:row>
          <xdr:rowOff>200025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1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26</xdr:row>
          <xdr:rowOff>0</xdr:rowOff>
        </xdr:from>
        <xdr:to>
          <xdr:col>47</xdr:col>
          <xdr:colOff>0</xdr:colOff>
          <xdr:row>28</xdr:row>
          <xdr:rowOff>57150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1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26</xdr:row>
          <xdr:rowOff>0</xdr:rowOff>
        </xdr:from>
        <xdr:to>
          <xdr:col>47</xdr:col>
          <xdr:colOff>0</xdr:colOff>
          <xdr:row>26</xdr:row>
          <xdr:rowOff>333375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1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26</xdr:row>
          <xdr:rowOff>0</xdr:rowOff>
        </xdr:from>
        <xdr:to>
          <xdr:col>47</xdr:col>
          <xdr:colOff>0</xdr:colOff>
          <xdr:row>28</xdr:row>
          <xdr:rowOff>57150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1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26</xdr:row>
          <xdr:rowOff>0</xdr:rowOff>
        </xdr:from>
        <xdr:to>
          <xdr:col>47</xdr:col>
          <xdr:colOff>0</xdr:colOff>
          <xdr:row>26</xdr:row>
          <xdr:rowOff>333375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1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27</xdr:row>
          <xdr:rowOff>0</xdr:rowOff>
        </xdr:from>
        <xdr:to>
          <xdr:col>47</xdr:col>
          <xdr:colOff>0</xdr:colOff>
          <xdr:row>32</xdr:row>
          <xdr:rowOff>47625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1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27</xdr:row>
          <xdr:rowOff>0</xdr:rowOff>
        </xdr:from>
        <xdr:to>
          <xdr:col>47</xdr:col>
          <xdr:colOff>0</xdr:colOff>
          <xdr:row>32</xdr:row>
          <xdr:rowOff>47625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1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27</xdr:row>
          <xdr:rowOff>0</xdr:rowOff>
        </xdr:from>
        <xdr:to>
          <xdr:col>47</xdr:col>
          <xdr:colOff>0</xdr:colOff>
          <xdr:row>28</xdr:row>
          <xdr:rowOff>76200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1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27</xdr:row>
          <xdr:rowOff>0</xdr:rowOff>
        </xdr:from>
        <xdr:to>
          <xdr:col>47</xdr:col>
          <xdr:colOff>0</xdr:colOff>
          <xdr:row>28</xdr:row>
          <xdr:rowOff>76200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1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27</xdr:row>
          <xdr:rowOff>0</xdr:rowOff>
        </xdr:from>
        <xdr:to>
          <xdr:col>47</xdr:col>
          <xdr:colOff>0</xdr:colOff>
          <xdr:row>28</xdr:row>
          <xdr:rowOff>76200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1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27</xdr:row>
          <xdr:rowOff>0</xdr:rowOff>
        </xdr:from>
        <xdr:to>
          <xdr:col>47</xdr:col>
          <xdr:colOff>0</xdr:colOff>
          <xdr:row>28</xdr:row>
          <xdr:rowOff>76200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1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95250</xdr:colOff>
      <xdr:row>39</xdr:row>
      <xdr:rowOff>0</xdr:rowOff>
    </xdr:from>
    <xdr:ext cx="184731" cy="311496"/>
    <xdr:sp macro="" textlink="">
      <xdr:nvSpPr>
        <xdr:cNvPr id="22" name="テキスト ボックス 21">
          <a:extLst>
            <a:ext uri="{FF2B5EF4-FFF2-40B4-BE49-F238E27FC236}">
              <a16:creationId xmlns:a16="http://schemas.microsoft.com/office/drawing/2014/main" id="{00000000-0008-0000-1000-000016000000}"/>
            </a:ext>
          </a:extLst>
        </xdr:cNvPr>
        <xdr:cNvSpPr txBox="1"/>
      </xdr:nvSpPr>
      <xdr:spPr>
        <a:xfrm>
          <a:off x="476250" y="1054417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6</xdr:col>
      <xdr:colOff>0</xdr:colOff>
      <xdr:row>28</xdr:row>
      <xdr:rowOff>76200</xdr:rowOff>
    </xdr:from>
    <xdr:ext cx="184731" cy="311496"/>
    <xdr:sp macro="" textlink="">
      <xdr:nvSpPr>
        <xdr:cNvPr id="25" name="テキスト ボックス 24">
          <a:extLst>
            <a:ext uri="{FF2B5EF4-FFF2-40B4-BE49-F238E27FC236}">
              <a16:creationId xmlns:a16="http://schemas.microsoft.com/office/drawing/2014/main" id="{00000000-0008-0000-1000-000019000000}"/>
            </a:ext>
          </a:extLst>
        </xdr:cNvPr>
        <xdr:cNvSpPr txBox="1"/>
      </xdr:nvSpPr>
      <xdr:spPr>
        <a:xfrm>
          <a:off x="1143000" y="791527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5</xdr:col>
      <xdr:colOff>152400</xdr:colOff>
      <xdr:row>36</xdr:row>
      <xdr:rowOff>209550</xdr:rowOff>
    </xdr:from>
    <xdr:ext cx="184731" cy="311496"/>
    <xdr:sp macro="" textlink="">
      <xdr:nvSpPr>
        <xdr:cNvPr id="26" name="テキスト ボックス 25">
          <a:extLst>
            <a:ext uri="{FF2B5EF4-FFF2-40B4-BE49-F238E27FC236}">
              <a16:creationId xmlns:a16="http://schemas.microsoft.com/office/drawing/2014/main" id="{00000000-0008-0000-1000-00001A000000}"/>
            </a:ext>
          </a:extLst>
        </xdr:cNvPr>
        <xdr:cNvSpPr txBox="1"/>
      </xdr:nvSpPr>
      <xdr:spPr>
        <a:xfrm>
          <a:off x="1104900" y="987742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2</xdr:col>
      <xdr:colOff>95250</xdr:colOff>
      <xdr:row>39</xdr:row>
      <xdr:rowOff>0</xdr:rowOff>
    </xdr:from>
    <xdr:ext cx="184731" cy="311496"/>
    <xdr:sp macro="" textlink="">
      <xdr:nvSpPr>
        <xdr:cNvPr id="27" name="テキスト ボックス 26">
          <a:extLst>
            <a:ext uri="{FF2B5EF4-FFF2-40B4-BE49-F238E27FC236}">
              <a16:creationId xmlns:a16="http://schemas.microsoft.com/office/drawing/2014/main" id="{00000000-0008-0000-1000-00001B000000}"/>
            </a:ext>
          </a:extLst>
        </xdr:cNvPr>
        <xdr:cNvSpPr txBox="1"/>
      </xdr:nvSpPr>
      <xdr:spPr>
        <a:xfrm>
          <a:off x="476250" y="1054417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24</xdr:row>
          <xdr:rowOff>85725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1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24</xdr:row>
          <xdr:rowOff>85725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1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24</xdr:row>
          <xdr:rowOff>85725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1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24</xdr:row>
          <xdr:rowOff>85725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1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34</xdr:row>
          <xdr:rowOff>0</xdr:rowOff>
        </xdr:from>
        <xdr:to>
          <xdr:col>46</xdr:col>
          <xdr:colOff>0</xdr:colOff>
          <xdr:row>34</xdr:row>
          <xdr:rowOff>200025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1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34</xdr:row>
          <xdr:rowOff>0</xdr:rowOff>
        </xdr:from>
        <xdr:to>
          <xdr:col>46</xdr:col>
          <xdr:colOff>0</xdr:colOff>
          <xdr:row>34</xdr:row>
          <xdr:rowOff>200025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1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24</xdr:row>
          <xdr:rowOff>85725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1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24</xdr:row>
          <xdr:rowOff>85725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1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24</xdr:row>
          <xdr:rowOff>85725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1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24</xdr:row>
          <xdr:rowOff>85725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1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26</xdr:row>
          <xdr:rowOff>180975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1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25</xdr:row>
          <xdr:rowOff>28575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1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26</xdr:row>
          <xdr:rowOff>180975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1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22</xdr:row>
          <xdr:rowOff>0</xdr:rowOff>
        </xdr:from>
        <xdr:to>
          <xdr:col>46</xdr:col>
          <xdr:colOff>0</xdr:colOff>
          <xdr:row>25</xdr:row>
          <xdr:rowOff>28575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1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23</xdr:row>
          <xdr:rowOff>0</xdr:rowOff>
        </xdr:from>
        <xdr:to>
          <xdr:col>46</xdr:col>
          <xdr:colOff>0</xdr:colOff>
          <xdr:row>28</xdr:row>
          <xdr:rowOff>114300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1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23</xdr:row>
          <xdr:rowOff>0</xdr:rowOff>
        </xdr:from>
        <xdr:to>
          <xdr:col>46</xdr:col>
          <xdr:colOff>0</xdr:colOff>
          <xdr:row>28</xdr:row>
          <xdr:rowOff>114300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1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23</xdr:row>
          <xdr:rowOff>0</xdr:rowOff>
        </xdr:from>
        <xdr:to>
          <xdr:col>46</xdr:col>
          <xdr:colOff>0</xdr:colOff>
          <xdr:row>24</xdr:row>
          <xdr:rowOff>142875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1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23</xdr:row>
          <xdr:rowOff>0</xdr:rowOff>
        </xdr:from>
        <xdr:to>
          <xdr:col>46</xdr:col>
          <xdr:colOff>0</xdr:colOff>
          <xdr:row>24</xdr:row>
          <xdr:rowOff>142875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1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23</xdr:row>
          <xdr:rowOff>0</xdr:rowOff>
        </xdr:from>
        <xdr:to>
          <xdr:col>46</xdr:col>
          <xdr:colOff>0</xdr:colOff>
          <xdr:row>24</xdr:row>
          <xdr:rowOff>142875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1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23</xdr:row>
          <xdr:rowOff>0</xdr:rowOff>
        </xdr:from>
        <xdr:to>
          <xdr:col>46</xdr:col>
          <xdr:colOff>0</xdr:colOff>
          <xdr:row>24</xdr:row>
          <xdr:rowOff>142875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1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95250</xdr:colOff>
      <xdr:row>9</xdr:row>
      <xdr:rowOff>57150</xdr:rowOff>
    </xdr:from>
    <xdr:ext cx="184731" cy="311496"/>
    <xdr:sp macro="" textlink="">
      <xdr:nvSpPr>
        <xdr:cNvPr id="22" name="テキスト ボックス 21">
          <a:extLst>
            <a:ext uri="{FF2B5EF4-FFF2-40B4-BE49-F238E27FC236}">
              <a16:creationId xmlns:a16="http://schemas.microsoft.com/office/drawing/2014/main" id="{00000000-0008-0000-1100-000016000000}"/>
            </a:ext>
          </a:extLst>
        </xdr:cNvPr>
        <xdr:cNvSpPr txBox="1"/>
      </xdr:nvSpPr>
      <xdr:spPr>
        <a:xfrm>
          <a:off x="476250" y="212407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mc:AlternateContent xmlns:mc="http://schemas.openxmlformats.org/markup-compatibility/2006">
    <mc:Choice xmlns:a14="http://schemas.microsoft.com/office/drawing/2010/main" Requires="a14">
      <xdr:twoCellAnchor editAs="oneCell">
        <xdr:from>
          <xdr:col>47</xdr:col>
          <xdr:colOff>0</xdr:colOff>
          <xdr:row>30</xdr:row>
          <xdr:rowOff>0</xdr:rowOff>
        </xdr:from>
        <xdr:to>
          <xdr:col>47</xdr:col>
          <xdr:colOff>0</xdr:colOff>
          <xdr:row>30</xdr:row>
          <xdr:rowOff>200025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1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30</xdr:row>
          <xdr:rowOff>0</xdr:rowOff>
        </xdr:from>
        <xdr:to>
          <xdr:col>47</xdr:col>
          <xdr:colOff>0</xdr:colOff>
          <xdr:row>30</xdr:row>
          <xdr:rowOff>200025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1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23</xdr:row>
          <xdr:rowOff>0</xdr:rowOff>
        </xdr:from>
        <xdr:to>
          <xdr:col>47</xdr:col>
          <xdr:colOff>0</xdr:colOff>
          <xdr:row>28</xdr:row>
          <xdr:rowOff>114300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1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23</xdr:row>
          <xdr:rowOff>0</xdr:rowOff>
        </xdr:from>
        <xdr:to>
          <xdr:col>47</xdr:col>
          <xdr:colOff>0</xdr:colOff>
          <xdr:row>28</xdr:row>
          <xdr:rowOff>114300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1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23</xdr:row>
          <xdr:rowOff>0</xdr:rowOff>
        </xdr:from>
        <xdr:to>
          <xdr:col>47</xdr:col>
          <xdr:colOff>0</xdr:colOff>
          <xdr:row>24</xdr:row>
          <xdr:rowOff>142875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1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23</xdr:row>
          <xdr:rowOff>0</xdr:rowOff>
        </xdr:from>
        <xdr:to>
          <xdr:col>47</xdr:col>
          <xdr:colOff>0</xdr:colOff>
          <xdr:row>24</xdr:row>
          <xdr:rowOff>142875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1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23</xdr:row>
          <xdr:rowOff>0</xdr:rowOff>
        </xdr:from>
        <xdr:to>
          <xdr:col>47</xdr:col>
          <xdr:colOff>0</xdr:colOff>
          <xdr:row>24</xdr:row>
          <xdr:rowOff>142875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1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23</xdr:row>
          <xdr:rowOff>0</xdr:rowOff>
        </xdr:from>
        <xdr:to>
          <xdr:col>47</xdr:col>
          <xdr:colOff>0</xdr:colOff>
          <xdr:row>24</xdr:row>
          <xdr:rowOff>142875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1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95250</xdr:colOff>
      <xdr:row>35</xdr:row>
      <xdr:rowOff>0</xdr:rowOff>
    </xdr:from>
    <xdr:ext cx="184731" cy="311496"/>
    <xdr:sp macro="" textlink="">
      <xdr:nvSpPr>
        <xdr:cNvPr id="34" name="テキスト ボックス 33">
          <a:extLst>
            <a:ext uri="{FF2B5EF4-FFF2-40B4-BE49-F238E27FC236}">
              <a16:creationId xmlns:a16="http://schemas.microsoft.com/office/drawing/2014/main" id="{00000000-0008-0000-1100-000022000000}"/>
            </a:ext>
          </a:extLst>
        </xdr:cNvPr>
        <xdr:cNvSpPr txBox="1"/>
      </xdr:nvSpPr>
      <xdr:spPr>
        <a:xfrm>
          <a:off x="476250" y="877252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6</xdr:col>
      <xdr:colOff>0</xdr:colOff>
      <xdr:row>24</xdr:row>
      <xdr:rowOff>76200</xdr:rowOff>
    </xdr:from>
    <xdr:ext cx="184731" cy="311496"/>
    <xdr:sp macro="" textlink="">
      <xdr:nvSpPr>
        <xdr:cNvPr id="35" name="テキスト ボックス 34">
          <a:extLst>
            <a:ext uri="{FF2B5EF4-FFF2-40B4-BE49-F238E27FC236}">
              <a16:creationId xmlns:a16="http://schemas.microsoft.com/office/drawing/2014/main" id="{00000000-0008-0000-1100-000023000000}"/>
            </a:ext>
          </a:extLst>
        </xdr:cNvPr>
        <xdr:cNvSpPr txBox="1"/>
      </xdr:nvSpPr>
      <xdr:spPr>
        <a:xfrm>
          <a:off x="1143000" y="614362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5</xdr:col>
      <xdr:colOff>152400</xdr:colOff>
      <xdr:row>32</xdr:row>
      <xdr:rowOff>209550</xdr:rowOff>
    </xdr:from>
    <xdr:ext cx="184731" cy="311496"/>
    <xdr:sp macro="" textlink="">
      <xdr:nvSpPr>
        <xdr:cNvPr id="36" name="テキスト ボックス 35">
          <a:extLst>
            <a:ext uri="{FF2B5EF4-FFF2-40B4-BE49-F238E27FC236}">
              <a16:creationId xmlns:a16="http://schemas.microsoft.com/office/drawing/2014/main" id="{00000000-0008-0000-1100-000024000000}"/>
            </a:ext>
          </a:extLst>
        </xdr:cNvPr>
        <xdr:cNvSpPr txBox="1"/>
      </xdr:nvSpPr>
      <xdr:spPr>
        <a:xfrm>
          <a:off x="1104900" y="810577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oneCellAnchor>
    <xdr:from>
      <xdr:col>2</xdr:col>
      <xdr:colOff>95250</xdr:colOff>
      <xdr:row>35</xdr:row>
      <xdr:rowOff>0</xdr:rowOff>
    </xdr:from>
    <xdr:ext cx="184731" cy="311496"/>
    <xdr:sp macro="" textlink="">
      <xdr:nvSpPr>
        <xdr:cNvPr id="37" name="テキスト ボックス 36">
          <a:extLst>
            <a:ext uri="{FF2B5EF4-FFF2-40B4-BE49-F238E27FC236}">
              <a16:creationId xmlns:a16="http://schemas.microsoft.com/office/drawing/2014/main" id="{00000000-0008-0000-1100-000025000000}"/>
            </a:ext>
          </a:extLst>
        </xdr:cNvPr>
        <xdr:cNvSpPr txBox="1"/>
      </xdr:nvSpPr>
      <xdr:spPr>
        <a:xfrm>
          <a:off x="476250" y="8772525"/>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b="1"/>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3.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 Type="http://schemas.openxmlformats.org/officeDocument/2006/relationships/drawing" Target="../drawings/drawing4.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16.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18" Type="http://schemas.openxmlformats.org/officeDocument/2006/relationships/ctrlProp" Target="../ctrlProps/ctrlProp57.xml"/><Relationship Id="rId26" Type="http://schemas.openxmlformats.org/officeDocument/2006/relationships/ctrlProp" Target="../ctrlProps/ctrlProp65.xml"/><Relationship Id="rId3" Type="http://schemas.openxmlformats.org/officeDocument/2006/relationships/vmlDrawing" Target="../drawings/vmlDrawing4.vml"/><Relationship Id="rId21" Type="http://schemas.openxmlformats.org/officeDocument/2006/relationships/ctrlProp" Target="../ctrlProps/ctrlProp60.x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5" Type="http://schemas.openxmlformats.org/officeDocument/2006/relationships/ctrlProp" Target="../ctrlProps/ctrlProp64.xml"/><Relationship Id="rId2" Type="http://schemas.openxmlformats.org/officeDocument/2006/relationships/drawing" Target="../drawings/drawing5.xml"/><Relationship Id="rId16" Type="http://schemas.openxmlformats.org/officeDocument/2006/relationships/ctrlProp" Target="../ctrlProps/ctrlProp55.xml"/><Relationship Id="rId20" Type="http://schemas.openxmlformats.org/officeDocument/2006/relationships/ctrlProp" Target="../ctrlProps/ctrlProp59.xml"/><Relationship Id="rId29" Type="http://schemas.openxmlformats.org/officeDocument/2006/relationships/ctrlProp" Target="../ctrlProps/ctrlProp68.xml"/><Relationship Id="rId1" Type="http://schemas.openxmlformats.org/officeDocument/2006/relationships/printerSettings" Target="../printerSettings/printerSettings17.bin"/><Relationship Id="rId6" Type="http://schemas.openxmlformats.org/officeDocument/2006/relationships/ctrlProp" Target="../ctrlProps/ctrlProp45.xml"/><Relationship Id="rId11" Type="http://schemas.openxmlformats.org/officeDocument/2006/relationships/ctrlProp" Target="../ctrlProps/ctrlProp50.xml"/><Relationship Id="rId24" Type="http://schemas.openxmlformats.org/officeDocument/2006/relationships/ctrlProp" Target="../ctrlProps/ctrlProp63.xml"/><Relationship Id="rId5" Type="http://schemas.openxmlformats.org/officeDocument/2006/relationships/ctrlProp" Target="../ctrlProps/ctrlProp44.xml"/><Relationship Id="rId15" Type="http://schemas.openxmlformats.org/officeDocument/2006/relationships/ctrlProp" Target="../ctrlProps/ctrlProp54.xml"/><Relationship Id="rId23" Type="http://schemas.openxmlformats.org/officeDocument/2006/relationships/ctrlProp" Target="../ctrlProps/ctrlProp62.xml"/><Relationship Id="rId28" Type="http://schemas.openxmlformats.org/officeDocument/2006/relationships/ctrlProp" Target="../ctrlProps/ctrlProp67.xml"/><Relationship Id="rId10" Type="http://schemas.openxmlformats.org/officeDocument/2006/relationships/ctrlProp" Target="../ctrlProps/ctrlProp49.xml"/><Relationship Id="rId19" Type="http://schemas.openxmlformats.org/officeDocument/2006/relationships/ctrlProp" Target="../ctrlProps/ctrlProp58.xml"/><Relationship Id="rId31" Type="http://schemas.openxmlformats.org/officeDocument/2006/relationships/ctrlProp" Target="../ctrlProps/ctrlProp70.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 Id="rId22" Type="http://schemas.openxmlformats.org/officeDocument/2006/relationships/ctrlProp" Target="../ctrlProps/ctrlProp61.xml"/><Relationship Id="rId27" Type="http://schemas.openxmlformats.org/officeDocument/2006/relationships/ctrlProp" Target="../ctrlProps/ctrlProp66.xml"/><Relationship Id="rId30" Type="http://schemas.openxmlformats.org/officeDocument/2006/relationships/ctrlProp" Target="../ctrlProps/ctrlProp69.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U29"/>
  <sheetViews>
    <sheetView tabSelected="1" workbookViewId="0">
      <selection activeCell="W21" sqref="W21"/>
    </sheetView>
  </sheetViews>
  <sheetFormatPr defaultColWidth="9" defaultRowHeight="13.5" x14ac:dyDescent="0.15"/>
  <cols>
    <col min="1" max="1" width="0.875" style="217" customWidth="1"/>
    <col min="2" max="2" width="9" style="217"/>
    <col min="3" max="3" width="0.875" style="217" customWidth="1"/>
    <col min="4" max="4" width="9" style="217"/>
    <col min="5" max="5" width="0.875" style="217" customWidth="1"/>
    <col min="6" max="6" width="9" style="217"/>
    <col min="7" max="7" width="0.875" style="217" customWidth="1"/>
    <col min="8" max="8" width="9" style="217"/>
    <col min="9" max="9" width="0.875" style="217" customWidth="1"/>
    <col min="10" max="10" width="9" style="217"/>
    <col min="11" max="11" width="0.875" style="217" customWidth="1"/>
    <col min="12" max="12" width="9" style="217"/>
    <col min="13" max="13" width="0.875" style="217" customWidth="1"/>
    <col min="14" max="14" width="9" style="217"/>
    <col min="15" max="15" width="0.875" style="217" customWidth="1"/>
    <col min="16" max="16" width="9" style="217"/>
    <col min="17" max="17" width="0.875" style="217" customWidth="1"/>
    <col min="18" max="18" width="9" style="217"/>
    <col min="19" max="19" width="0.875" style="217" customWidth="1"/>
    <col min="20" max="20" width="9" style="217"/>
    <col min="21" max="21" width="0.875" style="217" customWidth="1"/>
    <col min="22" max="16384" width="9" style="217"/>
  </cols>
  <sheetData>
    <row r="1" spans="1:21" x14ac:dyDescent="0.15">
      <c r="A1" s="220"/>
      <c r="B1" s="220"/>
      <c r="C1" s="220"/>
      <c r="D1" s="220"/>
      <c r="E1" s="220"/>
      <c r="F1" s="220"/>
      <c r="G1" s="220"/>
      <c r="H1" s="220"/>
      <c r="I1" s="220"/>
      <c r="J1" s="220"/>
      <c r="K1" s="220"/>
      <c r="L1" s="220"/>
      <c r="M1" s="220"/>
      <c r="N1" s="220"/>
      <c r="O1" s="220"/>
      <c r="P1" s="220"/>
      <c r="Q1" s="220"/>
      <c r="R1" s="220"/>
      <c r="S1" s="220"/>
      <c r="T1" s="220"/>
      <c r="U1" s="220"/>
    </row>
    <row r="2" spans="1:21" ht="30" customHeight="1" x14ac:dyDescent="0.15">
      <c r="A2" s="220"/>
      <c r="B2" s="242" t="s">
        <v>0</v>
      </c>
      <c r="C2" s="242"/>
      <c r="D2" s="242"/>
      <c r="E2" s="242"/>
      <c r="F2" s="242"/>
      <c r="G2" s="242"/>
      <c r="H2" s="242"/>
      <c r="I2" s="242"/>
      <c r="J2" s="242"/>
      <c r="K2" s="242"/>
      <c r="L2" s="242"/>
      <c r="M2" s="242"/>
      <c r="N2" s="242"/>
      <c r="O2" s="242"/>
      <c r="P2" s="242"/>
      <c r="Q2" s="242"/>
      <c r="R2" s="242"/>
      <c r="S2" s="242"/>
      <c r="T2" s="242"/>
      <c r="U2" s="220"/>
    </row>
    <row r="3" spans="1:21" x14ac:dyDescent="0.15">
      <c r="A3" s="220"/>
      <c r="B3" s="220"/>
      <c r="C3" s="220"/>
      <c r="D3" s="220"/>
      <c r="E3" s="220"/>
      <c r="F3" s="220"/>
      <c r="G3" s="220"/>
      <c r="H3" s="220"/>
      <c r="I3" s="220"/>
      <c r="J3" s="220"/>
      <c r="K3" s="220"/>
      <c r="L3" s="220"/>
      <c r="M3" s="220"/>
      <c r="N3" s="220"/>
      <c r="O3" s="220"/>
      <c r="P3" s="220"/>
      <c r="Q3" s="220"/>
      <c r="R3" s="220"/>
      <c r="S3" s="220"/>
      <c r="T3" s="220"/>
      <c r="U3" s="220"/>
    </row>
    <row r="4" spans="1:21" x14ac:dyDescent="0.15">
      <c r="A4" s="220"/>
      <c r="B4" s="220" t="s">
        <v>637</v>
      </c>
      <c r="C4" s="220"/>
      <c r="D4" s="220"/>
      <c r="E4" s="220"/>
      <c r="F4" s="220"/>
      <c r="G4" s="220"/>
      <c r="H4" s="220"/>
      <c r="I4" s="220"/>
      <c r="J4" s="220"/>
      <c r="K4" s="220"/>
      <c r="L4" s="220"/>
      <c r="M4" s="220"/>
      <c r="N4" s="220"/>
      <c r="O4" s="220"/>
      <c r="P4" s="220"/>
      <c r="Q4" s="220"/>
      <c r="R4" s="220"/>
      <c r="S4" s="220"/>
      <c r="T4" s="220"/>
      <c r="U4" s="220"/>
    </row>
    <row r="5" spans="1:21" x14ac:dyDescent="0.15">
      <c r="A5" s="220"/>
      <c r="B5" s="220" t="s">
        <v>638</v>
      </c>
      <c r="C5" s="220"/>
      <c r="D5" s="220"/>
      <c r="E5" s="220"/>
      <c r="F5" s="220"/>
      <c r="G5" s="220"/>
      <c r="H5" s="220"/>
      <c r="I5" s="220"/>
      <c r="J5" s="220"/>
      <c r="K5" s="220"/>
      <c r="L5" s="220"/>
      <c r="M5" s="220"/>
      <c r="N5" s="220"/>
      <c r="O5" s="220"/>
      <c r="P5" s="220"/>
      <c r="Q5" s="220"/>
      <c r="R5" s="220"/>
      <c r="S5" s="220"/>
      <c r="T5" s="220"/>
      <c r="U5" s="220"/>
    </row>
    <row r="6" spans="1:21" x14ac:dyDescent="0.15">
      <c r="A6" s="220"/>
      <c r="B6" s="220"/>
      <c r="C6" s="220"/>
      <c r="D6" s="220"/>
      <c r="E6" s="220"/>
      <c r="F6" s="220"/>
      <c r="G6" s="220"/>
      <c r="H6" s="220"/>
      <c r="I6" s="220"/>
      <c r="J6" s="220"/>
      <c r="K6" s="220"/>
      <c r="L6" s="220"/>
      <c r="M6" s="220"/>
      <c r="N6" s="220"/>
      <c r="O6" s="220"/>
      <c r="P6" s="220"/>
      <c r="Q6" s="220"/>
      <c r="R6" s="220"/>
      <c r="S6" s="220"/>
      <c r="T6" s="220"/>
      <c r="U6" s="220"/>
    </row>
    <row r="7" spans="1:21" x14ac:dyDescent="0.15">
      <c r="A7" s="220"/>
      <c r="B7" s="229"/>
      <c r="C7" s="220"/>
      <c r="D7" s="220"/>
      <c r="E7" s="220"/>
      <c r="F7" s="220"/>
      <c r="G7" s="220"/>
      <c r="H7" s="220"/>
      <c r="I7" s="220"/>
      <c r="J7" s="220"/>
      <c r="K7" s="220"/>
      <c r="L7" s="220"/>
      <c r="M7" s="220"/>
      <c r="N7" s="220"/>
      <c r="O7" s="220"/>
      <c r="P7" s="220"/>
      <c r="Q7" s="220"/>
      <c r="R7" s="220"/>
      <c r="S7" s="220"/>
      <c r="T7" s="220"/>
      <c r="U7" s="220"/>
    </row>
    <row r="8" spans="1:21" ht="5.0999999999999996" customHeight="1" x14ac:dyDescent="0.15">
      <c r="A8" s="220"/>
      <c r="B8" s="220"/>
      <c r="C8" s="220"/>
      <c r="D8" s="220"/>
      <c r="E8" s="220"/>
      <c r="F8" s="220"/>
      <c r="G8" s="220"/>
      <c r="H8" s="220"/>
      <c r="I8" s="220"/>
      <c r="J8" s="220"/>
      <c r="K8" s="220"/>
      <c r="L8" s="220"/>
      <c r="M8" s="220"/>
      <c r="N8" s="220"/>
      <c r="O8" s="220"/>
      <c r="P8" s="220"/>
      <c r="Q8" s="220"/>
      <c r="R8" s="220"/>
      <c r="S8" s="220"/>
      <c r="T8" s="220"/>
      <c r="U8" s="220"/>
    </row>
    <row r="9" spans="1:21" x14ac:dyDescent="0.15">
      <c r="A9" s="220"/>
      <c r="B9" s="229"/>
      <c r="C9" s="220"/>
      <c r="D9" s="220"/>
      <c r="E9" s="220"/>
      <c r="F9" s="220"/>
      <c r="G9" s="220"/>
      <c r="H9" s="220"/>
      <c r="I9" s="220"/>
      <c r="J9" s="220"/>
      <c r="K9" s="220"/>
      <c r="L9" s="220"/>
      <c r="M9" s="220"/>
      <c r="N9" s="220"/>
      <c r="O9" s="220"/>
      <c r="P9" s="220"/>
      <c r="Q9" s="220"/>
      <c r="R9" s="220"/>
      <c r="S9" s="220"/>
      <c r="T9" s="220"/>
      <c r="U9" s="220"/>
    </row>
    <row r="10" spans="1:21" ht="5.0999999999999996" customHeight="1" x14ac:dyDescent="0.15">
      <c r="A10" s="220"/>
      <c r="B10" s="220"/>
      <c r="C10" s="220"/>
      <c r="D10" s="220"/>
      <c r="E10" s="220"/>
      <c r="F10" s="220"/>
      <c r="G10" s="220"/>
      <c r="H10" s="220"/>
      <c r="I10" s="220"/>
      <c r="J10" s="220"/>
      <c r="K10" s="220"/>
      <c r="L10" s="220"/>
      <c r="M10" s="220"/>
      <c r="N10" s="220"/>
      <c r="O10" s="220"/>
      <c r="P10" s="220"/>
      <c r="Q10" s="220"/>
      <c r="R10" s="220"/>
      <c r="S10" s="220"/>
      <c r="T10" s="220"/>
      <c r="U10" s="220"/>
    </row>
    <row r="11" spans="1:21" x14ac:dyDescent="0.15">
      <c r="A11" s="220"/>
      <c r="B11" s="229"/>
      <c r="C11" s="220"/>
      <c r="D11" s="220"/>
      <c r="E11" s="220"/>
      <c r="F11" s="220"/>
      <c r="G11" s="220"/>
      <c r="H11" s="220"/>
      <c r="I11" s="220"/>
      <c r="J11" s="220"/>
      <c r="K11" s="220"/>
      <c r="L11" s="220"/>
      <c r="M11" s="220"/>
      <c r="N11" s="220"/>
      <c r="O11" s="220"/>
      <c r="P11" s="220"/>
      <c r="Q11" s="220"/>
      <c r="R11" s="220"/>
      <c r="S11" s="220"/>
      <c r="T11" s="220"/>
      <c r="U11" s="220"/>
    </row>
    <row r="12" spans="1:21" x14ac:dyDescent="0.15">
      <c r="A12" s="220"/>
      <c r="B12" s="220"/>
      <c r="C12" s="220"/>
      <c r="D12" s="220"/>
      <c r="E12" s="220"/>
      <c r="F12" s="220"/>
      <c r="G12" s="220"/>
      <c r="H12" s="220"/>
      <c r="I12" s="220"/>
      <c r="J12" s="220"/>
      <c r="K12" s="220"/>
      <c r="L12" s="220"/>
      <c r="M12" s="220"/>
      <c r="N12" s="220"/>
      <c r="O12" s="220"/>
      <c r="P12" s="220"/>
      <c r="Q12" s="220"/>
      <c r="R12" s="220"/>
      <c r="S12" s="220"/>
      <c r="T12" s="220"/>
      <c r="U12" s="220"/>
    </row>
    <row r="13" spans="1:21" x14ac:dyDescent="0.15">
      <c r="A13" s="220"/>
      <c r="B13" s="220"/>
      <c r="C13" s="220"/>
      <c r="D13" s="220"/>
      <c r="E13" s="220"/>
      <c r="F13" s="220"/>
      <c r="G13" s="220"/>
      <c r="H13" s="220"/>
      <c r="I13" s="220"/>
      <c r="J13" s="220"/>
      <c r="K13" s="220"/>
      <c r="L13" s="220"/>
      <c r="M13" s="220"/>
      <c r="N13" s="220"/>
      <c r="O13" s="220"/>
      <c r="P13" s="220"/>
      <c r="Q13" s="220"/>
      <c r="R13" s="220"/>
      <c r="S13" s="220"/>
      <c r="T13" s="220"/>
      <c r="U13" s="220"/>
    </row>
    <row r="14" spans="1:21" x14ac:dyDescent="0.15">
      <c r="A14" s="220"/>
      <c r="B14" s="220"/>
      <c r="C14" s="220"/>
      <c r="D14" s="220"/>
      <c r="E14" s="220"/>
      <c r="F14" s="220"/>
      <c r="G14" s="220"/>
      <c r="H14" s="220"/>
      <c r="I14" s="220"/>
      <c r="J14" s="220"/>
      <c r="K14" s="220"/>
      <c r="L14" s="220"/>
      <c r="M14" s="220"/>
      <c r="N14" s="220"/>
      <c r="O14" s="220"/>
      <c r="P14" s="220"/>
      <c r="Q14" s="220"/>
      <c r="R14" s="220"/>
      <c r="S14" s="220"/>
      <c r="T14" s="220"/>
      <c r="U14" s="220"/>
    </row>
    <row r="15" spans="1:21" x14ac:dyDescent="0.15">
      <c r="A15" s="220"/>
      <c r="B15" s="220"/>
      <c r="C15" s="220"/>
      <c r="D15" s="220"/>
      <c r="E15" s="220"/>
      <c r="F15" s="220"/>
      <c r="G15" s="220"/>
      <c r="H15" s="220"/>
      <c r="I15" s="220"/>
      <c r="J15" s="220"/>
      <c r="K15" s="220"/>
      <c r="L15" s="220"/>
      <c r="M15" s="220"/>
      <c r="N15" s="220"/>
      <c r="O15" s="220"/>
      <c r="P15" s="220"/>
      <c r="Q15" s="220"/>
      <c r="R15" s="220"/>
      <c r="S15" s="220"/>
      <c r="T15" s="220"/>
      <c r="U15" s="220"/>
    </row>
    <row r="16" spans="1:21" x14ac:dyDescent="0.15">
      <c r="A16" s="220"/>
      <c r="B16" s="220"/>
      <c r="C16" s="220"/>
      <c r="D16" s="220"/>
      <c r="E16" s="220"/>
      <c r="F16" s="220"/>
      <c r="G16" s="220"/>
      <c r="H16" s="220"/>
      <c r="I16" s="220"/>
      <c r="J16" s="220"/>
      <c r="K16" s="220"/>
      <c r="L16" s="220"/>
      <c r="M16" s="220"/>
      <c r="N16" s="220"/>
      <c r="O16" s="220"/>
      <c r="P16" s="220"/>
      <c r="Q16" s="220"/>
      <c r="R16" s="220"/>
      <c r="S16" s="220"/>
      <c r="T16" s="220"/>
      <c r="U16" s="220"/>
    </row>
    <row r="17" spans="1:21" x14ac:dyDescent="0.15">
      <c r="A17" s="220"/>
      <c r="B17" s="220"/>
      <c r="C17" s="220"/>
      <c r="D17" s="220"/>
      <c r="E17" s="220"/>
      <c r="F17" s="220"/>
      <c r="G17" s="220"/>
      <c r="H17" s="220"/>
      <c r="I17" s="220"/>
      <c r="J17" s="220"/>
      <c r="K17" s="220"/>
      <c r="L17" s="220"/>
      <c r="M17" s="220"/>
      <c r="N17" s="220"/>
      <c r="O17" s="220"/>
      <c r="P17" s="220"/>
      <c r="Q17" s="220"/>
      <c r="R17" s="220"/>
      <c r="S17" s="220"/>
      <c r="T17" s="220"/>
      <c r="U17" s="220"/>
    </row>
    <row r="18" spans="1:21" x14ac:dyDescent="0.15">
      <c r="A18" s="220"/>
      <c r="B18" s="220"/>
      <c r="C18" s="220"/>
      <c r="D18" s="220"/>
      <c r="E18" s="220"/>
      <c r="F18" s="220"/>
      <c r="G18" s="220"/>
      <c r="H18" s="220"/>
      <c r="I18" s="220"/>
      <c r="J18" s="220"/>
      <c r="K18" s="220"/>
      <c r="L18" s="220"/>
      <c r="M18" s="220"/>
      <c r="N18" s="220"/>
      <c r="O18" s="220"/>
      <c r="P18" s="220"/>
      <c r="Q18" s="220"/>
      <c r="R18" s="220"/>
      <c r="S18" s="220"/>
      <c r="T18" s="220"/>
      <c r="U18" s="220"/>
    </row>
    <row r="19" spans="1:21" x14ac:dyDescent="0.15">
      <c r="A19" s="220"/>
      <c r="B19" s="220"/>
      <c r="C19" s="220"/>
      <c r="D19" s="220"/>
      <c r="E19" s="220"/>
      <c r="F19" s="220"/>
      <c r="G19" s="220"/>
      <c r="H19" s="220"/>
      <c r="I19" s="220"/>
      <c r="J19" s="220"/>
      <c r="K19" s="220"/>
      <c r="L19" s="220"/>
      <c r="M19" s="220"/>
      <c r="N19" s="220"/>
      <c r="O19" s="220"/>
      <c r="P19" s="220"/>
      <c r="Q19" s="220"/>
      <c r="R19" s="220"/>
      <c r="S19" s="220"/>
      <c r="T19" s="220"/>
      <c r="U19" s="220"/>
    </row>
    <row r="20" spans="1:21" x14ac:dyDescent="0.15">
      <c r="A20" s="220"/>
      <c r="B20" s="220"/>
      <c r="C20" s="220"/>
      <c r="D20" s="220"/>
      <c r="E20" s="220"/>
      <c r="F20" s="220"/>
      <c r="G20" s="220"/>
      <c r="H20" s="220"/>
      <c r="I20" s="220"/>
      <c r="J20" s="220"/>
      <c r="K20" s="220"/>
      <c r="L20" s="220"/>
      <c r="M20" s="220"/>
      <c r="N20" s="220"/>
      <c r="O20" s="220"/>
      <c r="P20" s="220"/>
      <c r="Q20" s="220"/>
      <c r="R20" s="220"/>
      <c r="S20" s="220"/>
      <c r="T20" s="220"/>
      <c r="U20" s="220"/>
    </row>
    <row r="21" spans="1:21" x14ac:dyDescent="0.15">
      <c r="A21" s="220"/>
      <c r="B21" s="220"/>
      <c r="C21" s="220"/>
      <c r="D21" s="220"/>
      <c r="E21" s="220"/>
      <c r="F21" s="220"/>
      <c r="G21" s="220"/>
      <c r="H21" s="220"/>
      <c r="I21" s="220"/>
      <c r="J21" s="220"/>
      <c r="K21" s="220"/>
      <c r="L21" s="220"/>
      <c r="M21" s="220"/>
      <c r="N21" s="220"/>
      <c r="O21" s="220"/>
      <c r="P21" s="220"/>
      <c r="Q21" s="220"/>
      <c r="R21" s="220"/>
      <c r="S21" s="220"/>
      <c r="T21" s="220"/>
      <c r="U21" s="220"/>
    </row>
    <row r="22" spans="1:21" x14ac:dyDescent="0.15">
      <c r="A22" s="220"/>
      <c r="B22" s="220"/>
      <c r="C22" s="220"/>
      <c r="D22" s="220"/>
      <c r="E22" s="220"/>
      <c r="F22" s="220"/>
      <c r="G22" s="220"/>
      <c r="H22" s="220"/>
      <c r="I22" s="220"/>
      <c r="J22" s="220"/>
      <c r="K22" s="220"/>
      <c r="L22" s="220"/>
      <c r="M22" s="220"/>
      <c r="N22" s="220"/>
      <c r="O22" s="220"/>
      <c r="P22" s="220"/>
      <c r="Q22" s="220"/>
      <c r="R22" s="220"/>
      <c r="S22" s="220"/>
      <c r="T22" s="220"/>
      <c r="U22" s="220"/>
    </row>
    <row r="23" spans="1:21" x14ac:dyDescent="0.15">
      <c r="A23" s="220"/>
      <c r="B23" s="220"/>
      <c r="C23" s="220"/>
      <c r="D23" s="220"/>
      <c r="E23" s="220"/>
      <c r="F23" s="220"/>
      <c r="G23" s="220"/>
      <c r="H23" s="220"/>
      <c r="I23" s="220"/>
      <c r="J23" s="220"/>
      <c r="K23" s="220"/>
      <c r="L23" s="220"/>
      <c r="M23" s="220"/>
      <c r="N23" s="220"/>
      <c r="O23" s="220"/>
      <c r="P23" s="220"/>
      <c r="Q23" s="220"/>
      <c r="R23" s="220"/>
      <c r="S23" s="220"/>
      <c r="T23" s="220"/>
      <c r="U23" s="220"/>
    </row>
    <row r="24" spans="1:21" x14ac:dyDescent="0.15">
      <c r="A24" s="220"/>
      <c r="B24" s="220"/>
      <c r="C24" s="220"/>
      <c r="D24" s="220"/>
      <c r="E24" s="220"/>
      <c r="F24" s="220"/>
      <c r="G24" s="220"/>
      <c r="H24" s="220"/>
      <c r="I24" s="220"/>
      <c r="J24" s="220"/>
      <c r="K24" s="220"/>
      <c r="L24" s="220"/>
      <c r="M24" s="220"/>
      <c r="N24" s="220"/>
      <c r="O24" s="220"/>
      <c r="P24" s="220"/>
      <c r="Q24" s="220"/>
      <c r="R24" s="220"/>
      <c r="S24" s="220"/>
      <c r="T24" s="220"/>
      <c r="U24" s="220"/>
    </row>
    <row r="25" spans="1:21" x14ac:dyDescent="0.15">
      <c r="A25" s="220"/>
      <c r="B25" s="220"/>
      <c r="C25" s="220"/>
      <c r="D25" s="220"/>
      <c r="E25" s="220"/>
      <c r="F25" s="220"/>
      <c r="G25" s="220"/>
      <c r="H25" s="220"/>
      <c r="I25" s="220"/>
      <c r="J25" s="220"/>
      <c r="K25" s="220"/>
      <c r="L25" s="220"/>
      <c r="M25" s="220"/>
      <c r="N25" s="220"/>
      <c r="O25" s="220"/>
      <c r="P25" s="220"/>
      <c r="Q25" s="220"/>
      <c r="R25" s="220"/>
      <c r="S25" s="220"/>
      <c r="T25" s="220"/>
      <c r="U25" s="220"/>
    </row>
    <row r="26" spans="1:21" x14ac:dyDescent="0.15">
      <c r="A26" s="220"/>
      <c r="B26" s="220"/>
      <c r="C26" s="220"/>
      <c r="D26" s="220"/>
      <c r="E26" s="220"/>
      <c r="F26" s="220"/>
      <c r="G26" s="220"/>
      <c r="H26" s="220"/>
      <c r="I26" s="220"/>
      <c r="J26" s="220"/>
      <c r="K26" s="220"/>
      <c r="L26" s="220"/>
      <c r="M26" s="220"/>
      <c r="N26" s="220"/>
      <c r="O26" s="220"/>
      <c r="P26" s="220"/>
      <c r="Q26" s="220"/>
      <c r="R26" s="220"/>
      <c r="S26" s="220"/>
      <c r="T26" s="220"/>
      <c r="U26" s="220"/>
    </row>
    <row r="27" spans="1:21" x14ac:dyDescent="0.15">
      <c r="A27" s="220"/>
      <c r="B27" s="233" t="s">
        <v>498</v>
      </c>
      <c r="C27" s="220"/>
      <c r="D27" s="220"/>
      <c r="E27" s="220"/>
      <c r="F27" s="220"/>
      <c r="G27" s="220"/>
      <c r="H27" s="220"/>
      <c r="I27" s="220"/>
      <c r="J27" s="220"/>
      <c r="K27" s="220"/>
      <c r="L27" s="220"/>
      <c r="M27" s="220"/>
      <c r="N27" s="220"/>
      <c r="O27" s="220"/>
      <c r="P27" s="220"/>
      <c r="Q27" s="220"/>
      <c r="R27" s="220"/>
      <c r="S27" s="220"/>
      <c r="T27" s="220"/>
      <c r="U27" s="220"/>
    </row>
    <row r="28" spans="1:21" x14ac:dyDescent="0.15">
      <c r="A28" s="220"/>
      <c r="B28" s="233" t="s">
        <v>499</v>
      </c>
      <c r="C28" s="220"/>
      <c r="D28" s="220"/>
      <c r="E28" s="220"/>
      <c r="F28" s="220"/>
      <c r="G28" s="220"/>
      <c r="H28" s="220"/>
      <c r="I28" s="220"/>
      <c r="J28" s="220"/>
      <c r="K28" s="220"/>
      <c r="L28" s="220"/>
      <c r="M28" s="220"/>
      <c r="N28" s="220"/>
      <c r="O28" s="220"/>
      <c r="P28" s="220"/>
      <c r="Q28" s="220"/>
      <c r="R28" s="220"/>
      <c r="S28" s="220"/>
      <c r="T28" s="220"/>
      <c r="U28" s="220"/>
    </row>
    <row r="29" spans="1:21" x14ac:dyDescent="0.15">
      <c r="A29" s="220"/>
      <c r="B29" s="220"/>
      <c r="C29" s="220"/>
      <c r="D29" s="220"/>
      <c r="E29" s="220"/>
      <c r="F29" s="220"/>
      <c r="G29" s="220"/>
      <c r="H29" s="220"/>
      <c r="I29" s="220"/>
      <c r="J29" s="220"/>
      <c r="K29" s="220"/>
      <c r="L29" s="220"/>
      <c r="M29" s="220"/>
      <c r="N29" s="220"/>
      <c r="O29" s="220"/>
      <c r="P29" s="220"/>
      <c r="Q29" s="220"/>
      <c r="R29" s="220"/>
      <c r="S29" s="220"/>
      <c r="T29" s="220"/>
      <c r="U29" s="220"/>
    </row>
  </sheetData>
  <sheetProtection algorithmName="SHA-512" hashValue="5+ZGXZdqdMZCZcdoftaqD+npGzwlcZxDj696jtHeYJPR2zaCGy78pNo5Xb5qpJyjTdht/rpkXErSQTS2saJjpQ==" saltValue="wOTyDud/FFGHR4u3Yk7ocQ==" spinCount="100000" sheet="1" objects="1" scenarios="1" selectLockedCells="1"/>
  <mergeCells count="1">
    <mergeCell ref="B2:T2"/>
  </mergeCells>
  <phoneticPr fontId="5"/>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W48"/>
  <sheetViews>
    <sheetView zoomScaleNormal="100" zoomScaleSheetLayoutView="100" workbookViewId="0">
      <selection activeCell="ZZ1" sqref="ZZ1"/>
    </sheetView>
  </sheetViews>
  <sheetFormatPr defaultColWidth="9" defaultRowHeight="12.75" x14ac:dyDescent="0.15"/>
  <cols>
    <col min="1" max="1" width="0.875" style="185" customWidth="1"/>
    <col min="2" max="2" width="1.625" style="185" customWidth="1"/>
    <col min="3" max="3" width="5" style="185" bestFit="1" customWidth="1"/>
    <col min="4" max="5" width="2.625" style="185" customWidth="1"/>
    <col min="6" max="6" width="7.625" style="185" customWidth="1"/>
    <col min="7" max="7" width="6.625" style="185" customWidth="1"/>
    <col min="8" max="8" width="5" style="185" customWidth="1"/>
    <col min="9" max="13" width="3.625" style="185" customWidth="1"/>
    <col min="14" max="14" width="1.625" style="185" customWidth="1"/>
    <col min="15" max="15" width="2.625" style="185" customWidth="1"/>
    <col min="16" max="16" width="5.625" style="185" customWidth="1"/>
    <col min="17" max="22" width="3.625" style="185" customWidth="1"/>
    <col min="23" max="23" width="0.875" style="185" customWidth="1"/>
    <col min="24" max="16384" width="9" style="185"/>
  </cols>
  <sheetData>
    <row r="1" spans="1:23" x14ac:dyDescent="0.15">
      <c r="A1" s="179"/>
      <c r="B1" s="180" t="s">
        <v>183</v>
      </c>
      <c r="C1" s="179"/>
      <c r="D1" s="179"/>
      <c r="E1" s="179"/>
      <c r="F1" s="179"/>
      <c r="G1" s="179"/>
      <c r="H1" s="179"/>
      <c r="I1" s="179"/>
      <c r="J1" s="179"/>
      <c r="K1" s="179"/>
      <c r="L1" s="179"/>
      <c r="M1" s="179"/>
      <c r="N1" s="179"/>
      <c r="O1" s="179"/>
      <c r="P1" s="179"/>
      <c r="Q1" s="179"/>
      <c r="R1" s="179"/>
      <c r="S1" s="179"/>
      <c r="T1" s="179"/>
      <c r="U1" s="179"/>
      <c r="V1" s="179"/>
      <c r="W1" s="179"/>
    </row>
    <row r="2" spans="1:23" ht="17.25" x14ac:dyDescent="0.15">
      <c r="A2" s="179"/>
      <c r="B2" s="179"/>
      <c r="C2" s="179"/>
      <c r="D2" s="179"/>
      <c r="E2" s="179"/>
      <c r="F2" s="179"/>
      <c r="G2" s="179"/>
      <c r="H2" s="179"/>
      <c r="I2" s="179"/>
      <c r="J2" s="179"/>
      <c r="K2" s="179"/>
      <c r="L2" s="179"/>
      <c r="M2" s="179"/>
      <c r="N2" s="179"/>
      <c r="O2" s="179"/>
      <c r="P2" s="179"/>
      <c r="Q2" s="179"/>
      <c r="R2" s="179" t="s">
        <v>184</v>
      </c>
      <c r="S2" s="389" t="str">
        <f>反映シート!$C$21</f>
        <v>-</v>
      </c>
      <c r="T2" s="389"/>
      <c r="U2" s="389"/>
      <c r="V2" s="181" t="s">
        <v>185</v>
      </c>
      <c r="W2" s="179"/>
    </row>
    <row r="3" spans="1:23" ht="17.25" x14ac:dyDescent="0.15">
      <c r="A3" s="179"/>
      <c r="B3" s="179"/>
      <c r="C3" s="179"/>
      <c r="D3" s="179"/>
      <c r="E3" s="179"/>
      <c r="F3" s="179"/>
      <c r="G3" s="179"/>
      <c r="H3" s="179"/>
      <c r="I3" s="179"/>
      <c r="J3" s="179"/>
      <c r="K3" s="179"/>
      <c r="L3" s="179"/>
      <c r="M3" s="179"/>
      <c r="N3" s="179"/>
      <c r="O3" s="179"/>
      <c r="P3" s="181" t="s">
        <v>115</v>
      </c>
      <c r="Q3" s="182" t="str">
        <f>反映シート!$E$29</f>
        <v/>
      </c>
      <c r="R3" s="181" t="s">
        <v>116</v>
      </c>
      <c r="S3" s="182" t="str">
        <f>反映シート!$I$29</f>
        <v/>
      </c>
      <c r="T3" s="181" t="s">
        <v>117</v>
      </c>
      <c r="U3" s="182" t="str">
        <f>反映シート!$M$29</f>
        <v/>
      </c>
      <c r="V3" s="181" t="s">
        <v>132</v>
      </c>
      <c r="W3" s="179"/>
    </row>
    <row r="4" spans="1:23" x14ac:dyDescent="0.15">
      <c r="A4" s="179"/>
      <c r="B4" s="180" t="s">
        <v>502</v>
      </c>
      <c r="C4" s="179"/>
      <c r="D4" s="179"/>
      <c r="E4" s="179"/>
      <c r="F4" s="179"/>
      <c r="G4" s="179"/>
      <c r="H4" s="179"/>
      <c r="I4" s="179"/>
      <c r="J4" s="179"/>
      <c r="K4" s="179"/>
      <c r="L4" s="179"/>
      <c r="M4" s="179"/>
      <c r="N4" s="179"/>
      <c r="O4" s="179"/>
      <c r="P4" s="179"/>
      <c r="Q4" s="179"/>
      <c r="R4" s="179"/>
      <c r="S4" s="179"/>
      <c r="T4" s="179"/>
      <c r="U4" s="179"/>
      <c r="V4" s="179"/>
      <c r="W4" s="179"/>
    </row>
    <row r="5" spans="1:23" x14ac:dyDescent="0.15">
      <c r="A5" s="179"/>
      <c r="B5" s="183" t="s">
        <v>186</v>
      </c>
      <c r="C5" s="179"/>
      <c r="D5" s="179"/>
      <c r="E5" s="179"/>
      <c r="F5" s="179"/>
      <c r="G5" s="179"/>
      <c r="H5" s="179"/>
      <c r="I5" s="179"/>
      <c r="J5" s="179"/>
      <c r="K5" s="179"/>
      <c r="L5" s="179"/>
      <c r="M5" s="179"/>
      <c r="N5" s="179"/>
      <c r="O5" s="179"/>
      <c r="P5" s="179"/>
      <c r="Q5" s="179"/>
      <c r="R5" s="179"/>
      <c r="S5" s="179"/>
      <c r="T5" s="179"/>
      <c r="U5" s="179"/>
      <c r="V5" s="179"/>
      <c r="W5" s="179"/>
    </row>
    <row r="6" spans="1:23" x14ac:dyDescent="0.15">
      <c r="A6" s="179"/>
      <c r="B6" s="180" t="s">
        <v>503</v>
      </c>
      <c r="C6" s="179"/>
      <c r="D6" s="179"/>
      <c r="E6" s="179"/>
      <c r="F6" s="179"/>
      <c r="G6" s="179"/>
      <c r="H6" s="179"/>
      <c r="I6" s="179"/>
      <c r="J6" s="179"/>
      <c r="K6" s="179"/>
      <c r="L6" s="179"/>
      <c r="M6" s="179"/>
      <c r="N6" s="179"/>
      <c r="O6" s="179"/>
      <c r="P6" s="179"/>
      <c r="Q6" s="179"/>
      <c r="R6" s="179"/>
      <c r="S6" s="179"/>
      <c r="T6" s="179"/>
      <c r="U6" s="179"/>
      <c r="V6" s="179"/>
      <c r="W6" s="179"/>
    </row>
    <row r="7" spans="1:23" x14ac:dyDescent="0.15">
      <c r="A7" s="179"/>
      <c r="B7" s="183" t="s">
        <v>504</v>
      </c>
      <c r="C7" s="179"/>
      <c r="D7" s="179"/>
      <c r="E7" s="179"/>
      <c r="F7" s="179"/>
      <c r="G7" s="179"/>
      <c r="H7" s="179"/>
      <c r="I7" s="179"/>
      <c r="J7" s="179"/>
      <c r="K7" s="179"/>
      <c r="L7" s="179"/>
      <c r="M7" s="179"/>
      <c r="N7" s="179"/>
      <c r="O7" s="179"/>
      <c r="P7" s="179"/>
      <c r="Q7" s="179"/>
      <c r="R7" s="179"/>
      <c r="S7" s="179"/>
      <c r="T7" s="179"/>
      <c r="U7" s="179"/>
      <c r="V7" s="179"/>
      <c r="W7" s="179"/>
    </row>
    <row r="8" spans="1:23" x14ac:dyDescent="0.15">
      <c r="A8" s="179"/>
      <c r="B8" s="179"/>
      <c r="C8" s="179"/>
      <c r="D8" s="179"/>
      <c r="E8" s="179"/>
      <c r="F8" s="179"/>
      <c r="G8" s="179"/>
      <c r="H8" s="179"/>
      <c r="I8" s="179"/>
      <c r="J8" s="179"/>
      <c r="K8" s="179"/>
      <c r="L8" s="179"/>
      <c r="M8" s="179"/>
      <c r="N8" s="179"/>
      <c r="O8" s="179"/>
      <c r="P8" s="179"/>
      <c r="Q8" s="179"/>
      <c r="R8" s="179"/>
      <c r="S8" s="179"/>
      <c r="T8" s="179"/>
      <c r="U8" s="179"/>
      <c r="V8" s="179"/>
      <c r="W8" s="179"/>
    </row>
    <row r="9" spans="1:23" s="206" customFormat="1" ht="17.25" x14ac:dyDescent="0.15">
      <c r="A9" s="207"/>
      <c r="B9" s="207"/>
      <c r="C9" s="207"/>
      <c r="D9" s="207"/>
      <c r="E9" s="207"/>
      <c r="F9" s="207"/>
      <c r="G9" s="207"/>
      <c r="H9" s="207"/>
      <c r="I9" s="391" t="s">
        <v>187</v>
      </c>
      <c r="J9" s="391"/>
      <c r="K9" s="208"/>
      <c r="L9" s="393" t="s">
        <v>188</v>
      </c>
      <c r="M9" s="393"/>
      <c r="N9" s="209"/>
      <c r="O9" s="394" t="str">
        <f>反映シート!$E$43&amp;反映シート!$O$45</f>
        <v/>
      </c>
      <c r="P9" s="394"/>
      <c r="Q9" s="394"/>
      <c r="R9" s="394"/>
      <c r="S9" s="394"/>
      <c r="T9" s="394"/>
      <c r="U9" s="394"/>
      <c r="V9" s="394"/>
      <c r="W9" s="207"/>
    </row>
    <row r="10" spans="1:23" s="206" customFormat="1" ht="17.25" x14ac:dyDescent="0.15">
      <c r="A10" s="207"/>
      <c r="B10" s="207"/>
      <c r="C10" s="207"/>
      <c r="D10" s="207"/>
      <c r="E10" s="207"/>
      <c r="F10" s="207"/>
      <c r="G10" s="207"/>
      <c r="H10" s="207"/>
      <c r="I10" s="210"/>
      <c r="J10" s="210"/>
      <c r="K10" s="208"/>
      <c r="L10" s="211"/>
      <c r="M10" s="211"/>
      <c r="N10" s="209"/>
      <c r="O10" s="394" t="str">
        <f>反映シート!$O$47</f>
        <v/>
      </c>
      <c r="P10" s="394"/>
      <c r="Q10" s="394"/>
      <c r="R10" s="394"/>
      <c r="S10" s="394"/>
      <c r="T10" s="394"/>
      <c r="U10" s="394"/>
      <c r="V10" s="394"/>
      <c r="W10" s="207"/>
    </row>
    <row r="11" spans="1:23" s="206" customFormat="1" ht="17.25" x14ac:dyDescent="0.15">
      <c r="A11" s="207"/>
      <c r="B11" s="207"/>
      <c r="C11" s="207"/>
      <c r="D11" s="207"/>
      <c r="E11" s="207"/>
      <c r="F11" s="207"/>
      <c r="G11" s="207"/>
      <c r="H11" s="207"/>
      <c r="I11" s="210"/>
      <c r="J11" s="210"/>
      <c r="K11" s="208"/>
      <c r="L11" s="211"/>
      <c r="M11" s="211"/>
      <c r="N11" s="209"/>
      <c r="O11" s="394" t="str">
        <f>反映シート!$O$49</f>
        <v/>
      </c>
      <c r="P11" s="394"/>
      <c r="Q11" s="394"/>
      <c r="R11" s="394"/>
      <c r="S11" s="394"/>
      <c r="T11" s="394"/>
      <c r="U11" s="394"/>
      <c r="V11" s="394"/>
      <c r="W11" s="207"/>
    </row>
    <row r="12" spans="1:23" ht="17.25" x14ac:dyDescent="0.15">
      <c r="A12" s="179"/>
      <c r="B12" s="179"/>
      <c r="C12" s="179"/>
      <c r="D12" s="179"/>
      <c r="E12" s="179"/>
      <c r="F12" s="179"/>
      <c r="G12" s="179"/>
      <c r="H12" s="179"/>
      <c r="I12" s="179"/>
      <c r="J12" s="179"/>
      <c r="K12" s="179"/>
      <c r="L12" s="392" t="s">
        <v>189</v>
      </c>
      <c r="M12" s="392"/>
      <c r="N12" s="183"/>
      <c r="O12" s="395" t="str">
        <f>反映シート!$E$51</f>
        <v/>
      </c>
      <c r="P12" s="395"/>
      <c r="Q12" s="395"/>
      <c r="R12" s="395"/>
      <c r="S12" s="395"/>
      <c r="T12" s="395"/>
      <c r="U12" s="395"/>
      <c r="V12" s="395"/>
      <c r="W12" s="179"/>
    </row>
    <row r="13" spans="1:23" ht="13.5" customHeight="1" x14ac:dyDescent="0.15">
      <c r="A13" s="179"/>
      <c r="B13" s="179"/>
      <c r="C13" s="179"/>
      <c r="D13" s="179"/>
      <c r="E13" s="179"/>
      <c r="F13" s="179"/>
      <c r="G13" s="179"/>
      <c r="H13" s="179"/>
      <c r="I13" s="179"/>
      <c r="J13" s="179"/>
      <c r="K13" s="392" t="s">
        <v>190</v>
      </c>
      <c r="L13" s="392"/>
      <c r="M13" s="392"/>
      <c r="N13" s="183"/>
      <c r="O13" s="387" t="str">
        <f>反映シート!$O$57&amp;"　"&amp;反映シート!$O$59&amp;"　"&amp;反映シート!$O$61</f>
        <v>　　</v>
      </c>
      <c r="P13" s="387"/>
      <c r="Q13" s="387"/>
      <c r="R13" s="387"/>
      <c r="S13" s="387"/>
      <c r="T13" s="387"/>
      <c r="U13" s="387"/>
      <c r="V13" s="387"/>
      <c r="W13" s="179"/>
    </row>
    <row r="14" spans="1:23" x14ac:dyDescent="0.15">
      <c r="A14" s="179"/>
      <c r="B14" s="179"/>
      <c r="C14" s="179"/>
      <c r="D14" s="179"/>
      <c r="E14" s="179"/>
      <c r="F14" s="179"/>
      <c r="G14" s="179"/>
      <c r="H14" s="179"/>
      <c r="I14" s="179"/>
      <c r="J14" s="179"/>
      <c r="K14" s="179"/>
      <c r="L14" s="179"/>
      <c r="M14" s="179"/>
      <c r="N14" s="179"/>
      <c r="O14" s="387"/>
      <c r="P14" s="387"/>
      <c r="Q14" s="387"/>
      <c r="R14" s="387"/>
      <c r="S14" s="387"/>
      <c r="T14" s="387"/>
      <c r="U14" s="387"/>
      <c r="V14" s="387"/>
      <c r="W14" s="179"/>
    </row>
    <row r="15" spans="1:23" x14ac:dyDescent="0.15">
      <c r="A15" s="179"/>
      <c r="B15" s="179"/>
      <c r="C15" s="179"/>
      <c r="D15" s="179"/>
      <c r="E15" s="179"/>
      <c r="F15" s="179"/>
      <c r="G15" s="179"/>
      <c r="H15" s="179"/>
      <c r="I15" s="179"/>
      <c r="J15" s="179"/>
      <c r="K15" s="179"/>
      <c r="L15" s="179"/>
      <c r="M15" s="179"/>
      <c r="N15" s="179"/>
      <c r="O15" s="179"/>
      <c r="P15" s="179"/>
      <c r="Q15" s="179"/>
      <c r="R15" s="179"/>
      <c r="S15" s="179"/>
      <c r="T15" s="179"/>
      <c r="U15" s="179"/>
      <c r="V15" s="179"/>
      <c r="W15" s="179"/>
    </row>
    <row r="16" spans="1:23" ht="17.25" x14ac:dyDescent="0.15">
      <c r="A16" s="179"/>
      <c r="B16" s="179"/>
      <c r="C16" s="180" t="s">
        <v>191</v>
      </c>
      <c r="D16" s="182" t="str">
        <f>IF(Q3="","",4)</f>
        <v/>
      </c>
      <c r="E16" s="182"/>
      <c r="F16" s="183" t="s">
        <v>192</v>
      </c>
      <c r="G16" s="179"/>
      <c r="H16" s="179"/>
      <c r="I16" s="179"/>
      <c r="J16" s="179"/>
      <c r="K16" s="179"/>
      <c r="L16" s="179"/>
      <c r="M16" s="179"/>
      <c r="N16" s="179"/>
      <c r="O16" s="179"/>
      <c r="P16" s="179"/>
      <c r="Q16" s="179"/>
      <c r="R16" s="179"/>
      <c r="S16" s="179"/>
      <c r="T16" s="179"/>
      <c r="U16" s="179"/>
      <c r="V16" s="179"/>
      <c r="W16" s="179"/>
    </row>
    <row r="17" spans="1:23" x14ac:dyDescent="0.15">
      <c r="A17" s="179"/>
      <c r="B17" s="179"/>
      <c r="C17" s="183" t="s">
        <v>193</v>
      </c>
      <c r="D17" s="179"/>
      <c r="E17" s="179"/>
      <c r="F17" s="179"/>
      <c r="G17" s="179"/>
      <c r="H17" s="179"/>
      <c r="I17" s="179"/>
      <c r="J17" s="179"/>
      <c r="K17" s="179"/>
      <c r="L17" s="179"/>
      <c r="M17" s="179"/>
      <c r="N17" s="179"/>
      <c r="O17" s="179"/>
      <c r="P17" s="179"/>
      <c r="Q17" s="179"/>
      <c r="R17" s="179"/>
      <c r="S17" s="179"/>
      <c r="T17" s="179"/>
      <c r="U17" s="179"/>
      <c r="V17" s="179"/>
      <c r="W17" s="179"/>
    </row>
    <row r="18" spans="1:23" x14ac:dyDescent="0.15">
      <c r="A18" s="179"/>
      <c r="B18" s="179"/>
      <c r="C18" s="179"/>
      <c r="D18" s="179"/>
      <c r="E18" s="179"/>
      <c r="F18" s="179"/>
      <c r="G18" s="179"/>
      <c r="H18" s="179"/>
      <c r="I18" s="179"/>
      <c r="J18" s="179"/>
      <c r="K18" s="179"/>
      <c r="L18" s="179"/>
      <c r="M18" s="179"/>
      <c r="N18" s="179"/>
      <c r="O18" s="179"/>
      <c r="P18" s="179"/>
      <c r="Q18" s="179"/>
      <c r="R18" s="179"/>
      <c r="S18" s="179"/>
      <c r="T18" s="179"/>
      <c r="U18" s="179"/>
      <c r="V18" s="179"/>
      <c r="W18" s="179"/>
    </row>
    <row r="19" spans="1:23" x14ac:dyDescent="0.15">
      <c r="A19" s="179"/>
      <c r="B19" s="179"/>
      <c r="C19" s="390" t="s">
        <v>194</v>
      </c>
      <c r="D19" s="390"/>
      <c r="E19" s="390"/>
      <c r="F19" s="390"/>
      <c r="G19" s="390"/>
      <c r="H19" s="390"/>
      <c r="I19" s="390"/>
      <c r="J19" s="390"/>
      <c r="K19" s="390"/>
      <c r="L19" s="390"/>
      <c r="M19" s="390"/>
      <c r="N19" s="390"/>
      <c r="O19" s="390"/>
      <c r="P19" s="390"/>
      <c r="Q19" s="390"/>
      <c r="R19" s="390"/>
      <c r="S19" s="390"/>
      <c r="T19" s="390"/>
      <c r="U19" s="390"/>
      <c r="V19" s="390"/>
      <c r="W19" s="179"/>
    </row>
    <row r="20" spans="1:23" x14ac:dyDescent="0.15">
      <c r="A20" s="179"/>
      <c r="B20" s="390" t="s">
        <v>505</v>
      </c>
      <c r="C20" s="390"/>
      <c r="D20" s="390"/>
      <c r="E20" s="390"/>
      <c r="F20" s="390"/>
      <c r="G20" s="390"/>
      <c r="H20" s="390"/>
      <c r="I20" s="390"/>
      <c r="J20" s="390"/>
      <c r="K20" s="390"/>
      <c r="L20" s="390"/>
      <c r="M20" s="390"/>
      <c r="N20" s="390"/>
      <c r="O20" s="390"/>
      <c r="P20" s="390"/>
      <c r="Q20" s="390"/>
      <c r="R20" s="179"/>
      <c r="S20" s="179"/>
      <c r="T20" s="179"/>
      <c r="U20" s="179"/>
      <c r="V20" s="179"/>
      <c r="W20" s="179"/>
    </row>
    <row r="21" spans="1:23" x14ac:dyDescent="0.15">
      <c r="A21" s="179"/>
      <c r="B21" s="179"/>
      <c r="C21" s="179"/>
      <c r="D21" s="179"/>
      <c r="E21" s="179"/>
      <c r="F21" s="179"/>
      <c r="G21" s="179"/>
      <c r="H21" s="179"/>
      <c r="I21" s="179"/>
      <c r="J21" s="179"/>
      <c r="K21" s="179"/>
      <c r="L21" s="179"/>
      <c r="M21" s="179"/>
      <c r="N21" s="179"/>
      <c r="O21" s="179"/>
      <c r="P21" s="179"/>
      <c r="Q21" s="179"/>
      <c r="R21" s="179"/>
      <c r="S21" s="179"/>
      <c r="T21" s="179"/>
      <c r="U21" s="179"/>
      <c r="V21" s="179"/>
      <c r="W21" s="179"/>
    </row>
    <row r="22" spans="1:23" x14ac:dyDescent="0.15">
      <c r="A22" s="179"/>
      <c r="B22" s="179"/>
      <c r="C22" s="179"/>
      <c r="D22" s="179"/>
      <c r="E22" s="179"/>
      <c r="F22" s="179"/>
      <c r="G22" s="179"/>
      <c r="H22" s="179"/>
      <c r="I22" s="212" t="s">
        <v>195</v>
      </c>
      <c r="J22" s="212"/>
      <c r="K22" s="212"/>
      <c r="L22" s="179"/>
      <c r="M22" s="179"/>
      <c r="N22" s="179"/>
      <c r="O22" s="179"/>
      <c r="P22" s="179"/>
      <c r="Q22" s="179"/>
      <c r="R22" s="179"/>
      <c r="S22" s="179"/>
      <c r="T22" s="179"/>
      <c r="U22" s="179"/>
      <c r="V22" s="179"/>
      <c r="W22" s="179"/>
    </row>
    <row r="23" spans="1:23" x14ac:dyDescent="0.15">
      <c r="A23" s="179"/>
      <c r="B23" s="179"/>
      <c r="C23" s="179"/>
      <c r="D23" s="179"/>
      <c r="E23" s="179"/>
      <c r="F23" s="179"/>
      <c r="G23" s="179"/>
      <c r="H23" s="179"/>
      <c r="I23" s="179"/>
      <c r="J23" s="179"/>
      <c r="K23" s="179"/>
      <c r="L23" s="179"/>
      <c r="M23" s="179"/>
      <c r="N23" s="179"/>
      <c r="O23" s="179"/>
      <c r="P23" s="179"/>
      <c r="Q23" s="179"/>
      <c r="R23" s="179"/>
      <c r="S23" s="179"/>
      <c r="T23" s="179"/>
      <c r="U23" s="179"/>
      <c r="V23" s="179"/>
      <c r="W23" s="179"/>
    </row>
    <row r="24" spans="1:23" ht="12.75" customHeight="1" x14ac:dyDescent="0.15">
      <c r="A24" s="179"/>
      <c r="B24" s="183" t="s">
        <v>196</v>
      </c>
      <c r="C24" s="179"/>
      <c r="D24" s="179"/>
      <c r="E24" s="179"/>
      <c r="F24" s="179"/>
      <c r="G24" s="388" t="str">
        <f>IF(反映シート!$C$137="","",反映シート!$C$137)</f>
        <v/>
      </c>
      <c r="H24" s="388"/>
      <c r="I24" s="388"/>
      <c r="J24" s="388"/>
      <c r="K24" s="388"/>
      <c r="L24" s="388"/>
      <c r="M24" s="388"/>
      <c r="N24" s="388"/>
      <c r="O24" s="388"/>
      <c r="P24" s="388"/>
      <c r="Q24" s="388"/>
      <c r="R24" s="388"/>
      <c r="S24" s="388"/>
      <c r="T24" s="388"/>
      <c r="U24" s="388"/>
      <c r="V24" s="388"/>
      <c r="W24" s="179"/>
    </row>
    <row r="25" spans="1:23" ht="12.75" customHeight="1" x14ac:dyDescent="0.15">
      <c r="A25" s="179"/>
      <c r="B25" s="179"/>
      <c r="C25" s="179"/>
      <c r="D25" s="179"/>
      <c r="E25" s="179"/>
      <c r="F25" s="179"/>
      <c r="G25" s="388"/>
      <c r="H25" s="388"/>
      <c r="I25" s="388"/>
      <c r="J25" s="388"/>
      <c r="K25" s="388"/>
      <c r="L25" s="388"/>
      <c r="M25" s="388"/>
      <c r="N25" s="388"/>
      <c r="O25" s="388"/>
      <c r="P25" s="388"/>
      <c r="Q25" s="388"/>
      <c r="R25" s="388"/>
      <c r="S25" s="388"/>
      <c r="T25" s="388"/>
      <c r="U25" s="388"/>
      <c r="V25" s="388"/>
      <c r="W25" s="179"/>
    </row>
    <row r="26" spans="1:23" ht="12.75" customHeight="1" x14ac:dyDescent="0.15">
      <c r="A26" s="179"/>
      <c r="B26" s="179"/>
      <c r="C26" s="179"/>
      <c r="D26" s="179"/>
      <c r="E26" s="179"/>
      <c r="F26" s="179"/>
      <c r="G26" s="388"/>
      <c r="H26" s="388"/>
      <c r="I26" s="388"/>
      <c r="J26" s="388"/>
      <c r="K26" s="388"/>
      <c r="L26" s="388"/>
      <c r="M26" s="388"/>
      <c r="N26" s="388"/>
      <c r="O26" s="388"/>
      <c r="P26" s="388"/>
      <c r="Q26" s="388"/>
      <c r="R26" s="388"/>
      <c r="S26" s="388"/>
      <c r="T26" s="388"/>
      <c r="U26" s="388"/>
      <c r="V26" s="388"/>
      <c r="W26" s="179"/>
    </row>
    <row r="27" spans="1:23" x14ac:dyDescent="0.15">
      <c r="A27" s="179"/>
      <c r="B27" s="183" t="s">
        <v>197</v>
      </c>
      <c r="C27" s="179"/>
      <c r="D27" s="179"/>
      <c r="E27" s="179"/>
      <c r="F27" s="179"/>
      <c r="G27" s="179"/>
      <c r="H27" s="179"/>
      <c r="I27" s="179"/>
      <c r="J27" s="179"/>
      <c r="K27" s="179"/>
      <c r="L27" s="179"/>
      <c r="M27" s="179"/>
      <c r="N27" s="179"/>
      <c r="O27" s="179"/>
      <c r="P27" s="179"/>
      <c r="Q27" s="179"/>
      <c r="R27" s="179"/>
      <c r="S27" s="179"/>
      <c r="T27" s="179"/>
      <c r="U27" s="179"/>
      <c r="V27" s="179"/>
      <c r="W27" s="179"/>
    </row>
    <row r="28" spans="1:23" x14ac:dyDescent="0.15">
      <c r="A28" s="179"/>
      <c r="B28" s="179"/>
      <c r="C28" s="183" t="s">
        <v>198</v>
      </c>
      <c r="D28" s="179"/>
      <c r="E28" s="179"/>
      <c r="F28" s="179"/>
      <c r="G28" s="179"/>
      <c r="H28" s="179"/>
      <c r="I28" s="179"/>
      <c r="J28" s="179"/>
      <c r="K28" s="179"/>
      <c r="L28" s="179"/>
      <c r="M28" s="179"/>
      <c r="N28" s="179"/>
      <c r="O28" s="179"/>
      <c r="P28" s="179"/>
      <c r="Q28" s="179"/>
      <c r="R28" s="179"/>
      <c r="S28" s="179"/>
      <c r="T28" s="179"/>
      <c r="U28" s="179"/>
      <c r="V28" s="179"/>
      <c r="W28" s="179"/>
    </row>
    <row r="29" spans="1:23" x14ac:dyDescent="0.15">
      <c r="A29" s="179"/>
      <c r="B29" s="179"/>
      <c r="C29" s="179"/>
      <c r="D29" s="179"/>
      <c r="E29" s="179"/>
      <c r="F29" s="179"/>
      <c r="G29" s="179"/>
      <c r="H29" s="179"/>
      <c r="I29" s="179"/>
      <c r="J29" s="179"/>
      <c r="K29" s="179"/>
      <c r="L29" s="179"/>
      <c r="M29" s="179"/>
      <c r="N29" s="179"/>
      <c r="O29" s="179"/>
      <c r="P29" s="179"/>
      <c r="Q29" s="179"/>
      <c r="R29" s="179"/>
      <c r="S29" s="179"/>
      <c r="T29" s="179"/>
      <c r="U29" s="179"/>
      <c r="V29" s="179"/>
      <c r="W29" s="179"/>
    </row>
    <row r="30" spans="1:23" x14ac:dyDescent="0.15">
      <c r="A30" s="179"/>
      <c r="B30" s="183" t="s">
        <v>199</v>
      </c>
      <c r="C30" s="179"/>
      <c r="D30" s="179"/>
      <c r="E30" s="179"/>
      <c r="F30" s="179"/>
      <c r="G30" s="179"/>
      <c r="H30" s="179"/>
      <c r="I30" s="179"/>
      <c r="J30" s="179"/>
      <c r="K30" s="179"/>
      <c r="L30" s="179"/>
      <c r="M30" s="179"/>
      <c r="N30" s="179"/>
      <c r="O30" s="179"/>
      <c r="P30" s="179"/>
      <c r="Q30" s="179"/>
      <c r="R30" s="179"/>
      <c r="S30" s="179"/>
      <c r="T30" s="179"/>
      <c r="U30" s="179"/>
      <c r="V30" s="179"/>
      <c r="W30" s="179"/>
    </row>
    <row r="31" spans="1:23" ht="17.25" x14ac:dyDescent="0.15">
      <c r="A31" s="179"/>
      <c r="B31" s="179"/>
      <c r="C31" s="183" t="s">
        <v>200</v>
      </c>
      <c r="D31" s="179"/>
      <c r="E31" s="179"/>
      <c r="F31" s="179"/>
      <c r="G31" s="179"/>
      <c r="H31" s="386">
        <f>様式第１_別紙１!$H$21</f>
        <v>0</v>
      </c>
      <c r="I31" s="386"/>
      <c r="J31" s="386"/>
      <c r="K31" s="386"/>
      <c r="L31" s="386"/>
      <c r="M31" s="386"/>
      <c r="N31" s="179" t="s">
        <v>201</v>
      </c>
      <c r="O31" s="179"/>
      <c r="P31" s="179"/>
      <c r="Q31" s="179"/>
      <c r="R31" s="179"/>
      <c r="S31" s="179"/>
      <c r="T31" s="179"/>
      <c r="U31" s="179"/>
      <c r="V31" s="179"/>
      <c r="W31" s="179"/>
    </row>
    <row r="32" spans="1:23" ht="17.25" x14ac:dyDescent="0.15">
      <c r="A32" s="179"/>
      <c r="B32" s="179"/>
      <c r="C32" s="183" t="s">
        <v>202</v>
      </c>
      <c r="D32" s="179"/>
      <c r="E32" s="179"/>
      <c r="F32" s="179"/>
      <c r="G32" s="179"/>
      <c r="H32" s="386">
        <f>様式第１_別紙１!$I$21</f>
        <v>0</v>
      </c>
      <c r="I32" s="386"/>
      <c r="J32" s="386"/>
      <c r="K32" s="386"/>
      <c r="L32" s="386"/>
      <c r="M32" s="386"/>
      <c r="N32" s="179" t="s">
        <v>201</v>
      </c>
      <c r="O32" s="179"/>
      <c r="P32" s="179"/>
      <c r="Q32" s="179"/>
      <c r="R32" s="179"/>
      <c r="S32" s="179"/>
      <c r="T32" s="179"/>
      <c r="U32" s="179"/>
      <c r="V32" s="179"/>
      <c r="W32" s="179"/>
    </row>
    <row r="33" spans="1:23" x14ac:dyDescent="0.15">
      <c r="A33" s="179"/>
      <c r="B33" s="179"/>
      <c r="C33" s="179"/>
      <c r="D33" s="179"/>
      <c r="E33" s="179"/>
      <c r="F33" s="179"/>
      <c r="G33" s="179"/>
      <c r="H33" s="179"/>
      <c r="I33" s="179"/>
      <c r="J33" s="179"/>
      <c r="K33" s="179"/>
      <c r="L33" s="179"/>
      <c r="M33" s="179"/>
      <c r="N33" s="179"/>
      <c r="O33" s="179"/>
      <c r="P33" s="179"/>
      <c r="Q33" s="179"/>
      <c r="R33" s="179"/>
      <c r="S33" s="179"/>
      <c r="T33" s="179"/>
      <c r="U33" s="179"/>
      <c r="V33" s="179"/>
      <c r="W33" s="179"/>
    </row>
    <row r="34" spans="1:23" x14ac:dyDescent="0.15">
      <c r="A34" s="179"/>
      <c r="B34" s="183" t="s">
        <v>203</v>
      </c>
      <c r="C34" s="179"/>
      <c r="D34" s="179"/>
      <c r="E34" s="179"/>
      <c r="F34" s="179"/>
      <c r="G34" s="179"/>
      <c r="H34" s="179"/>
      <c r="I34" s="179"/>
      <c r="J34" s="179"/>
      <c r="K34" s="179"/>
      <c r="L34" s="179"/>
      <c r="M34" s="179"/>
      <c r="N34" s="179"/>
      <c r="O34" s="179"/>
      <c r="P34" s="179"/>
      <c r="Q34" s="179"/>
      <c r="R34" s="179"/>
      <c r="S34" s="179"/>
      <c r="T34" s="179"/>
      <c r="U34" s="179"/>
      <c r="V34" s="179"/>
      <c r="W34" s="179"/>
    </row>
    <row r="35" spans="1:23" x14ac:dyDescent="0.15">
      <c r="A35" s="179"/>
      <c r="B35" s="179"/>
      <c r="C35" s="183" t="s">
        <v>204</v>
      </c>
      <c r="D35" s="179"/>
      <c r="E35" s="179"/>
      <c r="F35" s="179"/>
      <c r="G35" s="179"/>
      <c r="H35" s="179"/>
      <c r="I35" s="179"/>
      <c r="J35" s="179"/>
      <c r="K35" s="179"/>
      <c r="L35" s="179"/>
      <c r="M35" s="179"/>
      <c r="N35" s="179"/>
      <c r="O35" s="179"/>
      <c r="P35" s="179"/>
      <c r="Q35" s="179"/>
      <c r="R35" s="179"/>
      <c r="S35" s="179"/>
      <c r="T35" s="179"/>
      <c r="U35" s="179"/>
      <c r="V35" s="179"/>
      <c r="W35" s="179"/>
    </row>
    <row r="36" spans="1:23" x14ac:dyDescent="0.15">
      <c r="A36" s="179"/>
      <c r="B36" s="179"/>
      <c r="C36" s="179"/>
      <c r="D36" s="179"/>
      <c r="E36" s="179"/>
      <c r="F36" s="179"/>
      <c r="G36" s="179"/>
      <c r="H36" s="179"/>
      <c r="I36" s="179"/>
      <c r="J36" s="179"/>
      <c r="K36" s="179"/>
      <c r="L36" s="179"/>
      <c r="M36" s="179"/>
      <c r="N36" s="179"/>
      <c r="O36" s="179"/>
      <c r="P36" s="179"/>
      <c r="Q36" s="179"/>
      <c r="R36" s="179"/>
      <c r="S36" s="179"/>
      <c r="T36" s="179"/>
      <c r="U36" s="179"/>
      <c r="V36" s="179"/>
      <c r="W36" s="179"/>
    </row>
    <row r="37" spans="1:23" x14ac:dyDescent="0.15">
      <c r="A37" s="179"/>
      <c r="B37" s="183" t="s">
        <v>205</v>
      </c>
      <c r="C37" s="179"/>
      <c r="D37" s="179"/>
      <c r="E37" s="179"/>
      <c r="F37" s="179"/>
      <c r="G37" s="179"/>
      <c r="H37" s="179"/>
      <c r="I37" s="179"/>
      <c r="J37" s="179"/>
      <c r="K37" s="179"/>
      <c r="L37" s="179"/>
      <c r="M37" s="179"/>
      <c r="N37" s="179"/>
      <c r="O37" s="179"/>
      <c r="P37" s="179"/>
      <c r="Q37" s="179"/>
      <c r="R37" s="179"/>
      <c r="S37" s="179"/>
      <c r="T37" s="179"/>
      <c r="U37" s="179"/>
      <c r="V37" s="179"/>
      <c r="W37" s="179"/>
    </row>
    <row r="38" spans="1:23" x14ac:dyDescent="0.15">
      <c r="A38" s="179"/>
      <c r="B38" s="179"/>
      <c r="C38" s="213" t="s">
        <v>507</v>
      </c>
      <c r="D38" s="385" t="s">
        <v>506</v>
      </c>
      <c r="E38" s="385"/>
      <c r="F38" s="385"/>
      <c r="G38" s="179"/>
      <c r="H38" s="385" t="s">
        <v>206</v>
      </c>
      <c r="I38" s="385"/>
      <c r="J38" s="385"/>
      <c r="K38" s="385"/>
      <c r="L38" s="385"/>
      <c r="M38" s="385"/>
      <c r="N38" s="385"/>
      <c r="O38" s="214"/>
      <c r="P38" s="179"/>
      <c r="Q38" s="179"/>
      <c r="R38" s="179"/>
      <c r="S38" s="179"/>
      <c r="T38" s="179"/>
      <c r="U38" s="179"/>
      <c r="V38" s="179"/>
      <c r="W38" s="179"/>
    </row>
    <row r="39" spans="1:23" ht="17.25" x14ac:dyDescent="0.15">
      <c r="A39" s="179"/>
      <c r="B39" s="179"/>
      <c r="C39" s="215" t="s">
        <v>509</v>
      </c>
      <c r="D39" s="179" t="s">
        <v>508</v>
      </c>
      <c r="E39" s="179"/>
      <c r="F39" s="179"/>
      <c r="G39" s="179"/>
      <c r="H39" s="181" t="s">
        <v>115</v>
      </c>
      <c r="I39" s="182" t="str">
        <f>反映シート!$E$349</f>
        <v/>
      </c>
      <c r="J39" s="181" t="s">
        <v>116</v>
      </c>
      <c r="K39" s="182" t="str">
        <f>反映シート!$I$349</f>
        <v/>
      </c>
      <c r="L39" s="181" t="s">
        <v>117</v>
      </c>
      <c r="M39" s="182" t="str">
        <f>反映シート!$M$349</f>
        <v/>
      </c>
      <c r="N39" s="181" t="s">
        <v>132</v>
      </c>
      <c r="O39" s="181"/>
      <c r="P39" s="179"/>
      <c r="Q39" s="179"/>
      <c r="R39" s="179"/>
      <c r="S39" s="179"/>
      <c r="T39" s="179"/>
      <c r="U39" s="179"/>
      <c r="V39" s="179"/>
      <c r="W39" s="179"/>
    </row>
    <row r="40" spans="1:23" x14ac:dyDescent="0.15">
      <c r="A40" s="179"/>
      <c r="B40" s="179"/>
      <c r="C40" s="179"/>
      <c r="D40" s="179"/>
      <c r="E40" s="179"/>
      <c r="F40" s="179"/>
      <c r="G40" s="179"/>
      <c r="H40" s="179"/>
      <c r="I40" s="179"/>
      <c r="J40" s="179"/>
      <c r="K40" s="179"/>
      <c r="L40" s="179"/>
      <c r="M40" s="179"/>
      <c r="N40" s="179"/>
      <c r="O40" s="179"/>
      <c r="P40" s="179"/>
      <c r="Q40" s="179"/>
      <c r="R40" s="179"/>
      <c r="S40" s="179"/>
      <c r="T40" s="179"/>
      <c r="U40" s="179"/>
      <c r="V40" s="179"/>
      <c r="W40" s="179"/>
    </row>
    <row r="41" spans="1:23" x14ac:dyDescent="0.15">
      <c r="A41" s="179"/>
      <c r="B41" s="179"/>
      <c r="C41" s="183" t="s">
        <v>207</v>
      </c>
      <c r="D41" s="179"/>
      <c r="E41" s="179"/>
      <c r="F41" s="179"/>
      <c r="G41" s="179"/>
      <c r="H41" s="179"/>
      <c r="I41" s="179"/>
      <c r="J41" s="179"/>
      <c r="K41" s="179"/>
      <c r="L41" s="179"/>
      <c r="M41" s="179"/>
      <c r="N41" s="179"/>
      <c r="O41" s="179"/>
      <c r="P41" s="179"/>
      <c r="Q41" s="179"/>
      <c r="R41" s="179"/>
      <c r="S41" s="179"/>
      <c r="T41" s="179"/>
      <c r="U41" s="179"/>
      <c r="V41" s="179"/>
      <c r="W41" s="179"/>
    </row>
    <row r="42" spans="1:23" x14ac:dyDescent="0.15">
      <c r="A42" s="179"/>
      <c r="B42" s="179"/>
      <c r="C42" s="183" t="s">
        <v>208</v>
      </c>
      <c r="D42" s="183"/>
      <c r="E42" s="183"/>
      <c r="F42" s="179"/>
      <c r="G42" s="179"/>
      <c r="H42" s="179"/>
      <c r="I42" s="179"/>
      <c r="J42" s="179"/>
      <c r="K42" s="179"/>
      <c r="L42" s="179"/>
      <c r="M42" s="179"/>
      <c r="N42" s="179"/>
      <c r="O42" s="179"/>
      <c r="P42" s="179"/>
      <c r="Q42" s="179"/>
      <c r="R42" s="179"/>
      <c r="S42" s="179"/>
      <c r="T42" s="179"/>
      <c r="U42" s="179"/>
      <c r="V42" s="179"/>
      <c r="W42" s="179"/>
    </row>
    <row r="43" spans="1:23" x14ac:dyDescent="0.15">
      <c r="A43" s="179"/>
      <c r="B43" s="179"/>
      <c r="C43" s="183" t="s">
        <v>209</v>
      </c>
      <c r="D43" s="183"/>
      <c r="E43" s="183"/>
      <c r="F43" s="179"/>
      <c r="G43" s="179"/>
      <c r="H43" s="179"/>
      <c r="I43" s="179"/>
      <c r="J43" s="179"/>
      <c r="K43" s="179"/>
      <c r="L43" s="179"/>
      <c r="M43" s="179"/>
      <c r="N43" s="179"/>
      <c r="O43" s="179"/>
      <c r="P43" s="179"/>
      <c r="Q43" s="179"/>
      <c r="R43" s="179"/>
      <c r="S43" s="179"/>
      <c r="T43" s="179"/>
      <c r="U43" s="179"/>
      <c r="V43" s="179"/>
      <c r="W43" s="179"/>
    </row>
    <row r="44" spans="1:23" x14ac:dyDescent="0.15">
      <c r="A44" s="179"/>
      <c r="B44" s="179"/>
      <c r="C44" s="183" t="s">
        <v>210</v>
      </c>
      <c r="D44" s="179"/>
      <c r="E44" s="179"/>
      <c r="F44" s="179"/>
      <c r="G44" s="179"/>
      <c r="H44" s="179"/>
      <c r="I44" s="179"/>
      <c r="J44" s="179"/>
      <c r="K44" s="179"/>
      <c r="L44" s="179"/>
      <c r="M44" s="179"/>
      <c r="N44" s="179"/>
      <c r="O44" s="179"/>
      <c r="P44" s="179"/>
      <c r="Q44" s="179"/>
      <c r="R44" s="179"/>
      <c r="S44" s="179"/>
      <c r="T44" s="179"/>
      <c r="U44" s="179"/>
      <c r="V44" s="179"/>
      <c r="W44" s="179"/>
    </row>
    <row r="45" spans="1:23" x14ac:dyDescent="0.15">
      <c r="A45" s="179"/>
      <c r="B45" s="179"/>
      <c r="C45" s="183" t="s">
        <v>211</v>
      </c>
      <c r="D45" s="179"/>
      <c r="E45" s="179"/>
      <c r="F45" s="179"/>
      <c r="G45" s="179"/>
      <c r="H45" s="179"/>
      <c r="I45" s="179"/>
      <c r="J45" s="179"/>
      <c r="K45" s="179"/>
      <c r="L45" s="179"/>
      <c r="M45" s="179"/>
      <c r="N45" s="179"/>
      <c r="O45" s="179"/>
      <c r="P45" s="179"/>
      <c r="Q45" s="179"/>
      <c r="R45" s="179"/>
      <c r="S45" s="179"/>
      <c r="T45" s="179"/>
      <c r="U45" s="179"/>
      <c r="V45" s="179"/>
      <c r="W45" s="179"/>
    </row>
    <row r="46" spans="1:23" x14ac:dyDescent="0.15">
      <c r="A46" s="179"/>
      <c r="B46" s="179"/>
      <c r="C46" s="179"/>
      <c r="D46" s="179"/>
      <c r="E46" s="179"/>
      <c r="F46" s="179"/>
      <c r="G46" s="179"/>
      <c r="H46" s="179"/>
      <c r="I46" s="179"/>
      <c r="J46" s="179"/>
      <c r="K46" s="179"/>
      <c r="L46" s="179"/>
      <c r="M46" s="179"/>
      <c r="N46" s="179"/>
      <c r="O46" s="179"/>
      <c r="P46" s="179"/>
      <c r="Q46" s="179"/>
      <c r="R46" s="179"/>
      <c r="S46" s="179"/>
      <c r="T46" s="179"/>
      <c r="U46" s="179"/>
      <c r="V46" s="179"/>
      <c r="W46" s="179"/>
    </row>
    <row r="47" spans="1:23" x14ac:dyDescent="0.15">
      <c r="A47" s="179"/>
      <c r="B47" s="179"/>
      <c r="C47" s="216" t="s">
        <v>212</v>
      </c>
      <c r="D47" s="179"/>
      <c r="E47" s="179"/>
      <c r="F47" s="179"/>
      <c r="G47" s="179"/>
      <c r="H47" s="179"/>
      <c r="I47" s="179"/>
      <c r="J47" s="179"/>
      <c r="K47" s="179"/>
      <c r="L47" s="179"/>
      <c r="M47" s="179"/>
      <c r="N47" s="179"/>
      <c r="O47" s="179"/>
      <c r="P47" s="179"/>
      <c r="Q47" s="179"/>
      <c r="R47" s="179"/>
      <c r="S47" s="179"/>
      <c r="T47" s="179"/>
      <c r="U47" s="179"/>
      <c r="V47" s="179"/>
      <c r="W47" s="179"/>
    </row>
    <row r="48" spans="1:23" x14ac:dyDescent="0.15">
      <c r="A48" s="179"/>
      <c r="B48" s="179"/>
      <c r="C48" s="179"/>
      <c r="D48" s="179"/>
      <c r="E48" s="179"/>
      <c r="F48" s="179"/>
      <c r="G48" s="179"/>
      <c r="H48" s="179"/>
      <c r="I48" s="179"/>
      <c r="J48" s="179"/>
      <c r="K48" s="179"/>
      <c r="L48" s="179"/>
      <c r="M48" s="179"/>
      <c r="N48" s="179"/>
      <c r="O48" s="179"/>
      <c r="P48" s="179"/>
      <c r="Q48" s="179"/>
      <c r="R48" s="179"/>
      <c r="S48" s="179"/>
      <c r="T48" s="179"/>
      <c r="U48" s="179"/>
      <c r="V48" s="179"/>
      <c r="W48" s="179"/>
    </row>
  </sheetData>
  <sheetProtection algorithmName="SHA-512" hashValue="19L0R3lKcd4tYQr6S83+0zboxYJz4uBS2hc0ojq4y5+om36hvjMGIF8zZW3zCamuLXDP4W7nAvS1NobtyVu6bQ==" saltValue="A0ui+XQhPTr3QMV/1M+f6A==" spinCount="100000" sheet="1" objects="1" scenarios="1" selectLockedCells="1"/>
  <mergeCells count="17">
    <mergeCell ref="S2:U2"/>
    <mergeCell ref="H31:M31"/>
    <mergeCell ref="C19:V19"/>
    <mergeCell ref="I9:J9"/>
    <mergeCell ref="K13:M13"/>
    <mergeCell ref="L9:M9"/>
    <mergeCell ref="L12:M12"/>
    <mergeCell ref="O9:V9"/>
    <mergeCell ref="O10:V10"/>
    <mergeCell ref="O11:V11"/>
    <mergeCell ref="O12:V12"/>
    <mergeCell ref="B20:Q20"/>
    <mergeCell ref="H38:N38"/>
    <mergeCell ref="H32:M32"/>
    <mergeCell ref="O13:V14"/>
    <mergeCell ref="G24:V26"/>
    <mergeCell ref="D38:F38"/>
  </mergeCells>
  <phoneticPr fontId="5"/>
  <pageMargins left="1.1299999999999999" right="0.7" top="0.75" bottom="0.75" header="0.3" footer="0.3"/>
  <pageSetup paperSize="9" orientation="portrait" r:id="rId1"/>
  <ignoredErrors>
    <ignoredError sqref="C38:C3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P36"/>
  <sheetViews>
    <sheetView zoomScaleNormal="100" zoomScaleSheetLayoutView="130" workbookViewId="0">
      <selection activeCell="ZZ1" sqref="ZZ1"/>
    </sheetView>
  </sheetViews>
  <sheetFormatPr defaultColWidth="9" defaultRowHeight="12.75" x14ac:dyDescent="0.15"/>
  <cols>
    <col min="1" max="1" width="0.875" style="185" customWidth="1"/>
    <col min="2" max="2" width="3.625" style="185" customWidth="1"/>
    <col min="3" max="3" width="5.625" style="185" customWidth="1"/>
    <col min="4" max="4" width="9.75" style="185" customWidth="1"/>
    <col min="5" max="5" width="2.625" style="185" customWidth="1"/>
    <col min="6" max="7" width="4.625" style="185" customWidth="1"/>
    <col min="8" max="8" width="14.375" style="185" customWidth="1"/>
    <col min="9" max="9" width="4.375" style="185" customWidth="1"/>
    <col min="10" max="10" width="10.625" style="185" customWidth="1"/>
    <col min="11" max="11" width="7.5" style="185" customWidth="1"/>
    <col min="12" max="12" width="14.375" style="185" customWidth="1"/>
    <col min="13" max="13" width="0.875" style="185" customWidth="1"/>
    <col min="14" max="16" width="3.625" style="185" customWidth="1"/>
    <col min="17" max="16384" width="9" style="185"/>
  </cols>
  <sheetData>
    <row r="1" spans="1:16" ht="13.7" customHeight="1" x14ac:dyDescent="0.15">
      <c r="A1" s="179"/>
      <c r="B1" s="180" t="s">
        <v>213</v>
      </c>
      <c r="C1" s="180"/>
      <c r="D1" s="180"/>
      <c r="E1" s="180"/>
      <c r="F1" s="179"/>
      <c r="G1" s="179"/>
      <c r="H1" s="179"/>
      <c r="I1" s="179"/>
      <c r="J1" s="179"/>
      <c r="K1" s="179"/>
      <c r="L1" s="179"/>
      <c r="M1" s="179"/>
    </row>
    <row r="2" spans="1:16" ht="13.7" customHeight="1" x14ac:dyDescent="0.15">
      <c r="A2" s="179"/>
      <c r="B2" s="190" t="s">
        <v>214</v>
      </c>
      <c r="C2" s="190"/>
      <c r="D2" s="190"/>
      <c r="E2" s="190"/>
      <c r="F2" s="179"/>
      <c r="G2" s="179"/>
      <c r="H2" s="179"/>
      <c r="I2" s="179"/>
      <c r="J2" s="179"/>
      <c r="K2" s="179"/>
      <c r="L2" s="179"/>
      <c r="M2" s="179"/>
      <c r="P2" s="187"/>
    </row>
    <row r="3" spans="1:16" ht="13.7" customHeight="1" x14ac:dyDescent="0.15">
      <c r="A3" s="179"/>
      <c r="B3" s="179"/>
      <c r="C3" s="179"/>
      <c r="D3" s="179"/>
      <c r="E3" s="179"/>
      <c r="F3" s="179"/>
      <c r="G3" s="179"/>
      <c r="H3" s="179"/>
      <c r="I3" s="179"/>
      <c r="J3" s="179"/>
      <c r="K3" s="179"/>
      <c r="L3" s="191" t="s">
        <v>215</v>
      </c>
      <c r="M3" s="181"/>
      <c r="N3" s="187"/>
      <c r="P3" s="187"/>
    </row>
    <row r="4" spans="1:16" ht="18" customHeight="1" x14ac:dyDescent="0.15">
      <c r="A4" s="179"/>
      <c r="B4" s="461" t="s">
        <v>216</v>
      </c>
      <c r="C4" s="462"/>
      <c r="D4" s="462"/>
      <c r="E4" s="462"/>
      <c r="F4" s="462"/>
      <c r="G4" s="192"/>
      <c r="H4" s="193" t="s">
        <v>217</v>
      </c>
      <c r="I4" s="430" t="s">
        <v>218</v>
      </c>
      <c r="J4" s="431"/>
      <c r="K4" s="465" t="s">
        <v>219</v>
      </c>
      <c r="L4" s="465" t="s">
        <v>220</v>
      </c>
      <c r="M4" s="179"/>
    </row>
    <row r="5" spans="1:16" ht="18" customHeight="1" x14ac:dyDescent="0.15">
      <c r="A5" s="179"/>
      <c r="B5" s="463"/>
      <c r="C5" s="464"/>
      <c r="D5" s="464"/>
      <c r="E5" s="464"/>
      <c r="F5" s="464"/>
      <c r="G5" s="194"/>
      <c r="H5" s="195" t="s">
        <v>221</v>
      </c>
      <c r="I5" s="432"/>
      <c r="J5" s="433"/>
      <c r="K5" s="466"/>
      <c r="L5" s="466"/>
      <c r="M5" s="179"/>
    </row>
    <row r="6" spans="1:16" ht="18" customHeight="1" x14ac:dyDescent="0.15">
      <c r="A6" s="179"/>
      <c r="B6" s="449" t="s">
        <v>511</v>
      </c>
      <c r="C6" s="450"/>
      <c r="D6" s="450"/>
      <c r="E6" s="451"/>
      <c r="F6" s="467" t="s">
        <v>222</v>
      </c>
      <c r="G6" s="468"/>
      <c r="H6" s="196" t="str">
        <f>IF(反映シート!$C$116=TRUE,反映シート!$G$305,"")</f>
        <v/>
      </c>
      <c r="I6" s="422" t="str">
        <f>IF(反映シート!$C$116=TRUE,反映シート!$G$241,"")</f>
        <v/>
      </c>
      <c r="J6" s="423" t="str">
        <f>IF(AND(入力シート!$V$124=TRUE,入力シート!M240&lt;&gt;""),入力シート!M240,"\0")</f>
        <v>\0</v>
      </c>
      <c r="K6" s="458"/>
      <c r="L6" s="458"/>
      <c r="M6" s="179"/>
    </row>
    <row r="7" spans="1:16" ht="18" customHeight="1" x14ac:dyDescent="0.15">
      <c r="A7" s="179"/>
      <c r="B7" s="452"/>
      <c r="C7" s="453"/>
      <c r="D7" s="453"/>
      <c r="E7" s="454"/>
      <c r="F7" s="441" t="s">
        <v>223</v>
      </c>
      <c r="G7" s="442"/>
      <c r="H7" s="197" t="str">
        <f>IF(反映シート!$C$116=TRUE,反映シート!$G$307,"")</f>
        <v/>
      </c>
      <c r="I7" s="426" t="str">
        <f>IF(反映シート!$C$116=TRUE,反映シート!$G$243,"")</f>
        <v/>
      </c>
      <c r="J7" s="427" t="str">
        <f>IF(AND(入力シート!$V$124=TRUE,入力シート!M241&lt;&gt;""),入力シート!M241,"\0")</f>
        <v>\0</v>
      </c>
      <c r="K7" s="460"/>
      <c r="L7" s="460"/>
      <c r="M7" s="179"/>
    </row>
    <row r="8" spans="1:16" ht="38.25" x14ac:dyDescent="0.15">
      <c r="A8" s="179"/>
      <c r="B8" s="455"/>
      <c r="C8" s="456"/>
      <c r="D8" s="456"/>
      <c r="E8" s="457"/>
      <c r="F8" s="400" t="s">
        <v>224</v>
      </c>
      <c r="G8" s="402"/>
      <c r="H8" s="198" t="str">
        <f>IF(反映シート!$C$116=TRUE,$H$6+$H$7,"")</f>
        <v/>
      </c>
      <c r="I8" s="424" t="str">
        <f>IF(反映シート!$C$116=TRUE,$I$6+$I$7,"")</f>
        <v/>
      </c>
      <c r="J8" s="425">
        <f t="shared" ref="J8" si="0">J6+J7</f>
        <v>0</v>
      </c>
      <c r="K8" s="199" t="s">
        <v>510</v>
      </c>
      <c r="L8" s="198" t="str">
        <f>IF(反映シート!$C$116=TRUE,反映シート!G247,"")</f>
        <v/>
      </c>
      <c r="M8" s="179"/>
    </row>
    <row r="9" spans="1:16" ht="36" customHeight="1" x14ac:dyDescent="0.15">
      <c r="A9" s="179"/>
      <c r="B9" s="449" t="s">
        <v>226</v>
      </c>
      <c r="C9" s="450"/>
      <c r="D9" s="450"/>
      <c r="E9" s="451"/>
      <c r="F9" s="434" t="s">
        <v>227</v>
      </c>
      <c r="G9" s="435"/>
      <c r="H9" s="196" t="str">
        <f>IF(反映シート!$R$120="予約受付システム等",反映シート!$G$313,"")</f>
        <v/>
      </c>
      <c r="I9" s="422" t="str">
        <f>IF(反映シート!$R$120="予約受付システム等",反映シート!$G$251,"")</f>
        <v/>
      </c>
      <c r="J9" s="423" t="str">
        <f>IF(AND(入力シート!$V$124=TRUE,入力シート!M243&lt;&gt;""),入力シート!M243,"\0")</f>
        <v>\0</v>
      </c>
      <c r="K9" s="458"/>
      <c r="L9" s="458"/>
      <c r="M9" s="179"/>
    </row>
    <row r="10" spans="1:16" ht="18" customHeight="1" x14ac:dyDescent="0.15">
      <c r="A10" s="179"/>
      <c r="B10" s="452"/>
      <c r="C10" s="453"/>
      <c r="D10" s="453"/>
      <c r="E10" s="454"/>
      <c r="F10" s="436" t="s">
        <v>222</v>
      </c>
      <c r="G10" s="437"/>
      <c r="H10" s="200" t="str">
        <f>IF(反映シート!$R$120="予約受付システム等",反映シート!$G$315,"")</f>
        <v/>
      </c>
      <c r="I10" s="428" t="str">
        <f>IF(反映シート!$R$120="予約受付システム等",反映シート!$G$253,"")</f>
        <v/>
      </c>
      <c r="J10" s="429" t="str">
        <f>IF(AND(入力シート!$V$124=TRUE,入力シート!M244&lt;&gt;""),入力シート!M244,"\0")</f>
        <v>\0</v>
      </c>
      <c r="K10" s="459"/>
      <c r="L10" s="459"/>
      <c r="M10" s="179"/>
    </row>
    <row r="11" spans="1:16" ht="18" customHeight="1" x14ac:dyDescent="0.15">
      <c r="A11" s="179"/>
      <c r="B11" s="443" t="str">
        <f>IF(COUNTIF(反映シート!C120:C128,TRUE)=0,"（ｼｽﾃﾑ名：　　　　　　）","(ｼｽﾃﾑ名:"&amp;ASC(反映シート!K130)&amp;")")</f>
        <v>（ｼｽﾃﾑ名：　　　　　　）</v>
      </c>
      <c r="C11" s="444"/>
      <c r="D11" s="444"/>
      <c r="E11" s="445"/>
      <c r="F11" s="441" t="s">
        <v>223</v>
      </c>
      <c r="G11" s="442"/>
      <c r="H11" s="197" t="str">
        <f>IF(反映シート!$R$120="予約受付システム等",反映シート!$G$317,"")</f>
        <v/>
      </c>
      <c r="I11" s="426" t="str">
        <f>IF(反映シート!$R$120="予約受付システム等",反映シート!$G$255,"")</f>
        <v/>
      </c>
      <c r="J11" s="427" t="str">
        <f>IF(AND(入力シート!$V$124=TRUE,入力シート!M245&lt;&gt;""),入力シート!M245,"\0")</f>
        <v>\0</v>
      </c>
      <c r="K11" s="460"/>
      <c r="L11" s="460"/>
      <c r="M11" s="179"/>
    </row>
    <row r="12" spans="1:16" ht="18" customHeight="1" x14ac:dyDescent="0.15">
      <c r="A12" s="179"/>
      <c r="B12" s="446"/>
      <c r="C12" s="447"/>
      <c r="D12" s="447"/>
      <c r="E12" s="448"/>
      <c r="F12" s="400" t="s">
        <v>224</v>
      </c>
      <c r="G12" s="402"/>
      <c r="H12" s="198" t="str">
        <f>IF(反映シート!$R$120="予約受付システム等",SUM($H$9:$H$11),"")</f>
        <v/>
      </c>
      <c r="I12" s="424" t="str">
        <f>IF(反映シート!$R$120="予約受付システム等",SUM($I$9:$I$11),"")</f>
        <v/>
      </c>
      <c r="J12" s="425">
        <f t="shared" ref="J12" si="1">SUM(J9:J11)</f>
        <v>0</v>
      </c>
      <c r="K12" s="201" t="s">
        <v>225</v>
      </c>
      <c r="L12" s="198" t="str">
        <f>IF(反映シート!$R$120="予約受付システム等",反映シート!G259,"")</f>
        <v/>
      </c>
      <c r="M12" s="179"/>
    </row>
    <row r="13" spans="1:16" ht="36" customHeight="1" x14ac:dyDescent="0.15">
      <c r="A13" s="179"/>
      <c r="B13" s="449" t="s">
        <v>228</v>
      </c>
      <c r="C13" s="450"/>
      <c r="D13" s="450"/>
      <c r="E13" s="451"/>
      <c r="F13" s="434" t="s">
        <v>227</v>
      </c>
      <c r="G13" s="435"/>
      <c r="H13" s="196" t="str">
        <f>IF(反映シート!$C$130=TRUE,反映シート!$G$323,"")</f>
        <v/>
      </c>
      <c r="I13" s="422" t="str">
        <f>IF(反映シート!$C$130=TRUE,反映シート!$G$263,"")</f>
        <v/>
      </c>
      <c r="J13" s="423" t="str">
        <f>IF(AND(入力シート!$V$124=TRUE,入力シート!M247&lt;&gt;""),入力シート!M247,"\0")</f>
        <v>\0</v>
      </c>
      <c r="K13" s="458"/>
      <c r="L13" s="458"/>
      <c r="M13" s="179"/>
    </row>
    <row r="14" spans="1:16" ht="18" customHeight="1" x14ac:dyDescent="0.15">
      <c r="A14" s="179"/>
      <c r="B14" s="452"/>
      <c r="C14" s="453"/>
      <c r="D14" s="453"/>
      <c r="E14" s="454"/>
      <c r="F14" s="436" t="s">
        <v>222</v>
      </c>
      <c r="G14" s="437"/>
      <c r="H14" s="200" t="str">
        <f>IF(反映シート!$C$130=TRUE,反映シート!$G$325,"")</f>
        <v/>
      </c>
      <c r="I14" s="428" t="str">
        <f>IF(反映シート!$C$130=TRUE,反映シート!$G$265,"")</f>
        <v/>
      </c>
      <c r="J14" s="429" t="str">
        <f>IF(AND(入力シート!$V$124=TRUE,入力シート!M248&lt;&gt;""),入力シート!M248,"\0")</f>
        <v>\0</v>
      </c>
      <c r="K14" s="459"/>
      <c r="L14" s="459"/>
      <c r="M14" s="179"/>
    </row>
    <row r="15" spans="1:16" ht="18" customHeight="1" x14ac:dyDescent="0.15">
      <c r="A15" s="179"/>
      <c r="B15" s="452"/>
      <c r="C15" s="453"/>
      <c r="D15" s="453"/>
      <c r="E15" s="454"/>
      <c r="F15" s="441" t="s">
        <v>223</v>
      </c>
      <c r="G15" s="442"/>
      <c r="H15" s="197" t="str">
        <f>IF(反映シート!$C$130=TRUE,反映シート!$G$327,"")</f>
        <v/>
      </c>
      <c r="I15" s="426" t="str">
        <f>IF(反映シート!$C$130=TRUE,反映シート!$G$267,"")</f>
        <v/>
      </c>
      <c r="J15" s="427" t="str">
        <f>IF(AND(入力シート!$V$124=TRUE,入力シート!M249&lt;&gt;""),入力シート!M249,"\0")</f>
        <v>\0</v>
      </c>
      <c r="K15" s="460"/>
      <c r="L15" s="460"/>
      <c r="M15" s="179"/>
    </row>
    <row r="16" spans="1:16" ht="18" customHeight="1" x14ac:dyDescent="0.15">
      <c r="A16" s="179"/>
      <c r="B16" s="455"/>
      <c r="C16" s="456"/>
      <c r="D16" s="456"/>
      <c r="E16" s="457"/>
      <c r="F16" s="400" t="s">
        <v>224</v>
      </c>
      <c r="G16" s="402"/>
      <c r="H16" s="198" t="str">
        <f>IF(反映シート!$C$130=TRUE,SUM($H$13:$H$15),"")</f>
        <v/>
      </c>
      <c r="I16" s="424" t="str">
        <f>IF(反映シート!$C$130=TRUE,SUM($I$13:$I$15),"")</f>
        <v/>
      </c>
      <c r="J16" s="425">
        <f t="shared" ref="J16" si="2">SUM(J13:J15)</f>
        <v>0</v>
      </c>
      <c r="K16" s="201" t="s">
        <v>225</v>
      </c>
      <c r="L16" s="198" t="str">
        <f>IF(反映シート!$C$130=TRUE,反映シート!G271,"")</f>
        <v/>
      </c>
      <c r="M16" s="179"/>
    </row>
    <row r="17" spans="1:13" ht="36" customHeight="1" x14ac:dyDescent="0.15">
      <c r="A17" s="179"/>
      <c r="B17" s="449" t="s">
        <v>229</v>
      </c>
      <c r="C17" s="450"/>
      <c r="D17" s="450"/>
      <c r="E17" s="451"/>
      <c r="F17" s="434" t="s">
        <v>227</v>
      </c>
      <c r="G17" s="435"/>
      <c r="H17" s="196" t="str">
        <f>IF(反映シート!$C$132=TRUE,反映シート!$G$333,"")</f>
        <v/>
      </c>
      <c r="I17" s="422" t="str">
        <f>IF(反映シート!$C$132=TRUE,反映シート!$G$275,"")</f>
        <v/>
      </c>
      <c r="J17" s="423" t="str">
        <f>IF(AND(入力シート!$V$124=TRUE,入力シート!M251&lt;&gt;""),入力シート!M251,"\0")</f>
        <v>\0</v>
      </c>
      <c r="K17" s="458"/>
      <c r="L17" s="458"/>
      <c r="M17" s="179"/>
    </row>
    <row r="18" spans="1:13" ht="18" customHeight="1" x14ac:dyDescent="0.15">
      <c r="A18" s="179"/>
      <c r="B18" s="452"/>
      <c r="C18" s="453"/>
      <c r="D18" s="453"/>
      <c r="E18" s="454"/>
      <c r="F18" s="436" t="s">
        <v>222</v>
      </c>
      <c r="G18" s="437"/>
      <c r="H18" s="200" t="str">
        <f>IF(反映シート!$C$132=TRUE,反映シート!$G$335,"")</f>
        <v/>
      </c>
      <c r="I18" s="428" t="str">
        <f>IF(反映シート!$C$132=TRUE,反映シート!$G$277,"")</f>
        <v/>
      </c>
      <c r="J18" s="429" t="str">
        <f>IF(AND(入力シート!$V$124=TRUE,入力シート!M252&lt;&gt;""),入力シート!M252,"\0")</f>
        <v>\0</v>
      </c>
      <c r="K18" s="459"/>
      <c r="L18" s="459"/>
      <c r="M18" s="179"/>
    </row>
    <row r="19" spans="1:13" ht="18" customHeight="1" x14ac:dyDescent="0.15">
      <c r="A19" s="179"/>
      <c r="B19" s="452"/>
      <c r="C19" s="453"/>
      <c r="D19" s="453"/>
      <c r="E19" s="454"/>
      <c r="F19" s="441" t="s">
        <v>223</v>
      </c>
      <c r="G19" s="442"/>
      <c r="H19" s="197" t="str">
        <f>IF(反映シート!$C$132=TRUE,反映シート!$G$337,"")</f>
        <v/>
      </c>
      <c r="I19" s="426" t="str">
        <f>IF(反映シート!$C$132=TRUE,反映シート!$G$279,"")</f>
        <v/>
      </c>
      <c r="J19" s="427" t="str">
        <f>IF(AND(入力シート!$V$124=TRUE,入力シート!M253&lt;&gt;""),入力シート!M253,"\0")</f>
        <v>\0</v>
      </c>
      <c r="K19" s="460"/>
      <c r="L19" s="460"/>
      <c r="M19" s="179"/>
    </row>
    <row r="20" spans="1:13" ht="18" customHeight="1" x14ac:dyDescent="0.15">
      <c r="A20" s="179"/>
      <c r="B20" s="455"/>
      <c r="C20" s="456"/>
      <c r="D20" s="456"/>
      <c r="E20" s="457"/>
      <c r="F20" s="400" t="s">
        <v>224</v>
      </c>
      <c r="G20" s="402"/>
      <c r="H20" s="198" t="str">
        <f>IF(反映シート!$C$132=TRUE,SUM($H$17:$H$19),"")</f>
        <v/>
      </c>
      <c r="I20" s="424" t="str">
        <f>IF(反映シート!$C$132=TRUE,SUM($I$17:$I$19),"")</f>
        <v/>
      </c>
      <c r="J20" s="425">
        <f t="shared" ref="J20" si="3">SUM(J17:J19)</f>
        <v>0</v>
      </c>
      <c r="K20" s="201" t="s">
        <v>225</v>
      </c>
      <c r="L20" s="198" t="str">
        <f>IF(反映シート!$C$132=TRUE,反映シート!G283,"")</f>
        <v/>
      </c>
      <c r="M20" s="179"/>
    </row>
    <row r="21" spans="1:13" ht="30.75" customHeight="1" x14ac:dyDescent="0.15">
      <c r="A21" s="179"/>
      <c r="B21" s="438" t="s">
        <v>230</v>
      </c>
      <c r="C21" s="439"/>
      <c r="D21" s="439"/>
      <c r="E21" s="439"/>
      <c r="F21" s="439"/>
      <c r="G21" s="440"/>
      <c r="H21" s="198">
        <f>SUM($H$8,$H$12,$H$16,$H$20)</f>
        <v>0</v>
      </c>
      <c r="I21" s="424">
        <f>SUM($I$8,$I$12,$I$16,$I$20)</f>
        <v>0</v>
      </c>
      <c r="J21" s="425">
        <f t="shared" ref="J21" si="4">J8+J12+J16+J20</f>
        <v>0</v>
      </c>
      <c r="K21" s="201"/>
      <c r="L21" s="198">
        <f>SUM($L$8,$L$12,$L$16,$L$20)</f>
        <v>0</v>
      </c>
      <c r="M21" s="179"/>
    </row>
    <row r="22" spans="1:13" ht="18" customHeight="1" x14ac:dyDescent="0.15">
      <c r="A22" s="179"/>
      <c r="B22" s="183"/>
      <c r="C22" s="183"/>
      <c r="D22" s="183"/>
      <c r="E22" s="183"/>
      <c r="F22" s="179"/>
      <c r="G22" s="179"/>
      <c r="H22" s="179"/>
      <c r="I22" s="179"/>
      <c r="J22" s="179"/>
      <c r="K22" s="179"/>
      <c r="L22" s="179"/>
      <c r="M22" s="179"/>
    </row>
    <row r="23" spans="1:13" ht="18" customHeight="1" x14ac:dyDescent="0.15">
      <c r="A23" s="179"/>
      <c r="B23" s="179" t="s">
        <v>231</v>
      </c>
      <c r="C23" s="179"/>
      <c r="D23" s="179"/>
      <c r="E23" s="179"/>
      <c r="F23" s="179"/>
      <c r="G23" s="179"/>
      <c r="H23" s="179"/>
      <c r="I23" s="179"/>
      <c r="J23" s="179"/>
      <c r="K23" s="179"/>
      <c r="L23" s="179"/>
      <c r="M23" s="179"/>
    </row>
    <row r="24" spans="1:13" ht="18" customHeight="1" x14ac:dyDescent="0.15">
      <c r="A24" s="179"/>
      <c r="B24" s="400" t="s">
        <v>232</v>
      </c>
      <c r="C24" s="401"/>
      <c r="D24" s="401"/>
      <c r="E24" s="401"/>
      <c r="F24" s="402"/>
      <c r="G24" s="400" t="s">
        <v>233</v>
      </c>
      <c r="H24" s="401"/>
      <c r="I24" s="402"/>
      <c r="J24" s="400" t="s">
        <v>513</v>
      </c>
      <c r="K24" s="401"/>
      <c r="L24" s="402"/>
      <c r="M24" s="179"/>
    </row>
    <row r="25" spans="1:13" ht="18" customHeight="1" x14ac:dyDescent="0.15">
      <c r="A25" s="179"/>
      <c r="B25" s="405" t="str">
        <f>IF(反映シート!P357&lt;&gt;"",反映シート!P357,"")</f>
        <v/>
      </c>
      <c r="C25" s="406"/>
      <c r="D25" s="406"/>
      <c r="E25" s="406"/>
      <c r="F25" s="407"/>
      <c r="G25" s="408" t="str">
        <f>IF(AND(反映シート!$P$367&lt;&gt;"",反映シート!$P$369&lt;&gt;""),反映シート!$P$367&amp;"　"&amp;反映シート!$P$369,"")</f>
        <v/>
      </c>
      <c r="H25" s="409"/>
      <c r="I25" s="410"/>
      <c r="J25" s="202" t="s">
        <v>512</v>
      </c>
      <c r="K25" s="403" t="str">
        <f>IF(反映シート!$G$373&lt;&gt;"",反映シート!$G$373,"")</f>
        <v/>
      </c>
      <c r="L25" s="404"/>
      <c r="M25" s="179"/>
    </row>
    <row r="26" spans="1:13" ht="18" customHeight="1" x14ac:dyDescent="0.15">
      <c r="A26" s="179"/>
      <c r="B26" s="417" t="str">
        <f>IF(反映シート!P361&lt;&gt;"",反映シート!P361,"")</f>
        <v/>
      </c>
      <c r="C26" s="395"/>
      <c r="D26" s="395"/>
      <c r="E26" s="395"/>
      <c r="F26" s="418"/>
      <c r="G26" s="411"/>
      <c r="H26" s="412"/>
      <c r="I26" s="413"/>
      <c r="J26" s="203" t="s">
        <v>234</v>
      </c>
      <c r="K26" s="396" t="str">
        <f>IF(反映シート!$G$377&lt;&gt;"",反映シート!$G$377,"")</f>
        <v/>
      </c>
      <c r="L26" s="397"/>
      <c r="M26" s="179"/>
    </row>
    <row r="27" spans="1:13" ht="18" customHeight="1" x14ac:dyDescent="0.15">
      <c r="A27" s="179"/>
      <c r="B27" s="419" t="str">
        <f>IF(反映シート!P363&lt;&gt;"",反映シート!P363,"")</f>
        <v/>
      </c>
      <c r="C27" s="420"/>
      <c r="D27" s="420"/>
      <c r="E27" s="420"/>
      <c r="F27" s="421"/>
      <c r="G27" s="414"/>
      <c r="H27" s="415"/>
      <c r="I27" s="416"/>
      <c r="J27" s="204"/>
      <c r="K27" s="398"/>
      <c r="L27" s="399"/>
      <c r="M27" s="179"/>
    </row>
    <row r="28" spans="1:13" ht="18" customHeight="1" x14ac:dyDescent="0.15">
      <c r="A28" s="179"/>
      <c r="B28" s="205" t="s">
        <v>212</v>
      </c>
      <c r="C28" s="179"/>
      <c r="D28" s="179"/>
      <c r="E28" s="179"/>
      <c r="F28" s="183"/>
      <c r="G28" s="183"/>
      <c r="H28" s="181"/>
      <c r="I28" s="181"/>
      <c r="J28" s="181"/>
      <c r="K28" s="179"/>
      <c r="L28" s="179"/>
      <c r="M28" s="179"/>
    </row>
    <row r="29" spans="1:13" x14ac:dyDescent="0.15">
      <c r="A29" s="179"/>
      <c r="B29" s="179"/>
      <c r="C29" s="179"/>
      <c r="D29" s="179"/>
      <c r="E29" s="179"/>
      <c r="F29" s="179"/>
      <c r="G29" s="179"/>
      <c r="H29" s="179"/>
      <c r="I29" s="179"/>
      <c r="J29" s="179"/>
      <c r="K29" s="179"/>
      <c r="L29" s="179"/>
      <c r="M29" s="179"/>
    </row>
    <row r="30" spans="1:13" x14ac:dyDescent="0.15">
      <c r="F30" s="186"/>
      <c r="G30" s="186"/>
    </row>
    <row r="31" spans="1:13" x14ac:dyDescent="0.15">
      <c r="F31" s="186"/>
      <c r="G31" s="186"/>
    </row>
    <row r="32" spans="1:13" x14ac:dyDescent="0.15">
      <c r="F32" s="186"/>
      <c r="G32" s="186"/>
    </row>
    <row r="33" spans="6:7" x14ac:dyDescent="0.15">
      <c r="F33" s="186"/>
      <c r="G33" s="186"/>
    </row>
    <row r="34" spans="6:7" x14ac:dyDescent="0.15">
      <c r="F34" s="186"/>
      <c r="G34" s="186"/>
    </row>
    <row r="36" spans="6:7" x14ac:dyDescent="0.15">
      <c r="F36" s="188"/>
      <c r="G36" s="188"/>
    </row>
  </sheetData>
  <sheetProtection algorithmName="SHA-512" hashValue="cT36V+XXdn5VTD5nwL7IO7rm4raccaalrSBG5ffHA9kPmq5F568ncWhXaKF2g0DYnalY5QO+cVUmtqAmWsG06A==" saltValue="eHm0nUZHabopngqAWMwyNg==" spinCount="100000" sheet="1" objects="1" scenarios="1" selectLockedCells="1"/>
  <mergeCells count="58">
    <mergeCell ref="B4:F5"/>
    <mergeCell ref="B9:E10"/>
    <mergeCell ref="K13:K15"/>
    <mergeCell ref="K4:K5"/>
    <mergeCell ref="L4:L5"/>
    <mergeCell ref="K6:K7"/>
    <mergeCell ref="L6:L7"/>
    <mergeCell ref="K9:K11"/>
    <mergeCell ref="L9:L11"/>
    <mergeCell ref="B6:E8"/>
    <mergeCell ref="F11:G11"/>
    <mergeCell ref="L13:L15"/>
    <mergeCell ref="B13:E16"/>
    <mergeCell ref="F13:G13"/>
    <mergeCell ref="F6:G6"/>
    <mergeCell ref="F7:G7"/>
    <mergeCell ref="K17:K19"/>
    <mergeCell ref="L17:L19"/>
    <mergeCell ref="F15:G15"/>
    <mergeCell ref="F14:G14"/>
    <mergeCell ref="I15:J15"/>
    <mergeCell ref="I14:J14"/>
    <mergeCell ref="I16:J16"/>
    <mergeCell ref="F8:G8"/>
    <mergeCell ref="F9:G9"/>
    <mergeCell ref="F10:G10"/>
    <mergeCell ref="B21:G21"/>
    <mergeCell ref="F12:G12"/>
    <mergeCell ref="F20:G20"/>
    <mergeCell ref="F19:G19"/>
    <mergeCell ref="F18:G18"/>
    <mergeCell ref="F17:G17"/>
    <mergeCell ref="F16:G16"/>
    <mergeCell ref="B11:E12"/>
    <mergeCell ref="B17:E20"/>
    <mergeCell ref="I4:J5"/>
    <mergeCell ref="I8:J8"/>
    <mergeCell ref="I7:J7"/>
    <mergeCell ref="I6:J6"/>
    <mergeCell ref="I12:J12"/>
    <mergeCell ref="I11:J11"/>
    <mergeCell ref="I10:J10"/>
    <mergeCell ref="I9:J9"/>
    <mergeCell ref="I13:J13"/>
    <mergeCell ref="I21:J21"/>
    <mergeCell ref="I20:J20"/>
    <mergeCell ref="I19:J19"/>
    <mergeCell ref="I18:J18"/>
    <mergeCell ref="I17:J17"/>
    <mergeCell ref="K26:L27"/>
    <mergeCell ref="J24:L24"/>
    <mergeCell ref="K25:L25"/>
    <mergeCell ref="B24:F24"/>
    <mergeCell ref="B25:F25"/>
    <mergeCell ref="G24:I24"/>
    <mergeCell ref="G25:I27"/>
    <mergeCell ref="B26:F26"/>
    <mergeCell ref="B27:F27"/>
  </mergeCells>
  <phoneticPr fontId="5"/>
  <pageMargins left="1.1299999999999999" right="0.7" top="0.75" bottom="0.75" header="0.3" footer="0.3"/>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P46"/>
  <sheetViews>
    <sheetView zoomScaleNormal="100" zoomScaleSheetLayoutView="100" workbookViewId="0">
      <selection activeCell="ZZ1" sqref="ZZ1"/>
    </sheetView>
  </sheetViews>
  <sheetFormatPr defaultColWidth="9" defaultRowHeight="12.75" x14ac:dyDescent="0.15"/>
  <cols>
    <col min="1" max="1" width="0.875" style="185" customWidth="1"/>
    <col min="2" max="2" width="1.625" style="185" customWidth="1"/>
    <col min="3" max="3" width="5" style="185" bestFit="1" customWidth="1"/>
    <col min="4" max="4" width="7.625" style="185" customWidth="1"/>
    <col min="5" max="6" width="22.625" style="185" customWidth="1"/>
    <col min="7" max="7" width="5.625" style="185" customWidth="1"/>
    <col min="8" max="8" width="6.625" style="185" customWidth="1"/>
    <col min="9" max="14" width="3.625" style="185" customWidth="1"/>
    <col min="15" max="15" width="1.625" style="185" customWidth="1"/>
    <col min="16" max="16" width="0.875" style="185" customWidth="1"/>
    <col min="17" max="16384" width="9" style="185"/>
  </cols>
  <sheetData>
    <row r="1" spans="1:16" x14ac:dyDescent="0.15">
      <c r="A1" s="179"/>
      <c r="B1" s="180" t="s">
        <v>236</v>
      </c>
      <c r="C1" s="179"/>
      <c r="D1" s="179"/>
      <c r="E1" s="179"/>
      <c r="F1" s="179"/>
      <c r="G1" s="179"/>
      <c r="H1" s="179"/>
      <c r="I1" s="179"/>
      <c r="J1" s="179"/>
      <c r="K1" s="179"/>
      <c r="L1" s="179"/>
      <c r="M1" s="179"/>
      <c r="N1" s="179"/>
      <c r="O1" s="179"/>
      <c r="P1" s="179"/>
    </row>
    <row r="2" spans="1:16" x14ac:dyDescent="0.15">
      <c r="A2" s="179"/>
      <c r="B2" s="179"/>
      <c r="C2" s="179"/>
      <c r="D2" s="179"/>
      <c r="E2" s="179"/>
      <c r="F2" s="179"/>
      <c r="G2" s="179"/>
      <c r="H2" s="179"/>
      <c r="I2" s="179"/>
      <c r="J2" s="179"/>
      <c r="K2" s="473"/>
      <c r="L2" s="473"/>
      <c r="M2" s="473"/>
      <c r="N2" s="181"/>
      <c r="O2" s="179"/>
      <c r="P2" s="179"/>
    </row>
    <row r="3" spans="1:16" ht="17.25" x14ac:dyDescent="0.15">
      <c r="A3" s="179"/>
      <c r="B3" s="179"/>
      <c r="C3" s="179"/>
      <c r="D3" s="179"/>
      <c r="E3" s="179"/>
      <c r="F3" s="179"/>
      <c r="G3" s="179"/>
      <c r="H3" s="181" t="s">
        <v>115</v>
      </c>
      <c r="I3" s="182" t="str">
        <f>反映シート!$E$29</f>
        <v/>
      </c>
      <c r="J3" s="181" t="s">
        <v>116</v>
      </c>
      <c r="K3" s="182" t="str">
        <f>反映シート!$I$29</f>
        <v/>
      </c>
      <c r="L3" s="181" t="s">
        <v>117</v>
      </c>
      <c r="M3" s="189" t="str">
        <f>反映シート!$M$29</f>
        <v/>
      </c>
      <c r="N3" s="181" t="s">
        <v>132</v>
      </c>
      <c r="O3" s="179"/>
      <c r="P3" s="179"/>
    </row>
    <row r="4" spans="1:16" x14ac:dyDescent="0.15">
      <c r="A4" s="179"/>
      <c r="B4" s="180" t="s">
        <v>514</v>
      </c>
      <c r="C4" s="179"/>
      <c r="D4" s="179"/>
      <c r="E4" s="179"/>
      <c r="F4" s="179"/>
      <c r="G4" s="179"/>
      <c r="H4" s="179"/>
      <c r="I4" s="179"/>
      <c r="J4" s="179"/>
      <c r="K4" s="179"/>
      <c r="L4" s="179"/>
      <c r="M4" s="179"/>
      <c r="N4" s="179"/>
      <c r="O4" s="179"/>
      <c r="P4" s="179"/>
    </row>
    <row r="5" spans="1:16" x14ac:dyDescent="0.15">
      <c r="A5" s="179"/>
      <c r="B5" s="183"/>
      <c r="C5" s="179"/>
      <c r="D5" s="179"/>
      <c r="E5" s="179"/>
      <c r="F5" s="179"/>
      <c r="G5" s="179"/>
      <c r="H5" s="179"/>
      <c r="I5" s="179"/>
      <c r="J5" s="179"/>
      <c r="K5" s="179"/>
      <c r="L5" s="179"/>
      <c r="M5" s="179"/>
      <c r="N5" s="179"/>
      <c r="O5" s="179"/>
      <c r="P5" s="179"/>
    </row>
    <row r="6" spans="1:16" x14ac:dyDescent="0.15">
      <c r="A6" s="179"/>
      <c r="B6" s="179"/>
      <c r="C6" s="472" t="s">
        <v>189</v>
      </c>
      <c r="D6" s="472"/>
      <c r="E6" s="472"/>
      <c r="F6" s="472"/>
      <c r="G6" s="472"/>
      <c r="H6" s="472"/>
      <c r="I6" s="472"/>
      <c r="J6" s="472"/>
      <c r="K6" s="472"/>
      <c r="L6" s="472"/>
      <c r="M6" s="472"/>
      <c r="N6" s="472"/>
      <c r="O6" s="179"/>
      <c r="P6" s="179"/>
    </row>
    <row r="7" spans="1:16" ht="39.950000000000003" customHeight="1" x14ac:dyDescent="0.15">
      <c r="A7" s="179"/>
      <c r="B7" s="179"/>
      <c r="C7" s="483" t="str">
        <f>反映シート!$E$51</f>
        <v/>
      </c>
      <c r="D7" s="484"/>
      <c r="E7" s="484"/>
      <c r="F7" s="484"/>
      <c r="G7" s="484"/>
      <c r="H7" s="484"/>
      <c r="I7" s="484"/>
      <c r="J7" s="484"/>
      <c r="K7" s="484"/>
      <c r="L7" s="484"/>
      <c r="M7" s="484"/>
      <c r="N7" s="485"/>
      <c r="O7" s="179"/>
      <c r="P7" s="179"/>
    </row>
    <row r="8" spans="1:16" x14ac:dyDescent="0.15">
      <c r="A8" s="179"/>
      <c r="B8" s="179"/>
      <c r="C8" s="179"/>
      <c r="D8" s="179"/>
      <c r="E8" s="179"/>
      <c r="F8" s="179"/>
      <c r="G8" s="180"/>
      <c r="H8" s="473"/>
      <c r="I8" s="473"/>
      <c r="J8" s="473"/>
      <c r="K8" s="473"/>
      <c r="L8" s="473"/>
      <c r="M8" s="473"/>
      <c r="N8" s="473"/>
      <c r="O8" s="179"/>
      <c r="P8" s="179"/>
    </row>
    <row r="9" spans="1:16" x14ac:dyDescent="0.15">
      <c r="A9" s="179"/>
      <c r="B9" s="179"/>
      <c r="C9" s="472" t="s">
        <v>237</v>
      </c>
      <c r="D9" s="472"/>
      <c r="E9" s="472" t="s">
        <v>238</v>
      </c>
      <c r="F9" s="472" t="s">
        <v>239</v>
      </c>
      <c r="G9" s="477" t="s">
        <v>240</v>
      </c>
      <c r="H9" s="478"/>
      <c r="I9" s="478"/>
      <c r="J9" s="478"/>
      <c r="K9" s="478"/>
      <c r="L9" s="479"/>
      <c r="M9" s="430" t="s">
        <v>241</v>
      </c>
      <c r="N9" s="431"/>
      <c r="O9" s="179"/>
      <c r="P9" s="179"/>
    </row>
    <row r="10" spans="1:16" x14ac:dyDescent="0.15">
      <c r="A10" s="179"/>
      <c r="B10" s="179"/>
      <c r="C10" s="472"/>
      <c r="D10" s="472"/>
      <c r="E10" s="472"/>
      <c r="F10" s="472"/>
      <c r="G10" s="480"/>
      <c r="H10" s="481"/>
      <c r="I10" s="481"/>
      <c r="J10" s="481"/>
      <c r="K10" s="481"/>
      <c r="L10" s="482"/>
      <c r="M10" s="475"/>
      <c r="N10" s="476"/>
      <c r="O10" s="179"/>
      <c r="P10" s="179"/>
    </row>
    <row r="11" spans="1:16" x14ac:dyDescent="0.15">
      <c r="A11" s="179"/>
      <c r="B11" s="179"/>
      <c r="C11" s="472"/>
      <c r="D11" s="472"/>
      <c r="E11" s="472"/>
      <c r="F11" s="472"/>
      <c r="G11" s="474" t="s">
        <v>242</v>
      </c>
      <c r="H11" s="465" t="s">
        <v>243</v>
      </c>
      <c r="I11" s="430" t="s">
        <v>244</v>
      </c>
      <c r="J11" s="431"/>
      <c r="K11" s="430" t="s">
        <v>245</v>
      </c>
      <c r="L11" s="431"/>
      <c r="M11" s="475"/>
      <c r="N11" s="476"/>
      <c r="O11" s="179"/>
      <c r="P11" s="179"/>
    </row>
    <row r="12" spans="1:16" ht="15.75" customHeight="1" x14ac:dyDescent="0.15">
      <c r="A12" s="179"/>
      <c r="B12" s="179"/>
      <c r="C12" s="472"/>
      <c r="D12" s="472"/>
      <c r="E12" s="472"/>
      <c r="F12" s="472"/>
      <c r="G12" s="466"/>
      <c r="H12" s="466"/>
      <c r="I12" s="432"/>
      <c r="J12" s="433"/>
      <c r="K12" s="432"/>
      <c r="L12" s="433"/>
      <c r="M12" s="432"/>
      <c r="N12" s="433"/>
      <c r="O12" s="179"/>
      <c r="P12" s="179"/>
    </row>
    <row r="13" spans="1:16" ht="39.950000000000003" customHeight="1" x14ac:dyDescent="0.15">
      <c r="A13" s="179"/>
      <c r="B13" s="179"/>
      <c r="C13" s="470" t="str">
        <f>IF(反映シート!C409&lt;&gt;"",反映シート!C409,"")</f>
        <v/>
      </c>
      <c r="D13" s="471"/>
      <c r="E13" s="184" t="str">
        <f>IF(反映シート!E409&lt;&gt;"",反映シート!E409,"")</f>
        <v/>
      </c>
      <c r="F13" s="184" t="str">
        <f>IF(反映シート!G409&lt;&gt;"",反映シート!G409,"")</f>
        <v/>
      </c>
      <c r="G13" s="184" t="str">
        <f>IF(反映シート!I409&lt;&gt;"",反映シート!I409,"")</f>
        <v/>
      </c>
      <c r="H13" s="184" t="str">
        <f>IF(反映シート!K409&lt;&gt;"",反映シート!K409,"")</f>
        <v/>
      </c>
      <c r="I13" s="486" t="str">
        <f>IF(反映シート!M409&lt;&gt;"",反映シート!M409,"")</f>
        <v/>
      </c>
      <c r="J13" s="486" t="str">
        <f>IF(入力シート!B35="","",MONTH(入力シート!B35))</f>
        <v/>
      </c>
      <c r="K13" s="486" t="str">
        <f>IF(反映シート!O409&lt;&gt;"",反映シート!O409,"")</f>
        <v/>
      </c>
      <c r="L13" s="486" t="str">
        <f>IF(入力シート!B35="","",DAY(入力シート!B35))</f>
        <v/>
      </c>
      <c r="M13" s="486" t="str">
        <f>IF(反映シート!Q409&lt;&gt;"",反映シート!Q409,"")</f>
        <v/>
      </c>
      <c r="N13" s="486"/>
      <c r="O13" s="179"/>
      <c r="P13" s="179"/>
    </row>
    <row r="14" spans="1:16" ht="39.950000000000003" customHeight="1" x14ac:dyDescent="0.15">
      <c r="A14" s="179"/>
      <c r="B14" s="179"/>
      <c r="C14" s="470" t="str">
        <f>IF(反映シート!C411&lt;&gt;"",反映シート!C411,"")</f>
        <v/>
      </c>
      <c r="D14" s="471"/>
      <c r="E14" s="184" t="str">
        <f>IF(反映シート!E411&lt;&gt;"",反映シート!E411,"")</f>
        <v/>
      </c>
      <c r="F14" s="184" t="str">
        <f>IF(反映シート!G411&lt;&gt;"",反映シート!G411,"")</f>
        <v/>
      </c>
      <c r="G14" s="184" t="str">
        <f>IF(反映シート!I411&lt;&gt;"",反映シート!I411,"")</f>
        <v/>
      </c>
      <c r="H14" s="184" t="str">
        <f>IF(反映シート!K411&lt;&gt;"",反映シート!K411,"")</f>
        <v/>
      </c>
      <c r="I14" s="486" t="str">
        <f>IF(反映シート!M411&lt;&gt;"",反映シート!M411,"")</f>
        <v/>
      </c>
      <c r="J14" s="486" t="str">
        <f>IF(入力シート!B36="","",MONTH(入力シート!B36))</f>
        <v/>
      </c>
      <c r="K14" s="486" t="str">
        <f>IF(反映シート!O411&lt;&gt;"",反映シート!O411,"")</f>
        <v/>
      </c>
      <c r="L14" s="486" t="str">
        <f>IF(入力シート!B36="","",DAY(入力シート!B36))</f>
        <v/>
      </c>
      <c r="M14" s="486" t="str">
        <f>IF(反映シート!Q411&lt;&gt;"",反映シート!Q411,"")</f>
        <v/>
      </c>
      <c r="N14" s="486"/>
      <c r="O14" s="179"/>
      <c r="P14" s="179"/>
    </row>
    <row r="15" spans="1:16" ht="39.950000000000003" customHeight="1" x14ac:dyDescent="0.15">
      <c r="A15" s="179"/>
      <c r="B15" s="179"/>
      <c r="C15" s="470" t="str">
        <f>IF(反映シート!C413&lt;&gt;"",反映シート!C413,"")</f>
        <v/>
      </c>
      <c r="D15" s="471"/>
      <c r="E15" s="184" t="str">
        <f>IF(反映シート!E413&lt;&gt;"",反映シート!E413,"")</f>
        <v/>
      </c>
      <c r="F15" s="184" t="str">
        <f>IF(反映シート!G413&lt;&gt;"",反映シート!G413,"")</f>
        <v/>
      </c>
      <c r="G15" s="184" t="str">
        <f>IF(反映シート!I413&lt;&gt;"",反映シート!I413,"")</f>
        <v/>
      </c>
      <c r="H15" s="184" t="str">
        <f>IF(反映シート!K413&lt;&gt;"",反映シート!K413,"")</f>
        <v/>
      </c>
      <c r="I15" s="486" t="str">
        <f>IF(反映シート!M413&lt;&gt;"",反映シート!M413,"")</f>
        <v/>
      </c>
      <c r="J15" s="486" t="e">
        <f>IF(入力シート!#REF!="","",MONTH(入力シート!#REF!))</f>
        <v>#REF!</v>
      </c>
      <c r="K15" s="486" t="str">
        <f>IF(反映シート!O413&lt;&gt;"",反映シート!O413,"")</f>
        <v/>
      </c>
      <c r="L15" s="486" t="e">
        <f>IF(入力シート!#REF!="","",DAY(入力シート!#REF!))</f>
        <v>#REF!</v>
      </c>
      <c r="M15" s="486" t="str">
        <f>IF(反映シート!Q413&lt;&gt;"",反映シート!Q413,"")</f>
        <v/>
      </c>
      <c r="N15" s="486"/>
      <c r="O15" s="179"/>
      <c r="P15" s="179"/>
    </row>
    <row r="16" spans="1:16" ht="39.950000000000003" customHeight="1" x14ac:dyDescent="0.15">
      <c r="A16" s="179"/>
      <c r="B16" s="183"/>
      <c r="C16" s="470" t="str">
        <f>IF(反映シート!C415&lt;&gt;"",反映シート!C415,"")</f>
        <v/>
      </c>
      <c r="D16" s="471"/>
      <c r="E16" s="184" t="str">
        <f>IF(反映シート!E415&lt;&gt;"",反映シート!E415,"")</f>
        <v/>
      </c>
      <c r="F16" s="184" t="str">
        <f>IF(反映シート!G415&lt;&gt;"",反映シート!G415,"")</f>
        <v/>
      </c>
      <c r="G16" s="184" t="str">
        <f>IF(反映シート!I415&lt;&gt;"",反映シート!I415,"")</f>
        <v/>
      </c>
      <c r="H16" s="184" t="str">
        <f>IF(反映シート!K415&lt;&gt;"",反映シート!K415,"")</f>
        <v/>
      </c>
      <c r="I16" s="486" t="str">
        <f>IF(反映シート!M415&lt;&gt;"",反映シート!M415,"")</f>
        <v/>
      </c>
      <c r="J16" s="486" t="str">
        <f>IF(入力シート!B38="","",MONTH(入力シート!B38))</f>
        <v/>
      </c>
      <c r="K16" s="486" t="str">
        <f>IF(反映シート!O415&lt;&gt;"",反映シート!O415,"")</f>
        <v/>
      </c>
      <c r="L16" s="486" t="str">
        <f>IF(入力シート!B38="","",DAY(入力シート!B38))</f>
        <v/>
      </c>
      <c r="M16" s="486" t="str">
        <f>IF(反映シート!Q415&lt;&gt;"",反映シート!Q415,"")</f>
        <v/>
      </c>
      <c r="N16" s="486"/>
      <c r="O16" s="179"/>
      <c r="P16" s="179"/>
    </row>
    <row r="17" spans="1:16" ht="39.950000000000003" customHeight="1" x14ac:dyDescent="0.15">
      <c r="A17" s="179"/>
      <c r="B17" s="183"/>
      <c r="C17" s="470" t="str">
        <f>IF(反映シート!C417&lt;&gt;"",反映シート!C417,"")</f>
        <v/>
      </c>
      <c r="D17" s="471"/>
      <c r="E17" s="184" t="str">
        <f>IF(反映シート!E417&lt;&gt;"",反映シート!E417,"")</f>
        <v/>
      </c>
      <c r="F17" s="184" t="str">
        <f>IF(反映シート!G417&lt;&gt;"",反映シート!G417,"")</f>
        <v/>
      </c>
      <c r="G17" s="184" t="str">
        <f>IF(反映シート!I417&lt;&gt;"",反映シート!I417,"")</f>
        <v/>
      </c>
      <c r="H17" s="184" t="str">
        <f>IF(反映シート!K417&lt;&gt;"",反映シート!K417,"")</f>
        <v/>
      </c>
      <c r="I17" s="486" t="str">
        <f>IF(反映シート!M417&lt;&gt;"",反映シート!M417,"")</f>
        <v/>
      </c>
      <c r="J17" s="486" t="e">
        <f>IF(入力シート!#REF!="","",MONTH(入力シート!#REF!))</f>
        <v>#REF!</v>
      </c>
      <c r="K17" s="486" t="str">
        <f>IF(反映シート!O417&lt;&gt;"",反映シート!O417,"")</f>
        <v/>
      </c>
      <c r="L17" s="486" t="e">
        <f>IF(入力シート!#REF!="","",DAY(入力シート!#REF!))</f>
        <v>#REF!</v>
      </c>
      <c r="M17" s="486" t="str">
        <f>IF(反映シート!Q417&lt;&gt;"",反映シート!Q417,"")</f>
        <v/>
      </c>
      <c r="N17" s="486"/>
      <c r="O17" s="179"/>
      <c r="P17" s="179"/>
    </row>
    <row r="18" spans="1:16" ht="39.950000000000003" customHeight="1" x14ac:dyDescent="0.15">
      <c r="A18" s="179"/>
      <c r="B18" s="183"/>
      <c r="C18" s="470" t="str">
        <f>IF(反映シート!C419&lt;&gt;"",反映シート!C419,"")</f>
        <v/>
      </c>
      <c r="D18" s="471"/>
      <c r="E18" s="184" t="str">
        <f>IF(反映シート!E419&lt;&gt;"",反映シート!E419,"")</f>
        <v/>
      </c>
      <c r="F18" s="184" t="str">
        <f>IF(反映シート!G419&lt;&gt;"",反映シート!G419,"")</f>
        <v/>
      </c>
      <c r="G18" s="184" t="str">
        <f>IF(反映シート!I419&lt;&gt;"",反映シート!I419,"")</f>
        <v/>
      </c>
      <c r="H18" s="184" t="str">
        <f>IF(反映シート!K419&lt;&gt;"",反映シート!K419,"")</f>
        <v/>
      </c>
      <c r="I18" s="486" t="str">
        <f>IF(反映シート!M419&lt;&gt;"",反映シート!M419,"")</f>
        <v/>
      </c>
      <c r="J18" s="486" t="str">
        <f>IF(入力シート!B40="","",MONTH(入力シート!B40))</f>
        <v/>
      </c>
      <c r="K18" s="486" t="str">
        <f>IF(反映シート!O419&lt;&gt;"",反映シート!O419,"")</f>
        <v/>
      </c>
      <c r="L18" s="486" t="str">
        <f>IF(入力シート!B40="","",DAY(入力シート!B40))</f>
        <v/>
      </c>
      <c r="M18" s="486" t="str">
        <f>IF(反映シート!Q419&lt;&gt;"",反映シート!Q419,"")</f>
        <v/>
      </c>
      <c r="N18" s="486"/>
      <c r="O18" s="179"/>
      <c r="P18" s="179"/>
    </row>
    <row r="19" spans="1:16" ht="39.950000000000003" customHeight="1" x14ac:dyDescent="0.15">
      <c r="A19" s="179"/>
      <c r="B19" s="183"/>
      <c r="C19" s="470" t="str">
        <f>IF(反映シート!C421&lt;&gt;"",反映シート!C421,"")</f>
        <v/>
      </c>
      <c r="D19" s="471"/>
      <c r="E19" s="184" t="str">
        <f>IF(反映シート!E421&lt;&gt;"",反映シート!E421,"")</f>
        <v/>
      </c>
      <c r="F19" s="184" t="str">
        <f>IF(反映シート!G421&lt;&gt;"",反映シート!G421,"")</f>
        <v/>
      </c>
      <c r="G19" s="184" t="str">
        <f>IF(反映シート!I421&lt;&gt;"",反映シート!I421,"")</f>
        <v/>
      </c>
      <c r="H19" s="184" t="str">
        <f>IF(反映シート!K421&lt;&gt;"",反映シート!K421,"")</f>
        <v/>
      </c>
      <c r="I19" s="486" t="str">
        <f>IF(反映シート!M421&lt;&gt;"",反映シート!M421,"")</f>
        <v/>
      </c>
      <c r="J19" s="486" t="e">
        <f>IF(入力シート!#REF!="","",MONTH(入力シート!#REF!))</f>
        <v>#REF!</v>
      </c>
      <c r="K19" s="486" t="str">
        <f>IF(反映シート!O421&lt;&gt;"",反映シート!O421,"")</f>
        <v/>
      </c>
      <c r="L19" s="486" t="e">
        <f>IF(入力シート!#REF!="","",DAY(入力シート!#REF!))</f>
        <v>#REF!</v>
      </c>
      <c r="M19" s="486" t="str">
        <f>IF(反映シート!Q421&lt;&gt;"",反映シート!Q421,"")</f>
        <v/>
      </c>
      <c r="N19" s="486"/>
      <c r="O19" s="179"/>
      <c r="P19" s="179"/>
    </row>
    <row r="20" spans="1:16" ht="39.950000000000003" customHeight="1" x14ac:dyDescent="0.15">
      <c r="A20" s="179"/>
      <c r="B20" s="179"/>
      <c r="C20" s="470" t="str">
        <f>IF(反映シート!C423&lt;&gt;"",反映シート!C423,"")</f>
        <v/>
      </c>
      <c r="D20" s="471"/>
      <c r="E20" s="184" t="str">
        <f>IF(反映シート!E423&lt;&gt;"",反映シート!E423,"")</f>
        <v/>
      </c>
      <c r="F20" s="184" t="str">
        <f>IF(反映シート!G423&lt;&gt;"",反映シート!G423,"")</f>
        <v/>
      </c>
      <c r="G20" s="184" t="str">
        <f>IF(反映シート!I423&lt;&gt;"",反映シート!I423,"")</f>
        <v/>
      </c>
      <c r="H20" s="184" t="str">
        <f>IF(反映シート!K423&lt;&gt;"",反映シート!K423,"")</f>
        <v/>
      </c>
      <c r="I20" s="486" t="str">
        <f>IF(反映シート!M423&lt;&gt;"",反映シート!M423,"")</f>
        <v/>
      </c>
      <c r="J20" s="486" t="str">
        <f>IF(入力シート!B42="","",MONTH(入力シート!B42))</f>
        <v/>
      </c>
      <c r="K20" s="486" t="str">
        <f>IF(反映シート!O423&lt;&gt;"",反映シート!O423,"")</f>
        <v/>
      </c>
      <c r="L20" s="486" t="str">
        <f>IF(入力シート!B42="","",DAY(入力シート!B42))</f>
        <v/>
      </c>
      <c r="M20" s="486" t="str">
        <f>IF(反映シート!Q423&lt;&gt;"",反映シート!Q423,"")</f>
        <v/>
      </c>
      <c r="N20" s="486"/>
      <c r="O20" s="179"/>
      <c r="P20" s="179"/>
    </row>
    <row r="21" spans="1:16" ht="39.950000000000003" customHeight="1" x14ac:dyDescent="0.15">
      <c r="A21" s="179"/>
      <c r="B21" s="179"/>
      <c r="C21" s="470" t="str">
        <f>IF(反映シート!C425&lt;&gt;"",反映シート!C425,"")</f>
        <v/>
      </c>
      <c r="D21" s="471"/>
      <c r="E21" s="184" t="str">
        <f>IF(反映シート!E425&lt;&gt;"",反映シート!E425,"")</f>
        <v/>
      </c>
      <c r="F21" s="184" t="str">
        <f>IF(反映シート!G425&lt;&gt;"",反映シート!G425,"")</f>
        <v/>
      </c>
      <c r="G21" s="184" t="str">
        <f>IF(反映シート!I425&lt;&gt;"",反映シート!I425,"")</f>
        <v/>
      </c>
      <c r="H21" s="184" t="str">
        <f>IF(反映シート!K425&lt;&gt;"",反映シート!K425,"")</f>
        <v/>
      </c>
      <c r="I21" s="486" t="str">
        <f>IF(反映シート!M425&lt;&gt;"",反映シート!M425,"")</f>
        <v/>
      </c>
      <c r="J21" s="486" t="e">
        <f>IF(入力シート!#REF!="","",MONTH(入力シート!#REF!))</f>
        <v>#REF!</v>
      </c>
      <c r="K21" s="486" t="str">
        <f>IF(反映シート!O425&lt;&gt;"",反映シート!O425,"")</f>
        <v/>
      </c>
      <c r="L21" s="486" t="e">
        <f>IF(入力シート!#REF!="","",DAY(入力シート!#REF!))</f>
        <v>#REF!</v>
      </c>
      <c r="M21" s="486" t="str">
        <f>IF(反映シート!Q425&lt;&gt;"",反映シート!Q425,"")</f>
        <v/>
      </c>
      <c r="N21" s="486"/>
      <c r="O21" s="179"/>
      <c r="P21" s="179"/>
    </row>
    <row r="22" spans="1:16" ht="39.950000000000003" customHeight="1" x14ac:dyDescent="0.15">
      <c r="A22" s="179"/>
      <c r="B22" s="179"/>
      <c r="C22" s="470" t="str">
        <f>IF(反映シート!C427&lt;&gt;"",反映シート!C427,"")</f>
        <v/>
      </c>
      <c r="D22" s="471"/>
      <c r="E22" s="184" t="str">
        <f>IF(反映シート!E427&lt;&gt;"",反映シート!E427,"")</f>
        <v/>
      </c>
      <c r="F22" s="184" t="str">
        <f>IF(反映シート!G427&lt;&gt;"",反映シート!G427,"")</f>
        <v/>
      </c>
      <c r="G22" s="184" t="str">
        <f>IF(反映シート!I427&lt;&gt;"",反映シート!I427,"")</f>
        <v/>
      </c>
      <c r="H22" s="184" t="str">
        <f>IF(反映シート!K427&lt;&gt;"",反映シート!K427,"")</f>
        <v/>
      </c>
      <c r="I22" s="486" t="str">
        <f>IF(反映シート!M427&lt;&gt;"",反映シート!M427,"")</f>
        <v/>
      </c>
      <c r="J22" s="486" t="str">
        <f>IF(入力シート!B44="","",MONTH(入力シート!B44))</f>
        <v/>
      </c>
      <c r="K22" s="486" t="str">
        <f>IF(反映シート!O427&lt;&gt;"",反映シート!O427,"")</f>
        <v/>
      </c>
      <c r="L22" s="486" t="str">
        <f>IF(入力シート!B44="","",DAY(入力シート!B44))</f>
        <v/>
      </c>
      <c r="M22" s="486" t="str">
        <f>IF(反映シート!Q427&lt;&gt;"",反映シート!Q427,"")</f>
        <v/>
      </c>
      <c r="N22" s="486"/>
      <c r="O22" s="179"/>
      <c r="P22" s="179"/>
    </row>
    <row r="23" spans="1:16" ht="39.950000000000003" customHeight="1" x14ac:dyDescent="0.15">
      <c r="A23" s="179"/>
      <c r="B23" s="183"/>
      <c r="C23" s="470" t="str">
        <f>IF(反映シート!C429&lt;&gt;"",反映シート!C429,"")</f>
        <v/>
      </c>
      <c r="D23" s="471"/>
      <c r="E23" s="184" t="str">
        <f>IF(反映シート!E429&lt;&gt;"",反映シート!E429,"")</f>
        <v/>
      </c>
      <c r="F23" s="184" t="str">
        <f>IF(反映シート!G429&lt;&gt;"",反映シート!G429,"")</f>
        <v/>
      </c>
      <c r="G23" s="184" t="str">
        <f>IF(反映シート!I429&lt;&gt;"",反映シート!I429,"")</f>
        <v/>
      </c>
      <c r="H23" s="184" t="str">
        <f>IF(反映シート!K429&lt;&gt;"",反映シート!K429,"")</f>
        <v/>
      </c>
      <c r="I23" s="486" t="str">
        <f>IF(反映シート!M429&lt;&gt;"",反映シート!M429,"")</f>
        <v/>
      </c>
      <c r="J23" s="486" t="e">
        <f>IF(入力シート!#REF!="","",MONTH(入力シート!#REF!))</f>
        <v>#REF!</v>
      </c>
      <c r="K23" s="486" t="str">
        <f>IF(反映シート!O429&lt;&gt;"",反映シート!O429,"")</f>
        <v/>
      </c>
      <c r="L23" s="486" t="e">
        <f>IF(入力シート!#REF!="","",DAY(入力シート!#REF!))</f>
        <v>#REF!</v>
      </c>
      <c r="M23" s="486" t="str">
        <f>IF(反映シート!Q429&lt;&gt;"",反映シート!Q429,"")</f>
        <v/>
      </c>
      <c r="N23" s="486"/>
      <c r="O23" s="179"/>
      <c r="P23" s="179"/>
    </row>
    <row r="24" spans="1:16" ht="39.950000000000003" customHeight="1" x14ac:dyDescent="0.15">
      <c r="A24" s="179"/>
      <c r="B24" s="179"/>
      <c r="C24" s="470" t="str">
        <f>IF(反映シート!C431&lt;&gt;"",反映シート!C431,"")</f>
        <v/>
      </c>
      <c r="D24" s="471"/>
      <c r="E24" s="184" t="str">
        <f>IF(反映シート!E431&lt;&gt;"",反映シート!E431,"")</f>
        <v/>
      </c>
      <c r="F24" s="184" t="str">
        <f>IF(反映シート!G431&lt;&gt;"",反映シート!G431,"")</f>
        <v/>
      </c>
      <c r="G24" s="184" t="str">
        <f>IF(反映シート!I431&lt;&gt;"",反映シート!I431,"")</f>
        <v/>
      </c>
      <c r="H24" s="184" t="str">
        <f>IF(反映シート!K431&lt;&gt;"",反映シート!K431,"")</f>
        <v/>
      </c>
      <c r="I24" s="486" t="str">
        <f>IF(反映シート!M431&lt;&gt;"",反映シート!M431,"")</f>
        <v/>
      </c>
      <c r="J24" s="486" t="str">
        <f>IF(入力シート!B46="","",MONTH(入力シート!B46))</f>
        <v/>
      </c>
      <c r="K24" s="486" t="str">
        <f>IF(反映シート!O431&lt;&gt;"",反映シート!O431,"")</f>
        <v/>
      </c>
      <c r="L24" s="486" t="str">
        <f>IF(入力シート!B46="","",DAY(入力シート!B46))</f>
        <v/>
      </c>
      <c r="M24" s="486" t="str">
        <f>IF(反映シート!Q431&lt;&gt;"",反映シート!Q431,"")</f>
        <v/>
      </c>
      <c r="N24" s="486"/>
      <c r="O24" s="179"/>
      <c r="P24" s="179"/>
    </row>
    <row r="25" spans="1:16" ht="39.950000000000003" customHeight="1" x14ac:dyDescent="0.15">
      <c r="A25" s="179"/>
      <c r="B25" s="179"/>
      <c r="C25" s="470" t="str">
        <f>IF(反映シート!C433&lt;&gt;"",反映シート!C433,"")</f>
        <v/>
      </c>
      <c r="D25" s="471"/>
      <c r="E25" s="184" t="str">
        <f>IF(反映シート!E433&lt;&gt;"",反映シート!E433,"")</f>
        <v/>
      </c>
      <c r="F25" s="184" t="str">
        <f>IF(反映シート!G433&lt;&gt;"",反映シート!G433,"")</f>
        <v/>
      </c>
      <c r="G25" s="184" t="str">
        <f>IF(反映シート!I433&lt;&gt;"",反映シート!I433,"")</f>
        <v/>
      </c>
      <c r="H25" s="184" t="str">
        <f>IF(反映シート!K433&lt;&gt;"",反映シート!K433,"")</f>
        <v/>
      </c>
      <c r="I25" s="486" t="str">
        <f>IF(反映シート!M433&lt;&gt;"",反映シート!M433,"")</f>
        <v/>
      </c>
      <c r="J25" s="486" t="e">
        <f>IF(入力シート!#REF!="","",MONTH(入力シート!#REF!))</f>
        <v>#REF!</v>
      </c>
      <c r="K25" s="486" t="str">
        <f>IF(反映シート!O433&lt;&gt;"",反映シート!O433,"")</f>
        <v/>
      </c>
      <c r="L25" s="486" t="e">
        <f>IF(入力シート!#REF!="","",DAY(入力シート!#REF!))</f>
        <v>#REF!</v>
      </c>
      <c r="M25" s="486" t="str">
        <f>IF(反映シート!Q433&lt;&gt;"",反映シート!Q433,"")</f>
        <v/>
      </c>
      <c r="N25" s="486"/>
      <c r="O25" s="179"/>
      <c r="P25" s="179"/>
    </row>
    <row r="26" spans="1:16" ht="39.950000000000003" customHeight="1" x14ac:dyDescent="0.15">
      <c r="A26" s="179"/>
      <c r="B26" s="183"/>
      <c r="C26" s="470" t="str">
        <f>IF(反映シート!C435&lt;&gt;"",反映シート!C435,"")</f>
        <v/>
      </c>
      <c r="D26" s="471"/>
      <c r="E26" s="184" t="str">
        <f>IF(反映シート!E435&lt;&gt;"",反映シート!E435,"")</f>
        <v/>
      </c>
      <c r="F26" s="184" t="str">
        <f>IF(反映シート!G435&lt;&gt;"",反映シート!G435,"")</f>
        <v/>
      </c>
      <c r="G26" s="184" t="str">
        <f>IF(反映シート!I435&lt;&gt;"",反映シート!I435,"")</f>
        <v/>
      </c>
      <c r="H26" s="184" t="str">
        <f>IF(反映シート!K435&lt;&gt;"",反映シート!K435,"")</f>
        <v/>
      </c>
      <c r="I26" s="486" t="str">
        <f>IF(反映シート!M435&lt;&gt;"",反映シート!M435,"")</f>
        <v/>
      </c>
      <c r="J26" s="486" t="str">
        <f>IF(入力シート!B51="","",MONTH(入力シート!B51))</f>
        <v/>
      </c>
      <c r="K26" s="486" t="str">
        <f>IF(反映シート!O435&lt;&gt;"",反映シート!O435,"")</f>
        <v/>
      </c>
      <c r="L26" s="486" t="str">
        <f>IF(入力シート!B51="","",DAY(入力シート!B51))</f>
        <v/>
      </c>
      <c r="M26" s="486" t="str">
        <f>IF(反映シート!Q435&lt;&gt;"",反映シート!Q435,"")</f>
        <v/>
      </c>
      <c r="N26" s="486"/>
      <c r="O26" s="179"/>
      <c r="P26" s="179"/>
    </row>
    <row r="27" spans="1:16" ht="39.950000000000003" customHeight="1" x14ac:dyDescent="0.15">
      <c r="A27" s="179"/>
      <c r="B27" s="179"/>
      <c r="C27" s="470" t="str">
        <f>IF(反映シート!C437&lt;&gt;"",反映シート!C437,"")</f>
        <v/>
      </c>
      <c r="D27" s="471"/>
      <c r="E27" s="184" t="str">
        <f>IF(反映シート!E437&lt;&gt;"",反映シート!E437,"")</f>
        <v/>
      </c>
      <c r="F27" s="184" t="str">
        <f>IF(反映シート!G437&lt;&gt;"",反映シート!G437,"")</f>
        <v/>
      </c>
      <c r="G27" s="184" t="str">
        <f>IF(反映シート!I437&lt;&gt;"",反映シート!I437,"")</f>
        <v/>
      </c>
      <c r="H27" s="184" t="str">
        <f>IF(反映シート!K437&lt;&gt;"",反映シート!K437,"")</f>
        <v/>
      </c>
      <c r="I27" s="486" t="str">
        <f>IF(反映シート!M437&lt;&gt;"",反映シート!M437,"")</f>
        <v/>
      </c>
      <c r="J27" s="486" t="str">
        <f>IF(入力シート!B52="","",MONTH(入力シート!B52))</f>
        <v/>
      </c>
      <c r="K27" s="486" t="str">
        <f>IF(反映シート!O437&lt;&gt;"",反映シート!O437,"")</f>
        <v/>
      </c>
      <c r="L27" s="486" t="str">
        <f>IF(入力シート!B52="","",DAY(入力シート!B52))</f>
        <v/>
      </c>
      <c r="M27" s="486" t="str">
        <f>IF(反映シート!Q437&lt;&gt;"",反映シート!Q437,"")</f>
        <v/>
      </c>
      <c r="N27" s="486"/>
      <c r="O27" s="179"/>
      <c r="P27" s="179"/>
    </row>
    <row r="28" spans="1:16" x14ac:dyDescent="0.15">
      <c r="A28" s="179"/>
      <c r="B28" s="179"/>
      <c r="C28" s="179" t="s">
        <v>246</v>
      </c>
      <c r="D28" s="179"/>
      <c r="E28" s="179"/>
      <c r="F28" s="179"/>
      <c r="G28" s="179"/>
      <c r="H28" s="179"/>
      <c r="I28" s="179"/>
      <c r="J28" s="179"/>
      <c r="K28" s="179"/>
      <c r="L28" s="179"/>
      <c r="M28" s="179"/>
      <c r="N28" s="179"/>
      <c r="O28" s="179"/>
      <c r="P28" s="179"/>
    </row>
    <row r="29" spans="1:16" x14ac:dyDescent="0.15">
      <c r="A29" s="179"/>
      <c r="B29" s="183"/>
      <c r="C29" s="179"/>
      <c r="D29" s="179" t="s">
        <v>247</v>
      </c>
      <c r="E29" s="179"/>
      <c r="F29" s="179"/>
      <c r="G29" s="179"/>
      <c r="H29" s="179"/>
      <c r="I29" s="179"/>
      <c r="J29" s="179"/>
      <c r="K29" s="179"/>
      <c r="L29" s="179"/>
      <c r="M29" s="179"/>
      <c r="N29" s="179"/>
      <c r="O29" s="179"/>
      <c r="P29" s="179"/>
    </row>
    <row r="30" spans="1:16" x14ac:dyDescent="0.15">
      <c r="A30" s="179"/>
      <c r="B30" s="179"/>
      <c r="C30" s="183"/>
      <c r="D30" s="179" t="s">
        <v>248</v>
      </c>
      <c r="E30" s="179"/>
      <c r="F30" s="179"/>
      <c r="G30" s="179"/>
      <c r="H30" s="179"/>
      <c r="I30" s="179"/>
      <c r="J30" s="179"/>
      <c r="K30" s="179"/>
      <c r="L30" s="179"/>
      <c r="M30" s="179"/>
      <c r="N30" s="179"/>
      <c r="O30" s="179"/>
      <c r="P30" s="179"/>
    </row>
    <row r="31" spans="1:16" x14ac:dyDescent="0.15">
      <c r="A31" s="179"/>
      <c r="B31" s="179"/>
      <c r="C31" s="183"/>
      <c r="D31" s="179" t="s">
        <v>249</v>
      </c>
      <c r="E31" s="179"/>
      <c r="F31" s="179"/>
      <c r="G31" s="179"/>
      <c r="H31" s="179"/>
      <c r="I31" s="179"/>
      <c r="J31" s="179"/>
      <c r="K31" s="179"/>
      <c r="L31" s="179"/>
      <c r="M31" s="179"/>
      <c r="N31" s="179"/>
      <c r="O31" s="179"/>
      <c r="P31" s="179"/>
    </row>
    <row r="32" spans="1:16" x14ac:dyDescent="0.15">
      <c r="A32" s="179"/>
      <c r="B32" s="179"/>
      <c r="C32" s="179"/>
      <c r="D32" s="179" t="s">
        <v>250</v>
      </c>
      <c r="E32" s="179"/>
      <c r="F32" s="179"/>
      <c r="G32" s="179"/>
      <c r="H32" s="179"/>
      <c r="I32" s="179"/>
      <c r="J32" s="179"/>
      <c r="K32" s="179"/>
      <c r="L32" s="179"/>
      <c r="M32" s="179"/>
      <c r="N32" s="179"/>
      <c r="O32" s="179"/>
      <c r="P32" s="179"/>
    </row>
    <row r="33" spans="1:16" x14ac:dyDescent="0.15">
      <c r="A33" s="179"/>
      <c r="B33" s="183"/>
      <c r="C33" s="179"/>
      <c r="D33" s="179"/>
      <c r="E33" s="179"/>
      <c r="F33" s="179"/>
      <c r="G33" s="179"/>
      <c r="H33" s="179"/>
      <c r="I33" s="179"/>
      <c r="J33" s="179"/>
      <c r="K33" s="179"/>
      <c r="L33" s="179"/>
      <c r="M33" s="179"/>
      <c r="N33" s="179"/>
      <c r="O33" s="179"/>
      <c r="P33" s="179"/>
    </row>
    <row r="34" spans="1:16" x14ac:dyDescent="0.15">
      <c r="A34" s="179"/>
      <c r="B34" s="179"/>
      <c r="C34" s="183"/>
      <c r="D34" s="179"/>
      <c r="E34" s="179"/>
      <c r="F34" s="179"/>
      <c r="G34" s="179"/>
      <c r="H34" s="179"/>
      <c r="I34" s="179"/>
      <c r="J34" s="179"/>
      <c r="K34" s="179"/>
      <c r="L34" s="179"/>
      <c r="M34" s="179"/>
      <c r="N34" s="179"/>
      <c r="O34" s="179"/>
      <c r="P34" s="179"/>
    </row>
    <row r="36" spans="1:16" x14ac:dyDescent="0.15">
      <c r="B36" s="186"/>
    </row>
    <row r="37" spans="1:16" x14ac:dyDescent="0.15">
      <c r="F37" s="469"/>
      <c r="G37" s="469"/>
    </row>
    <row r="38" spans="1:16" x14ac:dyDescent="0.15">
      <c r="C38" s="186"/>
      <c r="F38" s="187"/>
      <c r="G38" s="187"/>
    </row>
    <row r="40" spans="1:16" x14ac:dyDescent="0.15">
      <c r="C40" s="186"/>
    </row>
    <row r="41" spans="1:16" x14ac:dyDescent="0.15">
      <c r="C41" s="186"/>
      <c r="D41" s="186"/>
    </row>
    <row r="42" spans="1:16" x14ac:dyDescent="0.15">
      <c r="C42" s="186"/>
      <c r="D42" s="186"/>
    </row>
    <row r="43" spans="1:16" x14ac:dyDescent="0.15">
      <c r="C43" s="186"/>
    </row>
    <row r="44" spans="1:16" x14ac:dyDescent="0.15">
      <c r="C44" s="186"/>
    </row>
    <row r="46" spans="1:16" x14ac:dyDescent="0.15">
      <c r="C46" s="188"/>
    </row>
  </sheetData>
  <sheetProtection algorithmName="SHA-512" hashValue="fU6HYhhUyykLJ54yCtdk7pDQzd97IswJqbe0K8z/NiXnHLGYrnTpHlNDDrwStF+Kif7M/XZu1Mb5yuOnh1RT5Q==" saltValue="dlpLR2oRdSSFLXtjyuhevg==" spinCount="100000" sheet="1" objects="1" scenarios="1" selectLockedCells="1"/>
  <mergeCells count="74">
    <mergeCell ref="I23:J23"/>
    <mergeCell ref="K23:L23"/>
    <mergeCell ref="I24:J24"/>
    <mergeCell ref="K24:L24"/>
    <mergeCell ref="I27:J27"/>
    <mergeCell ref="K27:L27"/>
    <mergeCell ref="M27:N27"/>
    <mergeCell ref="M24:N24"/>
    <mergeCell ref="M25:N25"/>
    <mergeCell ref="I26:J26"/>
    <mergeCell ref="K26:L26"/>
    <mergeCell ref="M26:N26"/>
    <mergeCell ref="M13:N13"/>
    <mergeCell ref="M14:N14"/>
    <mergeCell ref="M15:N15"/>
    <mergeCell ref="M16:N16"/>
    <mergeCell ref="M17:N17"/>
    <mergeCell ref="M18:N18"/>
    <mergeCell ref="M19:N19"/>
    <mergeCell ref="M20:N20"/>
    <mergeCell ref="I25:J25"/>
    <mergeCell ref="K25:L25"/>
    <mergeCell ref="M22:N22"/>
    <mergeCell ref="M23:N23"/>
    <mergeCell ref="M21:N21"/>
    <mergeCell ref="I19:J19"/>
    <mergeCell ref="K19:L19"/>
    <mergeCell ref="I20:J20"/>
    <mergeCell ref="K20:L20"/>
    <mergeCell ref="I21:J21"/>
    <mergeCell ref="K21:L21"/>
    <mergeCell ref="I22:J22"/>
    <mergeCell ref="K22:L22"/>
    <mergeCell ref="I16:J16"/>
    <mergeCell ref="K16:L16"/>
    <mergeCell ref="I17:J17"/>
    <mergeCell ref="K17:L17"/>
    <mergeCell ref="I18:J18"/>
    <mergeCell ref="K18:L18"/>
    <mergeCell ref="I13:J13"/>
    <mergeCell ref="K13:L13"/>
    <mergeCell ref="I14:J14"/>
    <mergeCell ref="K14:L14"/>
    <mergeCell ref="I15:J15"/>
    <mergeCell ref="K15:L15"/>
    <mergeCell ref="C13:D13"/>
    <mergeCell ref="C14:D14"/>
    <mergeCell ref="C15:D15"/>
    <mergeCell ref="C16:D16"/>
    <mergeCell ref="C17:D17"/>
    <mergeCell ref="C9:D12"/>
    <mergeCell ref="E9:E12"/>
    <mergeCell ref="F9:F12"/>
    <mergeCell ref="K2:M2"/>
    <mergeCell ref="H8:N8"/>
    <mergeCell ref="G11:G12"/>
    <mergeCell ref="H11:H12"/>
    <mergeCell ref="I11:J12"/>
    <mergeCell ref="K11:L12"/>
    <mergeCell ref="M9:N12"/>
    <mergeCell ref="G9:L10"/>
    <mergeCell ref="C6:N6"/>
    <mergeCell ref="C7:N7"/>
    <mergeCell ref="F37:G37"/>
    <mergeCell ref="C18:D18"/>
    <mergeCell ref="C19:D19"/>
    <mergeCell ref="C20:D20"/>
    <mergeCell ref="C21:D21"/>
    <mergeCell ref="C22:D22"/>
    <mergeCell ref="C23:D23"/>
    <mergeCell ref="C24:D24"/>
    <mergeCell ref="C25:D25"/>
    <mergeCell ref="C26:D26"/>
    <mergeCell ref="C27:D27"/>
  </mergeCells>
  <phoneticPr fontId="5"/>
  <pageMargins left="0.7" right="0.7" top="0.75" bottom="0.75" header="0.3" footer="0.3"/>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P46"/>
  <sheetViews>
    <sheetView workbookViewId="0">
      <selection activeCell="ZZ1" sqref="ZZ1"/>
    </sheetView>
  </sheetViews>
  <sheetFormatPr defaultColWidth="9" defaultRowHeight="12.75" x14ac:dyDescent="0.15"/>
  <cols>
    <col min="1" max="1" width="0.875" style="185" customWidth="1"/>
    <col min="2" max="2" width="1.625" style="185" customWidth="1"/>
    <col min="3" max="3" width="5" style="185" bestFit="1" customWidth="1"/>
    <col min="4" max="4" width="7.625" style="185" customWidth="1"/>
    <col min="5" max="6" width="22.625" style="185" customWidth="1"/>
    <col min="7" max="7" width="5.625" style="185" customWidth="1"/>
    <col min="8" max="8" width="6.625" style="185" customWidth="1"/>
    <col min="9" max="14" width="3.625" style="185" customWidth="1"/>
    <col min="15" max="15" width="1.625" style="185" customWidth="1"/>
    <col min="16" max="16" width="0.875" style="185" customWidth="1"/>
    <col min="17" max="16384" width="9" style="185"/>
  </cols>
  <sheetData>
    <row r="1" spans="1:16" x14ac:dyDescent="0.15">
      <c r="A1" s="179"/>
      <c r="B1" s="180" t="s">
        <v>236</v>
      </c>
      <c r="C1" s="179"/>
      <c r="D1" s="179"/>
      <c r="E1" s="179"/>
      <c r="F1" s="179"/>
      <c r="G1" s="179"/>
      <c r="H1" s="179"/>
      <c r="I1" s="179"/>
      <c r="J1" s="179"/>
      <c r="K1" s="179"/>
      <c r="L1" s="179"/>
      <c r="M1" s="179"/>
      <c r="N1" s="179"/>
      <c r="O1" s="179"/>
      <c r="P1" s="179"/>
    </row>
    <row r="2" spans="1:16" x14ac:dyDescent="0.15">
      <c r="A2" s="179"/>
      <c r="B2" s="179"/>
      <c r="C2" s="179"/>
      <c r="D2" s="179"/>
      <c r="E2" s="179"/>
      <c r="F2" s="179"/>
      <c r="G2" s="179"/>
      <c r="H2" s="179"/>
      <c r="I2" s="179"/>
      <c r="J2" s="179"/>
      <c r="K2" s="473"/>
      <c r="L2" s="473"/>
      <c r="M2" s="473"/>
      <c r="N2" s="181"/>
      <c r="O2" s="179"/>
      <c r="P2" s="179"/>
    </row>
    <row r="3" spans="1:16" ht="17.25" x14ac:dyDescent="0.15">
      <c r="A3" s="179"/>
      <c r="B3" s="179"/>
      <c r="C3" s="179"/>
      <c r="D3" s="179"/>
      <c r="E3" s="179"/>
      <c r="F3" s="179"/>
      <c r="G3" s="179"/>
      <c r="H3" s="181" t="s">
        <v>115</v>
      </c>
      <c r="I3" s="182" t="str">
        <f>IF(反映シート!$E$15&lt;&gt;"なし",反映シート!E29,"")</f>
        <v/>
      </c>
      <c r="J3" s="181" t="s">
        <v>116</v>
      </c>
      <c r="K3" s="182" t="str">
        <f>IF(反映シート!$E$15&lt;&gt;"なし",反映シート!I29,"")</f>
        <v/>
      </c>
      <c r="L3" s="181" t="s">
        <v>117</v>
      </c>
      <c r="M3" s="182" t="str">
        <f>IF(反映シート!$E$15&lt;&gt;"なし",反映シート!M29,"")</f>
        <v/>
      </c>
      <c r="N3" s="181" t="s">
        <v>132</v>
      </c>
      <c r="O3" s="179"/>
      <c r="P3" s="179"/>
    </row>
    <row r="4" spans="1:16" x14ac:dyDescent="0.15">
      <c r="A4" s="179"/>
      <c r="B4" s="180" t="s">
        <v>514</v>
      </c>
      <c r="C4" s="179"/>
      <c r="D4" s="179"/>
      <c r="E4" s="179"/>
      <c r="F4" s="179"/>
      <c r="G4" s="179"/>
      <c r="H4" s="179"/>
      <c r="I4" s="179"/>
      <c r="J4" s="179"/>
      <c r="K4" s="179"/>
      <c r="L4" s="179"/>
      <c r="M4" s="179"/>
      <c r="N4" s="179"/>
      <c r="O4" s="179"/>
      <c r="P4" s="179"/>
    </row>
    <row r="5" spans="1:16" x14ac:dyDescent="0.15">
      <c r="A5" s="179"/>
      <c r="B5" s="183"/>
      <c r="C5" s="179"/>
      <c r="D5" s="179"/>
      <c r="E5" s="179"/>
      <c r="F5" s="179"/>
      <c r="G5" s="179"/>
      <c r="H5" s="179"/>
      <c r="I5" s="179"/>
      <c r="J5" s="179"/>
      <c r="K5" s="179"/>
      <c r="L5" s="179"/>
      <c r="M5" s="179"/>
      <c r="N5" s="179"/>
      <c r="O5" s="179"/>
      <c r="P5" s="179"/>
    </row>
    <row r="6" spans="1:16" x14ac:dyDescent="0.15">
      <c r="A6" s="179"/>
      <c r="B6" s="179"/>
      <c r="C6" s="472" t="s">
        <v>189</v>
      </c>
      <c r="D6" s="472"/>
      <c r="E6" s="472"/>
      <c r="F6" s="472"/>
      <c r="G6" s="472"/>
      <c r="H6" s="472"/>
      <c r="I6" s="472"/>
      <c r="J6" s="472"/>
      <c r="K6" s="472"/>
      <c r="L6" s="472"/>
      <c r="M6" s="472"/>
      <c r="N6" s="472"/>
      <c r="O6" s="179"/>
      <c r="P6" s="179"/>
    </row>
    <row r="7" spans="1:16" ht="39.950000000000003" customHeight="1" x14ac:dyDescent="0.15">
      <c r="A7" s="179"/>
      <c r="B7" s="179"/>
      <c r="C7" s="483" t="str">
        <f>IF(反映シート!O90&lt;&gt;"",反映シート!O90,"")</f>
        <v/>
      </c>
      <c r="D7" s="484"/>
      <c r="E7" s="484"/>
      <c r="F7" s="484"/>
      <c r="G7" s="484"/>
      <c r="H7" s="484"/>
      <c r="I7" s="484"/>
      <c r="J7" s="484"/>
      <c r="K7" s="484"/>
      <c r="L7" s="484"/>
      <c r="M7" s="484"/>
      <c r="N7" s="485"/>
      <c r="O7" s="179"/>
      <c r="P7" s="179"/>
    </row>
    <row r="8" spans="1:16" x14ac:dyDescent="0.15">
      <c r="A8" s="179"/>
      <c r="B8" s="179"/>
      <c r="C8" s="179"/>
      <c r="D8" s="179"/>
      <c r="E8" s="179"/>
      <c r="F8" s="179"/>
      <c r="G8" s="180"/>
      <c r="H8" s="473"/>
      <c r="I8" s="473"/>
      <c r="J8" s="473"/>
      <c r="K8" s="473"/>
      <c r="L8" s="473"/>
      <c r="M8" s="473"/>
      <c r="N8" s="473"/>
      <c r="O8" s="179"/>
      <c r="P8" s="179"/>
    </row>
    <row r="9" spans="1:16" x14ac:dyDescent="0.15">
      <c r="A9" s="179"/>
      <c r="B9" s="179"/>
      <c r="C9" s="472" t="s">
        <v>237</v>
      </c>
      <c r="D9" s="472"/>
      <c r="E9" s="472" t="s">
        <v>238</v>
      </c>
      <c r="F9" s="472" t="s">
        <v>239</v>
      </c>
      <c r="G9" s="477" t="s">
        <v>240</v>
      </c>
      <c r="H9" s="478"/>
      <c r="I9" s="478"/>
      <c r="J9" s="478"/>
      <c r="K9" s="478"/>
      <c r="L9" s="479"/>
      <c r="M9" s="430" t="s">
        <v>241</v>
      </c>
      <c r="N9" s="431"/>
      <c r="O9" s="179"/>
      <c r="P9" s="179"/>
    </row>
    <row r="10" spans="1:16" x14ac:dyDescent="0.15">
      <c r="A10" s="179"/>
      <c r="B10" s="179"/>
      <c r="C10" s="472"/>
      <c r="D10" s="472"/>
      <c r="E10" s="472"/>
      <c r="F10" s="472"/>
      <c r="G10" s="480"/>
      <c r="H10" s="481"/>
      <c r="I10" s="481"/>
      <c r="J10" s="481"/>
      <c r="K10" s="481"/>
      <c r="L10" s="482"/>
      <c r="M10" s="475"/>
      <c r="N10" s="476"/>
      <c r="O10" s="179"/>
      <c r="P10" s="179"/>
    </row>
    <row r="11" spans="1:16" x14ac:dyDescent="0.15">
      <c r="A11" s="179"/>
      <c r="B11" s="179"/>
      <c r="C11" s="472"/>
      <c r="D11" s="472"/>
      <c r="E11" s="472"/>
      <c r="F11" s="472"/>
      <c r="G11" s="474" t="s">
        <v>242</v>
      </c>
      <c r="H11" s="465" t="s">
        <v>243</v>
      </c>
      <c r="I11" s="430" t="s">
        <v>244</v>
      </c>
      <c r="J11" s="431"/>
      <c r="K11" s="430" t="s">
        <v>245</v>
      </c>
      <c r="L11" s="431"/>
      <c r="M11" s="475"/>
      <c r="N11" s="476"/>
      <c r="O11" s="179"/>
      <c r="P11" s="179"/>
    </row>
    <row r="12" spans="1:16" ht="15.75" customHeight="1" x14ac:dyDescent="0.15">
      <c r="A12" s="179"/>
      <c r="B12" s="179"/>
      <c r="C12" s="472"/>
      <c r="D12" s="472"/>
      <c r="E12" s="472"/>
      <c r="F12" s="472"/>
      <c r="G12" s="466"/>
      <c r="H12" s="466"/>
      <c r="I12" s="432"/>
      <c r="J12" s="433"/>
      <c r="K12" s="432"/>
      <c r="L12" s="433"/>
      <c r="M12" s="432"/>
      <c r="N12" s="433"/>
      <c r="O12" s="179"/>
      <c r="P12" s="179"/>
    </row>
    <row r="13" spans="1:16" ht="39.950000000000003" customHeight="1" x14ac:dyDescent="0.15">
      <c r="A13" s="179"/>
      <c r="B13" s="179"/>
      <c r="C13" s="470" t="str">
        <f>IF(反映シート!C450&lt;&gt;"",反映シート!C450,"")</f>
        <v/>
      </c>
      <c r="D13" s="471"/>
      <c r="E13" s="184" t="str">
        <f>IF(反映シート!E450&lt;&gt;"",反映シート!E450,"")</f>
        <v/>
      </c>
      <c r="F13" s="184" t="str">
        <f>IF(反映シート!G450&lt;&gt;"",反映シート!G450,"")</f>
        <v/>
      </c>
      <c r="G13" s="184" t="str">
        <f>IF(反映シート!I450&lt;&gt;"",反映シート!I450,"")</f>
        <v/>
      </c>
      <c r="H13" s="184" t="str">
        <f>IF(反映シート!K450&lt;&gt;"",反映シート!K450,"")</f>
        <v/>
      </c>
      <c r="I13" s="486" t="str">
        <f>IF(反映シート!M450&lt;&gt;"",反映シート!M450,"")</f>
        <v/>
      </c>
      <c r="J13" s="486" t="str">
        <f>IF(入力シート!B35="","",MONTH(入力シート!B35))</f>
        <v/>
      </c>
      <c r="K13" s="486" t="str">
        <f>IF(反映シート!O450&lt;&gt;"",反映シート!O450,"")</f>
        <v/>
      </c>
      <c r="L13" s="486" t="str">
        <f>IF(入力シート!B35="","",DAY(入力シート!B35))</f>
        <v/>
      </c>
      <c r="M13" s="486" t="str">
        <f>IF(反映シート!Q450&lt;&gt;"",反映シート!Q450,"")</f>
        <v/>
      </c>
      <c r="N13" s="486"/>
      <c r="O13" s="179"/>
      <c r="P13" s="179"/>
    </row>
    <row r="14" spans="1:16" ht="39.950000000000003" customHeight="1" x14ac:dyDescent="0.15">
      <c r="A14" s="179"/>
      <c r="B14" s="179"/>
      <c r="C14" s="470" t="str">
        <f>IF(反映シート!C452&lt;&gt;"",反映シート!C452,"")</f>
        <v/>
      </c>
      <c r="D14" s="471"/>
      <c r="E14" s="184" t="str">
        <f>IF(反映シート!E452&lt;&gt;"",反映シート!E452,"")</f>
        <v/>
      </c>
      <c r="F14" s="184" t="str">
        <f>IF(反映シート!G452&lt;&gt;"",反映シート!G452,"")</f>
        <v/>
      </c>
      <c r="G14" s="184" t="str">
        <f>IF(反映シート!I452&lt;&gt;"",反映シート!I452,"")</f>
        <v/>
      </c>
      <c r="H14" s="184" t="str">
        <f>IF(反映シート!K452&lt;&gt;"",反映シート!K452,"")</f>
        <v/>
      </c>
      <c r="I14" s="486" t="str">
        <f>IF(反映シート!M452&lt;&gt;"",反映シート!M452,"")</f>
        <v/>
      </c>
      <c r="J14" s="486" t="str">
        <f>IF(入力シート!B36="","",MONTH(入力シート!B36))</f>
        <v/>
      </c>
      <c r="K14" s="486" t="str">
        <f>IF(反映シート!O452&lt;&gt;"",反映シート!O452,"")</f>
        <v/>
      </c>
      <c r="L14" s="486" t="str">
        <f>IF(入力シート!B36="","",DAY(入力シート!B36))</f>
        <v/>
      </c>
      <c r="M14" s="486" t="str">
        <f>IF(反映シート!Q452&lt;&gt;"",反映シート!Q452,"")</f>
        <v/>
      </c>
      <c r="N14" s="486"/>
      <c r="O14" s="179"/>
      <c r="P14" s="179"/>
    </row>
    <row r="15" spans="1:16" ht="39.950000000000003" customHeight="1" x14ac:dyDescent="0.15">
      <c r="A15" s="179"/>
      <c r="B15" s="179"/>
      <c r="C15" s="470" t="str">
        <f>IF(反映シート!C454&lt;&gt;"",反映シート!C454,"")</f>
        <v/>
      </c>
      <c r="D15" s="471"/>
      <c r="E15" s="184" t="str">
        <f>IF(反映シート!E454&lt;&gt;"",反映シート!E454,"")</f>
        <v/>
      </c>
      <c r="F15" s="184" t="str">
        <f>IF(反映シート!G454&lt;&gt;"",反映シート!G454,"")</f>
        <v/>
      </c>
      <c r="G15" s="184" t="str">
        <f>IF(反映シート!I454&lt;&gt;"",反映シート!I454,"")</f>
        <v/>
      </c>
      <c r="H15" s="184" t="str">
        <f>IF(反映シート!K454&lt;&gt;"",反映シート!K454,"")</f>
        <v/>
      </c>
      <c r="I15" s="486" t="str">
        <f>IF(反映シート!M454&lt;&gt;"",反映シート!M454,"")</f>
        <v/>
      </c>
      <c r="J15" s="486" t="e">
        <f>IF(入力シート!#REF!="","",MONTH(入力シート!#REF!))</f>
        <v>#REF!</v>
      </c>
      <c r="K15" s="486" t="str">
        <f>IF(反映シート!O454&lt;&gt;"",反映シート!O454,"")</f>
        <v/>
      </c>
      <c r="L15" s="486" t="e">
        <f>IF(入力シート!#REF!="","",DAY(入力シート!#REF!))</f>
        <v>#REF!</v>
      </c>
      <c r="M15" s="486" t="str">
        <f>IF(反映シート!Q454&lt;&gt;"",反映シート!Q454,"")</f>
        <v/>
      </c>
      <c r="N15" s="486"/>
      <c r="O15" s="179"/>
      <c r="P15" s="179"/>
    </row>
    <row r="16" spans="1:16" ht="39.950000000000003" customHeight="1" x14ac:dyDescent="0.15">
      <c r="A16" s="179"/>
      <c r="B16" s="183"/>
      <c r="C16" s="470" t="str">
        <f>IF(反映シート!C456&lt;&gt;"",反映シート!C456,"")</f>
        <v/>
      </c>
      <c r="D16" s="471"/>
      <c r="E16" s="184" t="str">
        <f>IF(反映シート!E456&lt;&gt;"",反映シート!E456,"")</f>
        <v/>
      </c>
      <c r="F16" s="184" t="str">
        <f>IF(反映シート!G456&lt;&gt;"",反映シート!G456,"")</f>
        <v/>
      </c>
      <c r="G16" s="184" t="str">
        <f>IF(反映シート!I456&lt;&gt;"",反映シート!I456,"")</f>
        <v/>
      </c>
      <c r="H16" s="184" t="str">
        <f>IF(反映シート!K456&lt;&gt;"",反映シート!K456,"")</f>
        <v/>
      </c>
      <c r="I16" s="486" t="str">
        <f>IF(反映シート!M456&lt;&gt;"",反映シート!M456,"")</f>
        <v/>
      </c>
      <c r="J16" s="486" t="str">
        <f>IF(入力シート!B38="","",MONTH(入力シート!B38))</f>
        <v/>
      </c>
      <c r="K16" s="486" t="str">
        <f>IF(反映シート!O456&lt;&gt;"",反映シート!O456,"")</f>
        <v/>
      </c>
      <c r="L16" s="486" t="str">
        <f>IF(入力シート!B38="","",DAY(入力シート!B38))</f>
        <v/>
      </c>
      <c r="M16" s="486" t="str">
        <f>IF(反映シート!Q456&lt;&gt;"",反映シート!Q456,"")</f>
        <v/>
      </c>
      <c r="N16" s="486"/>
      <c r="O16" s="179"/>
      <c r="P16" s="179"/>
    </row>
    <row r="17" spans="1:16" ht="39.950000000000003" customHeight="1" x14ac:dyDescent="0.15">
      <c r="A17" s="179"/>
      <c r="B17" s="183"/>
      <c r="C17" s="470" t="str">
        <f>IF(反映シート!C458&lt;&gt;"",反映シート!C458,"")</f>
        <v/>
      </c>
      <c r="D17" s="471"/>
      <c r="E17" s="184" t="str">
        <f>IF(反映シート!E458&lt;&gt;"",反映シート!E458,"")</f>
        <v/>
      </c>
      <c r="F17" s="184" t="str">
        <f>IF(反映シート!G458&lt;&gt;"",反映シート!G458,"")</f>
        <v/>
      </c>
      <c r="G17" s="184" t="str">
        <f>IF(反映シート!I458&lt;&gt;"",反映シート!I458,"")</f>
        <v/>
      </c>
      <c r="H17" s="184" t="str">
        <f>IF(反映シート!K458&lt;&gt;"",反映シート!K458,"")</f>
        <v/>
      </c>
      <c r="I17" s="486" t="str">
        <f>IF(反映シート!M458&lt;&gt;"",反映シート!M458,"")</f>
        <v/>
      </c>
      <c r="J17" s="486" t="e">
        <f>IF(入力シート!#REF!="","",MONTH(入力シート!#REF!))</f>
        <v>#REF!</v>
      </c>
      <c r="K17" s="486" t="str">
        <f>IF(反映シート!O458&lt;&gt;"",反映シート!O458,"")</f>
        <v/>
      </c>
      <c r="L17" s="486" t="e">
        <f>IF(入力シート!#REF!="","",DAY(入力シート!#REF!))</f>
        <v>#REF!</v>
      </c>
      <c r="M17" s="486" t="str">
        <f>IF(反映シート!Q458&lt;&gt;"",反映シート!Q458,"")</f>
        <v/>
      </c>
      <c r="N17" s="486"/>
      <c r="O17" s="179"/>
      <c r="P17" s="179"/>
    </row>
    <row r="18" spans="1:16" ht="39.950000000000003" customHeight="1" x14ac:dyDescent="0.15">
      <c r="A18" s="179"/>
      <c r="B18" s="183"/>
      <c r="C18" s="470" t="str">
        <f>IF(反映シート!C460&lt;&gt;"",反映シート!C460,"")</f>
        <v/>
      </c>
      <c r="D18" s="471"/>
      <c r="E18" s="184" t="str">
        <f>IF(反映シート!E460&lt;&gt;"",反映シート!E460,"")</f>
        <v/>
      </c>
      <c r="F18" s="184" t="str">
        <f>IF(反映シート!G460&lt;&gt;"",反映シート!G460,"")</f>
        <v/>
      </c>
      <c r="G18" s="184" t="str">
        <f>IF(反映シート!I460&lt;&gt;"",反映シート!I460,"")</f>
        <v/>
      </c>
      <c r="H18" s="184" t="str">
        <f>IF(反映シート!K460&lt;&gt;"",反映シート!K460,"")</f>
        <v/>
      </c>
      <c r="I18" s="486" t="str">
        <f>IF(反映シート!M460&lt;&gt;"",反映シート!M460,"")</f>
        <v/>
      </c>
      <c r="J18" s="486" t="str">
        <f>IF(入力シート!B40="","",MONTH(入力シート!B40))</f>
        <v/>
      </c>
      <c r="K18" s="486" t="str">
        <f>IF(反映シート!O460&lt;&gt;"",反映シート!O460,"")</f>
        <v/>
      </c>
      <c r="L18" s="486" t="str">
        <f>IF(入力シート!B40="","",DAY(入力シート!B40))</f>
        <v/>
      </c>
      <c r="M18" s="486" t="str">
        <f>IF(反映シート!Q460&lt;&gt;"",反映シート!Q460,"")</f>
        <v/>
      </c>
      <c r="N18" s="486"/>
      <c r="O18" s="179"/>
      <c r="P18" s="179"/>
    </row>
    <row r="19" spans="1:16" ht="39.950000000000003" customHeight="1" x14ac:dyDescent="0.15">
      <c r="A19" s="179"/>
      <c r="B19" s="183"/>
      <c r="C19" s="470" t="str">
        <f>IF(反映シート!C462&lt;&gt;"",反映シート!C462,"")</f>
        <v/>
      </c>
      <c r="D19" s="471"/>
      <c r="E19" s="184" t="str">
        <f>IF(反映シート!E462&lt;&gt;"",反映シート!E462,"")</f>
        <v/>
      </c>
      <c r="F19" s="184" t="str">
        <f>IF(反映シート!G462&lt;&gt;"",反映シート!G462,"")</f>
        <v/>
      </c>
      <c r="G19" s="184" t="str">
        <f>IF(反映シート!I462&lt;&gt;"",反映シート!I462,"")</f>
        <v/>
      </c>
      <c r="H19" s="184" t="str">
        <f>IF(反映シート!K462&lt;&gt;"",反映シート!K462,"")</f>
        <v/>
      </c>
      <c r="I19" s="486" t="str">
        <f>IF(反映シート!M462&lt;&gt;"",反映シート!M462,"")</f>
        <v/>
      </c>
      <c r="J19" s="486" t="e">
        <f>IF(入力シート!#REF!="","",MONTH(入力シート!#REF!))</f>
        <v>#REF!</v>
      </c>
      <c r="K19" s="486" t="str">
        <f>IF(反映シート!O462&lt;&gt;"",反映シート!O462,"")</f>
        <v/>
      </c>
      <c r="L19" s="486" t="e">
        <f>IF(入力シート!#REF!="","",DAY(入力シート!#REF!))</f>
        <v>#REF!</v>
      </c>
      <c r="M19" s="486" t="str">
        <f>IF(反映シート!Q462&lt;&gt;"",反映シート!Q462,"")</f>
        <v/>
      </c>
      <c r="N19" s="486"/>
      <c r="O19" s="179"/>
      <c r="P19" s="179"/>
    </row>
    <row r="20" spans="1:16" ht="39.950000000000003" customHeight="1" x14ac:dyDescent="0.15">
      <c r="A20" s="179"/>
      <c r="B20" s="179"/>
      <c r="C20" s="470" t="str">
        <f>IF(反映シート!C464&lt;&gt;"",反映シート!C464,"")</f>
        <v/>
      </c>
      <c r="D20" s="471"/>
      <c r="E20" s="184" t="str">
        <f>IF(反映シート!E464&lt;&gt;"",反映シート!E464,"")</f>
        <v/>
      </c>
      <c r="F20" s="184" t="str">
        <f>IF(反映シート!G464&lt;&gt;"",反映シート!G464,"")</f>
        <v/>
      </c>
      <c r="G20" s="184" t="str">
        <f>IF(反映シート!I464&lt;&gt;"",反映シート!I464,"")</f>
        <v/>
      </c>
      <c r="H20" s="184" t="str">
        <f>IF(反映シート!K464&lt;&gt;"",反映シート!K464,"")</f>
        <v/>
      </c>
      <c r="I20" s="486" t="str">
        <f>IF(反映シート!M464&lt;&gt;"",反映シート!M464,"")</f>
        <v/>
      </c>
      <c r="J20" s="486" t="str">
        <f>IF(入力シート!B42="","",MONTH(入力シート!B42))</f>
        <v/>
      </c>
      <c r="K20" s="486" t="str">
        <f>IF(反映シート!O464&lt;&gt;"",反映シート!O464,"")</f>
        <v/>
      </c>
      <c r="L20" s="486" t="str">
        <f>IF(入力シート!B42="","",DAY(入力シート!B42))</f>
        <v/>
      </c>
      <c r="M20" s="486" t="str">
        <f>IF(反映シート!Q464&lt;&gt;"",反映シート!Q464,"")</f>
        <v/>
      </c>
      <c r="N20" s="486"/>
      <c r="O20" s="179"/>
      <c r="P20" s="179"/>
    </row>
    <row r="21" spans="1:16" ht="39.950000000000003" customHeight="1" x14ac:dyDescent="0.15">
      <c r="A21" s="179"/>
      <c r="B21" s="179"/>
      <c r="C21" s="470" t="str">
        <f>IF(反映シート!C466&lt;&gt;"",反映シート!C466,"")</f>
        <v/>
      </c>
      <c r="D21" s="471"/>
      <c r="E21" s="184" t="str">
        <f>IF(反映シート!E466&lt;&gt;"",反映シート!E466,"")</f>
        <v/>
      </c>
      <c r="F21" s="184" t="str">
        <f>IF(反映シート!G466&lt;&gt;"",反映シート!G466,"")</f>
        <v/>
      </c>
      <c r="G21" s="184" t="str">
        <f>IF(反映シート!I466&lt;&gt;"",反映シート!I466,"")</f>
        <v/>
      </c>
      <c r="H21" s="184" t="str">
        <f>IF(反映シート!K466&lt;&gt;"",反映シート!K466,"")</f>
        <v/>
      </c>
      <c r="I21" s="486" t="str">
        <f>IF(反映シート!M466&lt;&gt;"",反映シート!M466,"")</f>
        <v/>
      </c>
      <c r="J21" s="486" t="e">
        <f>IF(入力シート!#REF!="","",MONTH(入力シート!#REF!))</f>
        <v>#REF!</v>
      </c>
      <c r="K21" s="486" t="str">
        <f>IF(反映シート!O466&lt;&gt;"",反映シート!O466,"")</f>
        <v/>
      </c>
      <c r="L21" s="486" t="e">
        <f>IF(入力シート!#REF!="","",DAY(入力シート!#REF!))</f>
        <v>#REF!</v>
      </c>
      <c r="M21" s="486" t="str">
        <f>IF(反映シート!Q466&lt;&gt;"",反映シート!Q466,"")</f>
        <v/>
      </c>
      <c r="N21" s="486"/>
      <c r="O21" s="179"/>
      <c r="P21" s="179"/>
    </row>
    <row r="22" spans="1:16" ht="39.950000000000003" customHeight="1" x14ac:dyDescent="0.15">
      <c r="A22" s="179"/>
      <c r="B22" s="179"/>
      <c r="C22" s="470" t="str">
        <f>IF(反映シート!C468&lt;&gt;"",反映シート!C468,"")</f>
        <v/>
      </c>
      <c r="D22" s="471"/>
      <c r="E22" s="184" t="str">
        <f>IF(反映シート!E468&lt;&gt;"",反映シート!E468,"")</f>
        <v/>
      </c>
      <c r="F22" s="184" t="str">
        <f>IF(反映シート!G468&lt;&gt;"",反映シート!G468,"")</f>
        <v/>
      </c>
      <c r="G22" s="184" t="str">
        <f>IF(反映シート!I468&lt;&gt;"",反映シート!I468,"")</f>
        <v/>
      </c>
      <c r="H22" s="184" t="str">
        <f>IF(反映シート!K468&lt;&gt;"",反映シート!K468,"")</f>
        <v/>
      </c>
      <c r="I22" s="486" t="str">
        <f>IF(反映シート!M468&lt;&gt;"",反映シート!M468,"")</f>
        <v/>
      </c>
      <c r="J22" s="486" t="str">
        <f>IF(入力シート!B44="","",MONTH(入力シート!B44))</f>
        <v/>
      </c>
      <c r="K22" s="486" t="str">
        <f>IF(反映シート!O468&lt;&gt;"",反映シート!O468,"")</f>
        <v/>
      </c>
      <c r="L22" s="486" t="str">
        <f>IF(入力シート!B44="","",DAY(入力シート!B44))</f>
        <v/>
      </c>
      <c r="M22" s="486" t="str">
        <f>IF(反映シート!Q468&lt;&gt;"",反映シート!Q468,"")</f>
        <v/>
      </c>
      <c r="N22" s="486"/>
      <c r="O22" s="179"/>
      <c r="P22" s="179"/>
    </row>
    <row r="23" spans="1:16" ht="39.950000000000003" customHeight="1" x14ac:dyDescent="0.15">
      <c r="A23" s="179"/>
      <c r="B23" s="183"/>
      <c r="C23" s="470" t="str">
        <f>IF(反映シート!C470&lt;&gt;"",反映シート!C470,"")</f>
        <v/>
      </c>
      <c r="D23" s="471"/>
      <c r="E23" s="184" t="str">
        <f>IF(反映シート!E470&lt;&gt;"",反映シート!E470,"")</f>
        <v/>
      </c>
      <c r="F23" s="184" t="str">
        <f>IF(反映シート!G470&lt;&gt;"",反映シート!G470,"")</f>
        <v/>
      </c>
      <c r="G23" s="184" t="str">
        <f>IF(反映シート!I470&lt;&gt;"",反映シート!I470,"")</f>
        <v/>
      </c>
      <c r="H23" s="184" t="str">
        <f>IF(反映シート!K470&lt;&gt;"",反映シート!K470,"")</f>
        <v/>
      </c>
      <c r="I23" s="486" t="str">
        <f>IF(反映シート!M470&lt;&gt;"",反映シート!M470,"")</f>
        <v/>
      </c>
      <c r="J23" s="486" t="e">
        <f>IF(入力シート!#REF!="","",MONTH(入力シート!#REF!))</f>
        <v>#REF!</v>
      </c>
      <c r="K23" s="486" t="str">
        <f>IF(反映シート!O470&lt;&gt;"",反映シート!O470,"")</f>
        <v/>
      </c>
      <c r="L23" s="486" t="e">
        <f>IF(入力シート!#REF!="","",DAY(入力シート!#REF!))</f>
        <v>#REF!</v>
      </c>
      <c r="M23" s="486" t="str">
        <f>IF(反映シート!Q470&lt;&gt;"",反映シート!Q470,"")</f>
        <v/>
      </c>
      <c r="N23" s="486"/>
      <c r="O23" s="179"/>
      <c r="P23" s="179"/>
    </row>
    <row r="24" spans="1:16" ht="39.950000000000003" customHeight="1" x14ac:dyDescent="0.15">
      <c r="A24" s="179"/>
      <c r="B24" s="179"/>
      <c r="C24" s="470" t="str">
        <f>IF(反映シート!C472&lt;&gt;"",反映シート!C472,"")</f>
        <v/>
      </c>
      <c r="D24" s="471"/>
      <c r="E24" s="184" t="str">
        <f>IF(反映シート!E472&lt;&gt;"",反映シート!E472,"")</f>
        <v/>
      </c>
      <c r="F24" s="184" t="str">
        <f>IF(反映シート!G472&lt;&gt;"",反映シート!G472,"")</f>
        <v/>
      </c>
      <c r="G24" s="184" t="str">
        <f>IF(反映シート!I472&lt;&gt;"",反映シート!I472,"")</f>
        <v/>
      </c>
      <c r="H24" s="184" t="str">
        <f>IF(反映シート!K472&lt;&gt;"",反映シート!K472,"")</f>
        <v/>
      </c>
      <c r="I24" s="486" t="str">
        <f>IF(反映シート!M472&lt;&gt;"",反映シート!M472,"")</f>
        <v/>
      </c>
      <c r="J24" s="486" t="str">
        <f>IF(入力シート!B46="","",MONTH(入力シート!B46))</f>
        <v/>
      </c>
      <c r="K24" s="486" t="str">
        <f>IF(反映シート!O472&lt;&gt;"",反映シート!O472,"")</f>
        <v/>
      </c>
      <c r="L24" s="486" t="str">
        <f>IF(入力シート!B46="","",DAY(入力シート!B46))</f>
        <v/>
      </c>
      <c r="M24" s="486" t="str">
        <f>IF(反映シート!Q472&lt;&gt;"",反映シート!Q472,"")</f>
        <v/>
      </c>
      <c r="N24" s="486"/>
      <c r="O24" s="179"/>
      <c r="P24" s="179"/>
    </row>
    <row r="25" spans="1:16" ht="39.950000000000003" customHeight="1" x14ac:dyDescent="0.15">
      <c r="A25" s="179"/>
      <c r="B25" s="179"/>
      <c r="C25" s="470" t="str">
        <f>IF(反映シート!C474&lt;&gt;"",反映シート!C474,"")</f>
        <v/>
      </c>
      <c r="D25" s="471"/>
      <c r="E25" s="184" t="str">
        <f>IF(反映シート!E474&lt;&gt;"",反映シート!E474,"")</f>
        <v/>
      </c>
      <c r="F25" s="184" t="str">
        <f>IF(反映シート!G474&lt;&gt;"",反映シート!G474,"")</f>
        <v/>
      </c>
      <c r="G25" s="184" t="str">
        <f>IF(反映シート!I474&lt;&gt;"",反映シート!I474,"")</f>
        <v/>
      </c>
      <c r="H25" s="184" t="str">
        <f>IF(反映シート!K474&lt;&gt;"",反映シート!K474,"")</f>
        <v/>
      </c>
      <c r="I25" s="486" t="str">
        <f>IF(反映シート!M474&lt;&gt;"",反映シート!M474,"")</f>
        <v/>
      </c>
      <c r="J25" s="486" t="e">
        <f>IF(入力シート!#REF!="","",MONTH(入力シート!#REF!))</f>
        <v>#REF!</v>
      </c>
      <c r="K25" s="486" t="str">
        <f>IF(反映シート!O474&lt;&gt;"",反映シート!O474,"")</f>
        <v/>
      </c>
      <c r="L25" s="486" t="e">
        <f>IF(入力シート!#REF!="","",DAY(入力シート!#REF!))</f>
        <v>#REF!</v>
      </c>
      <c r="M25" s="486" t="str">
        <f>IF(反映シート!Q474&lt;&gt;"",反映シート!Q474,"")</f>
        <v/>
      </c>
      <c r="N25" s="486"/>
      <c r="O25" s="179"/>
      <c r="P25" s="179"/>
    </row>
    <row r="26" spans="1:16" ht="39.950000000000003" customHeight="1" x14ac:dyDescent="0.15">
      <c r="A26" s="179"/>
      <c r="B26" s="183"/>
      <c r="C26" s="470" t="str">
        <f>IF(反映シート!C476&lt;&gt;"",反映シート!C476,"")</f>
        <v/>
      </c>
      <c r="D26" s="471"/>
      <c r="E26" s="184" t="str">
        <f>IF(反映シート!E476&lt;&gt;"",反映シート!E476,"")</f>
        <v/>
      </c>
      <c r="F26" s="184" t="str">
        <f>IF(反映シート!G476&lt;&gt;"",反映シート!G476,"")</f>
        <v/>
      </c>
      <c r="G26" s="184" t="str">
        <f>IF(反映シート!I476&lt;&gt;"",反映シート!I476,"")</f>
        <v/>
      </c>
      <c r="H26" s="184" t="str">
        <f>IF(反映シート!K476&lt;&gt;"",反映シート!K476,"")</f>
        <v/>
      </c>
      <c r="I26" s="486" t="str">
        <f>IF(反映シート!M476&lt;&gt;"",反映シート!M476,"")</f>
        <v/>
      </c>
      <c r="J26" s="486" t="str">
        <f>IF(入力シート!B51="","",MONTH(入力シート!B51))</f>
        <v/>
      </c>
      <c r="K26" s="486" t="str">
        <f>IF(反映シート!O476&lt;&gt;"",反映シート!O476,"")</f>
        <v/>
      </c>
      <c r="L26" s="486" t="str">
        <f>IF(入力シート!B51="","",DAY(入力シート!B51))</f>
        <v/>
      </c>
      <c r="M26" s="486" t="str">
        <f>IF(反映シート!Q476&lt;&gt;"",反映シート!Q476,"")</f>
        <v/>
      </c>
      <c r="N26" s="486"/>
      <c r="O26" s="179"/>
      <c r="P26" s="179"/>
    </row>
    <row r="27" spans="1:16" ht="39.950000000000003" customHeight="1" x14ac:dyDescent="0.15">
      <c r="A27" s="179"/>
      <c r="B27" s="179"/>
      <c r="C27" s="470" t="str">
        <f>IF(反映シート!C478&lt;&gt;"",反映シート!C478,"")</f>
        <v/>
      </c>
      <c r="D27" s="471"/>
      <c r="E27" s="184" t="str">
        <f>IF(反映シート!E478&lt;&gt;"",反映シート!E478,"")</f>
        <v/>
      </c>
      <c r="F27" s="184" t="str">
        <f>IF(反映シート!G478&lt;&gt;"",反映シート!G478,"")</f>
        <v/>
      </c>
      <c r="G27" s="184" t="str">
        <f>IF(反映シート!I478&lt;&gt;"",反映シート!I478,"")</f>
        <v/>
      </c>
      <c r="H27" s="184" t="str">
        <f>IF(反映シート!K478&lt;&gt;"",反映シート!K478,"")</f>
        <v/>
      </c>
      <c r="I27" s="486" t="str">
        <f>IF(反映シート!M478&lt;&gt;"",反映シート!M478,"")</f>
        <v/>
      </c>
      <c r="J27" s="486" t="str">
        <f>IF(入力シート!B52="","",MONTH(入力シート!B52))</f>
        <v/>
      </c>
      <c r="K27" s="486" t="str">
        <f>IF(反映シート!O478&lt;&gt;"",反映シート!O478,"")</f>
        <v/>
      </c>
      <c r="L27" s="486" t="str">
        <f>IF(入力シート!B52="","",DAY(入力シート!B52))</f>
        <v/>
      </c>
      <c r="M27" s="486" t="str">
        <f>IF(反映シート!Q478&lt;&gt;"",反映シート!Q478,"")</f>
        <v/>
      </c>
      <c r="N27" s="486"/>
      <c r="O27" s="179"/>
      <c r="P27" s="179"/>
    </row>
    <row r="28" spans="1:16" x14ac:dyDescent="0.15">
      <c r="A28" s="179"/>
      <c r="B28" s="179"/>
      <c r="C28" s="179" t="s">
        <v>246</v>
      </c>
      <c r="D28" s="179"/>
      <c r="E28" s="179"/>
      <c r="F28" s="179"/>
      <c r="G28" s="179"/>
      <c r="H28" s="179"/>
      <c r="I28" s="179"/>
      <c r="J28" s="179"/>
      <c r="K28" s="179"/>
      <c r="L28" s="179"/>
      <c r="M28" s="179"/>
      <c r="N28" s="179"/>
      <c r="O28" s="179"/>
      <c r="P28" s="179"/>
    </row>
    <row r="29" spans="1:16" x14ac:dyDescent="0.15">
      <c r="A29" s="179"/>
      <c r="B29" s="183"/>
      <c r="C29" s="179"/>
      <c r="D29" s="179" t="s">
        <v>247</v>
      </c>
      <c r="E29" s="179"/>
      <c r="F29" s="179"/>
      <c r="G29" s="179"/>
      <c r="H29" s="179"/>
      <c r="I29" s="179"/>
      <c r="J29" s="179"/>
      <c r="K29" s="179"/>
      <c r="L29" s="179"/>
      <c r="M29" s="179"/>
      <c r="N29" s="179"/>
      <c r="O29" s="179"/>
      <c r="P29" s="179"/>
    </row>
    <row r="30" spans="1:16" x14ac:dyDescent="0.15">
      <c r="A30" s="179"/>
      <c r="B30" s="179"/>
      <c r="C30" s="183"/>
      <c r="D30" s="179" t="s">
        <v>248</v>
      </c>
      <c r="E30" s="179"/>
      <c r="F30" s="179"/>
      <c r="G30" s="179"/>
      <c r="H30" s="179"/>
      <c r="I30" s="179"/>
      <c r="J30" s="179"/>
      <c r="K30" s="179"/>
      <c r="L30" s="179"/>
      <c r="M30" s="179"/>
      <c r="N30" s="179"/>
      <c r="O30" s="179"/>
      <c r="P30" s="179"/>
    </row>
    <row r="31" spans="1:16" x14ac:dyDescent="0.15">
      <c r="A31" s="179"/>
      <c r="B31" s="179"/>
      <c r="C31" s="183"/>
      <c r="D31" s="179" t="s">
        <v>249</v>
      </c>
      <c r="E31" s="179"/>
      <c r="F31" s="179"/>
      <c r="G31" s="179"/>
      <c r="H31" s="179"/>
      <c r="I31" s="179"/>
      <c r="J31" s="179"/>
      <c r="K31" s="179"/>
      <c r="L31" s="179"/>
      <c r="M31" s="179"/>
      <c r="N31" s="179"/>
      <c r="O31" s="179"/>
      <c r="P31" s="179"/>
    </row>
    <row r="32" spans="1:16" x14ac:dyDescent="0.15">
      <c r="A32" s="179"/>
      <c r="B32" s="179"/>
      <c r="C32" s="179"/>
      <c r="D32" s="179" t="s">
        <v>250</v>
      </c>
      <c r="E32" s="179"/>
      <c r="F32" s="179"/>
      <c r="G32" s="179"/>
      <c r="H32" s="179"/>
      <c r="I32" s="179"/>
      <c r="J32" s="179"/>
      <c r="K32" s="179"/>
      <c r="L32" s="179"/>
      <c r="M32" s="179"/>
      <c r="N32" s="179"/>
      <c r="O32" s="179"/>
      <c r="P32" s="179"/>
    </row>
    <row r="33" spans="1:16" x14ac:dyDescent="0.15">
      <c r="A33" s="179"/>
      <c r="B33" s="183"/>
      <c r="C33" s="179"/>
      <c r="D33" s="179"/>
      <c r="E33" s="179"/>
      <c r="F33" s="179"/>
      <c r="G33" s="179"/>
      <c r="H33" s="179"/>
      <c r="I33" s="179"/>
      <c r="J33" s="179"/>
      <c r="K33" s="179"/>
      <c r="L33" s="179"/>
      <c r="M33" s="179"/>
      <c r="N33" s="179"/>
      <c r="O33" s="179"/>
      <c r="P33" s="179"/>
    </row>
    <row r="34" spans="1:16" x14ac:dyDescent="0.15">
      <c r="C34" s="186"/>
    </row>
    <row r="36" spans="1:16" x14ac:dyDescent="0.15">
      <c r="B36" s="186"/>
    </row>
    <row r="37" spans="1:16" x14ac:dyDescent="0.15">
      <c r="F37" s="469"/>
      <c r="G37" s="469"/>
    </row>
    <row r="38" spans="1:16" x14ac:dyDescent="0.15">
      <c r="C38" s="186"/>
      <c r="F38" s="187"/>
      <c r="G38" s="187"/>
    </row>
    <row r="40" spans="1:16" x14ac:dyDescent="0.15">
      <c r="C40" s="186"/>
    </row>
    <row r="41" spans="1:16" x14ac:dyDescent="0.15">
      <c r="C41" s="186"/>
      <c r="D41" s="186"/>
    </row>
    <row r="42" spans="1:16" x14ac:dyDescent="0.15">
      <c r="C42" s="186"/>
      <c r="D42" s="186"/>
    </row>
    <row r="43" spans="1:16" x14ac:dyDescent="0.15">
      <c r="C43" s="186"/>
    </row>
    <row r="44" spans="1:16" x14ac:dyDescent="0.15">
      <c r="C44" s="186"/>
    </row>
    <row r="46" spans="1:16" x14ac:dyDescent="0.15">
      <c r="C46" s="188"/>
    </row>
  </sheetData>
  <sheetProtection algorithmName="SHA-512" hashValue="otn5ls6xELQq2BEWdDETqsQp090NT2rgj+cqDhyBFvVRzvgaJeTGQ+4SqL/KerNVp5OLOYBvvbdrF0uX+4pDRQ==" saltValue="C4a/org6Zr8Nj2Jf53jl+A==" spinCount="100000" sheet="1" objects="1" scenarios="1" selectLockedCells="1"/>
  <mergeCells count="74">
    <mergeCell ref="K2:M2"/>
    <mergeCell ref="C6:N6"/>
    <mergeCell ref="C7:N7"/>
    <mergeCell ref="H8:N8"/>
    <mergeCell ref="C9:D12"/>
    <mergeCell ref="E9:E12"/>
    <mergeCell ref="F9:F12"/>
    <mergeCell ref="G9:L10"/>
    <mergeCell ref="M9:N12"/>
    <mergeCell ref="G11:G12"/>
    <mergeCell ref="C15:D15"/>
    <mergeCell ref="I15:J15"/>
    <mergeCell ref="K15:L15"/>
    <mergeCell ref="M15:N15"/>
    <mergeCell ref="H11:H12"/>
    <mergeCell ref="I11:J12"/>
    <mergeCell ref="K11:L12"/>
    <mergeCell ref="C13:D13"/>
    <mergeCell ref="I13:J13"/>
    <mergeCell ref="K13:L13"/>
    <mergeCell ref="M13:N13"/>
    <mergeCell ref="C14:D14"/>
    <mergeCell ref="I14:J14"/>
    <mergeCell ref="K14:L14"/>
    <mergeCell ref="M14:N14"/>
    <mergeCell ref="C16:D16"/>
    <mergeCell ref="I16:J16"/>
    <mergeCell ref="K16:L16"/>
    <mergeCell ref="M16:N16"/>
    <mergeCell ref="C17:D17"/>
    <mergeCell ref="I17:J17"/>
    <mergeCell ref="K17:L17"/>
    <mergeCell ref="M17:N17"/>
    <mergeCell ref="C18:D18"/>
    <mergeCell ref="I18:J18"/>
    <mergeCell ref="K18:L18"/>
    <mergeCell ref="M18:N18"/>
    <mergeCell ref="C19:D19"/>
    <mergeCell ref="I19:J19"/>
    <mergeCell ref="K19:L19"/>
    <mergeCell ref="M19:N19"/>
    <mergeCell ref="C20:D20"/>
    <mergeCell ref="I20:J20"/>
    <mergeCell ref="K20:L20"/>
    <mergeCell ref="M20:N20"/>
    <mergeCell ref="C21:D21"/>
    <mergeCell ref="I21:J21"/>
    <mergeCell ref="K21:L21"/>
    <mergeCell ref="M21:N21"/>
    <mergeCell ref="C22:D22"/>
    <mergeCell ref="I22:J22"/>
    <mergeCell ref="K22:L22"/>
    <mergeCell ref="M22:N22"/>
    <mergeCell ref="C23:D23"/>
    <mergeCell ref="I23:J23"/>
    <mergeCell ref="K23:L23"/>
    <mergeCell ref="M23:N23"/>
    <mergeCell ref="C24:D24"/>
    <mergeCell ref="I24:J24"/>
    <mergeCell ref="K24:L24"/>
    <mergeCell ref="M24:N24"/>
    <mergeCell ref="C25:D25"/>
    <mergeCell ref="I25:J25"/>
    <mergeCell ref="K25:L25"/>
    <mergeCell ref="M25:N25"/>
    <mergeCell ref="F37:G37"/>
    <mergeCell ref="C26:D26"/>
    <mergeCell ref="I26:J26"/>
    <mergeCell ref="K26:L26"/>
    <mergeCell ref="M26:N26"/>
    <mergeCell ref="C27:D27"/>
    <mergeCell ref="I27:J27"/>
    <mergeCell ref="K27:L27"/>
    <mergeCell ref="M27:N27"/>
  </mergeCells>
  <phoneticPr fontId="5"/>
  <pageMargins left="0.7" right="0.7" top="0.75" bottom="0.75" header="0.3" footer="0.3"/>
  <pageSetup paperSize="9" scale="9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P46"/>
  <sheetViews>
    <sheetView workbookViewId="0">
      <selection activeCell="ZZ1" sqref="ZZ1"/>
    </sheetView>
  </sheetViews>
  <sheetFormatPr defaultColWidth="9" defaultRowHeight="12.75" x14ac:dyDescent="0.15"/>
  <cols>
    <col min="1" max="1" width="0.875" style="175" customWidth="1"/>
    <col min="2" max="2" width="1.625" style="175" customWidth="1"/>
    <col min="3" max="3" width="5" style="175" bestFit="1" customWidth="1"/>
    <col min="4" max="4" width="7.625" style="175" customWidth="1"/>
    <col min="5" max="6" width="22.625" style="175" customWidth="1"/>
    <col min="7" max="7" width="5.625" style="175" customWidth="1"/>
    <col min="8" max="8" width="6.625" style="175" customWidth="1"/>
    <col min="9" max="14" width="3.625" style="175" customWidth="1"/>
    <col min="15" max="15" width="1.625" style="175" customWidth="1"/>
    <col min="16" max="16" width="0.875" style="175" customWidth="1"/>
    <col min="17" max="16384" width="9" style="175"/>
  </cols>
  <sheetData>
    <row r="1" spans="1:16" x14ac:dyDescent="0.15">
      <c r="A1" s="169"/>
      <c r="B1" s="170" t="s">
        <v>236</v>
      </c>
      <c r="C1" s="169"/>
      <c r="D1" s="169"/>
      <c r="E1" s="169"/>
      <c r="F1" s="169"/>
      <c r="G1" s="169"/>
      <c r="H1" s="169"/>
      <c r="I1" s="169"/>
      <c r="J1" s="169"/>
      <c r="K1" s="169"/>
      <c r="L1" s="169"/>
      <c r="M1" s="169"/>
      <c r="N1" s="169"/>
      <c r="O1" s="169"/>
      <c r="P1" s="169"/>
    </row>
    <row r="2" spans="1:16" x14ac:dyDescent="0.15">
      <c r="A2" s="169"/>
      <c r="B2" s="169"/>
      <c r="C2" s="169"/>
      <c r="D2" s="169"/>
      <c r="E2" s="169"/>
      <c r="F2" s="169"/>
      <c r="G2" s="169"/>
      <c r="H2" s="169"/>
      <c r="I2" s="169"/>
      <c r="J2" s="169"/>
      <c r="K2" s="491"/>
      <c r="L2" s="491"/>
      <c r="M2" s="491"/>
      <c r="N2" s="171"/>
      <c r="O2" s="169"/>
      <c r="P2" s="169"/>
    </row>
    <row r="3" spans="1:16" ht="17.25" x14ac:dyDescent="0.15">
      <c r="A3" s="169"/>
      <c r="B3" s="169"/>
      <c r="C3" s="169"/>
      <c r="D3" s="169"/>
      <c r="E3" s="169"/>
      <c r="F3" s="169"/>
      <c r="G3" s="169"/>
      <c r="H3" s="171" t="s">
        <v>115</v>
      </c>
      <c r="I3" s="172" t="str">
        <f>反映シート!$E$29</f>
        <v/>
      </c>
      <c r="J3" s="171" t="s">
        <v>116</v>
      </c>
      <c r="K3" s="172" t="str">
        <f>反映シート!$I$29</f>
        <v/>
      </c>
      <c r="L3" s="171" t="s">
        <v>117</v>
      </c>
      <c r="M3" s="172" t="str">
        <f>反映シート!$M$29</f>
        <v/>
      </c>
      <c r="N3" s="171" t="s">
        <v>132</v>
      </c>
      <c r="O3" s="169"/>
      <c r="P3" s="169"/>
    </row>
    <row r="4" spans="1:16" x14ac:dyDescent="0.15">
      <c r="A4" s="169"/>
      <c r="B4" s="170" t="s">
        <v>514</v>
      </c>
      <c r="C4" s="169"/>
      <c r="D4" s="169"/>
      <c r="E4" s="169"/>
      <c r="F4" s="169"/>
      <c r="G4" s="169"/>
      <c r="H4" s="169"/>
      <c r="I4" s="169"/>
      <c r="J4" s="169"/>
      <c r="K4" s="169"/>
      <c r="L4" s="169"/>
      <c r="M4" s="169"/>
      <c r="N4" s="169"/>
      <c r="O4" s="169"/>
      <c r="P4" s="169"/>
    </row>
    <row r="5" spans="1:16" x14ac:dyDescent="0.15">
      <c r="A5" s="169"/>
      <c r="B5" s="173"/>
      <c r="C5" s="169"/>
      <c r="D5" s="169"/>
      <c r="E5" s="169"/>
      <c r="F5" s="169"/>
      <c r="G5" s="169"/>
      <c r="H5" s="169"/>
      <c r="I5" s="169"/>
      <c r="J5" s="169"/>
      <c r="K5" s="169"/>
      <c r="L5" s="169"/>
      <c r="M5" s="169"/>
      <c r="N5" s="169"/>
      <c r="O5" s="169"/>
      <c r="P5" s="169"/>
    </row>
    <row r="6" spans="1:16" x14ac:dyDescent="0.15">
      <c r="A6" s="169"/>
      <c r="B6" s="169"/>
      <c r="C6" s="492" t="s">
        <v>189</v>
      </c>
      <c r="D6" s="492"/>
      <c r="E6" s="492"/>
      <c r="F6" s="492"/>
      <c r="G6" s="492"/>
      <c r="H6" s="492"/>
      <c r="I6" s="492"/>
      <c r="J6" s="492"/>
      <c r="K6" s="492"/>
      <c r="L6" s="492"/>
      <c r="M6" s="492"/>
      <c r="N6" s="492"/>
      <c r="O6" s="169"/>
      <c r="P6" s="169"/>
    </row>
    <row r="7" spans="1:16" ht="39.950000000000003" customHeight="1" x14ac:dyDescent="0.15">
      <c r="A7" s="169"/>
      <c r="B7" s="169"/>
      <c r="C7" s="493"/>
      <c r="D7" s="494"/>
      <c r="E7" s="494"/>
      <c r="F7" s="494"/>
      <c r="G7" s="494"/>
      <c r="H7" s="494"/>
      <c r="I7" s="494"/>
      <c r="J7" s="494"/>
      <c r="K7" s="494"/>
      <c r="L7" s="494"/>
      <c r="M7" s="494"/>
      <c r="N7" s="495"/>
      <c r="O7" s="169"/>
      <c r="P7" s="169"/>
    </row>
    <row r="8" spans="1:16" x14ac:dyDescent="0.15">
      <c r="A8" s="169"/>
      <c r="B8" s="169"/>
      <c r="C8" s="169"/>
      <c r="D8" s="169"/>
      <c r="E8" s="169"/>
      <c r="F8" s="169"/>
      <c r="G8" s="170"/>
      <c r="H8" s="491"/>
      <c r="I8" s="491"/>
      <c r="J8" s="491"/>
      <c r="K8" s="491"/>
      <c r="L8" s="491"/>
      <c r="M8" s="491"/>
      <c r="N8" s="491"/>
      <c r="O8" s="169"/>
      <c r="P8" s="169"/>
    </row>
    <row r="9" spans="1:16" x14ac:dyDescent="0.15">
      <c r="A9" s="169"/>
      <c r="B9" s="169"/>
      <c r="C9" s="492" t="s">
        <v>237</v>
      </c>
      <c r="D9" s="492"/>
      <c r="E9" s="492" t="s">
        <v>238</v>
      </c>
      <c r="F9" s="492" t="s">
        <v>239</v>
      </c>
      <c r="G9" s="496" t="s">
        <v>240</v>
      </c>
      <c r="H9" s="497"/>
      <c r="I9" s="497"/>
      <c r="J9" s="497"/>
      <c r="K9" s="497"/>
      <c r="L9" s="498"/>
      <c r="M9" s="502" t="s">
        <v>241</v>
      </c>
      <c r="N9" s="503"/>
      <c r="O9" s="169"/>
      <c r="P9" s="169"/>
    </row>
    <row r="10" spans="1:16" x14ac:dyDescent="0.15">
      <c r="A10" s="169"/>
      <c r="B10" s="169"/>
      <c r="C10" s="492"/>
      <c r="D10" s="492"/>
      <c r="E10" s="492"/>
      <c r="F10" s="492"/>
      <c r="G10" s="499"/>
      <c r="H10" s="500"/>
      <c r="I10" s="500"/>
      <c r="J10" s="500"/>
      <c r="K10" s="500"/>
      <c r="L10" s="501"/>
      <c r="M10" s="504"/>
      <c r="N10" s="505"/>
      <c r="O10" s="169"/>
      <c r="P10" s="169"/>
    </row>
    <row r="11" spans="1:16" x14ac:dyDescent="0.15">
      <c r="A11" s="169"/>
      <c r="B11" s="169"/>
      <c r="C11" s="492"/>
      <c r="D11" s="492"/>
      <c r="E11" s="492"/>
      <c r="F11" s="492"/>
      <c r="G11" s="508" t="s">
        <v>242</v>
      </c>
      <c r="H11" s="510" t="s">
        <v>243</v>
      </c>
      <c r="I11" s="502" t="s">
        <v>244</v>
      </c>
      <c r="J11" s="503"/>
      <c r="K11" s="502" t="s">
        <v>245</v>
      </c>
      <c r="L11" s="503"/>
      <c r="M11" s="504"/>
      <c r="N11" s="505"/>
      <c r="O11" s="169"/>
      <c r="P11" s="169"/>
    </row>
    <row r="12" spans="1:16" ht="15.75" customHeight="1" x14ac:dyDescent="0.15">
      <c r="A12" s="169"/>
      <c r="B12" s="169"/>
      <c r="C12" s="492"/>
      <c r="D12" s="492"/>
      <c r="E12" s="492"/>
      <c r="F12" s="492"/>
      <c r="G12" s="509"/>
      <c r="H12" s="509"/>
      <c r="I12" s="506"/>
      <c r="J12" s="507"/>
      <c r="K12" s="506"/>
      <c r="L12" s="507"/>
      <c r="M12" s="506"/>
      <c r="N12" s="507"/>
      <c r="O12" s="169"/>
      <c r="P12" s="169"/>
    </row>
    <row r="13" spans="1:16" ht="39.950000000000003" customHeight="1" x14ac:dyDescent="0.15">
      <c r="A13" s="169"/>
      <c r="B13" s="169"/>
      <c r="C13" s="489"/>
      <c r="D13" s="490"/>
      <c r="E13" s="174"/>
      <c r="F13" s="174"/>
      <c r="G13" s="174"/>
      <c r="H13" s="174"/>
      <c r="I13" s="487"/>
      <c r="J13" s="487"/>
      <c r="K13" s="487"/>
      <c r="L13" s="487"/>
      <c r="M13" s="487"/>
      <c r="N13" s="487"/>
      <c r="O13" s="169"/>
      <c r="P13" s="169"/>
    </row>
    <row r="14" spans="1:16" ht="39.950000000000003" customHeight="1" x14ac:dyDescent="0.15">
      <c r="A14" s="169"/>
      <c r="B14" s="169"/>
      <c r="C14" s="489"/>
      <c r="D14" s="490"/>
      <c r="E14" s="174"/>
      <c r="F14" s="174"/>
      <c r="G14" s="174"/>
      <c r="H14" s="174"/>
      <c r="I14" s="487"/>
      <c r="J14" s="487"/>
      <c r="K14" s="487"/>
      <c r="L14" s="487"/>
      <c r="M14" s="487"/>
      <c r="N14" s="487"/>
      <c r="O14" s="169"/>
      <c r="P14" s="169"/>
    </row>
    <row r="15" spans="1:16" ht="39.950000000000003" customHeight="1" x14ac:dyDescent="0.15">
      <c r="A15" s="169"/>
      <c r="B15" s="169"/>
      <c r="C15" s="489"/>
      <c r="D15" s="490"/>
      <c r="E15" s="174"/>
      <c r="F15" s="174"/>
      <c r="G15" s="174"/>
      <c r="H15" s="174"/>
      <c r="I15" s="487"/>
      <c r="J15" s="487"/>
      <c r="K15" s="487"/>
      <c r="L15" s="487"/>
      <c r="M15" s="487"/>
      <c r="N15" s="487"/>
      <c r="O15" s="169"/>
      <c r="P15" s="169"/>
    </row>
    <row r="16" spans="1:16" ht="39.950000000000003" customHeight="1" x14ac:dyDescent="0.15">
      <c r="A16" s="169"/>
      <c r="B16" s="169"/>
      <c r="C16" s="488"/>
      <c r="D16" s="488"/>
      <c r="E16" s="174"/>
      <c r="F16" s="174"/>
      <c r="G16" s="174"/>
      <c r="H16" s="174"/>
      <c r="I16" s="487"/>
      <c r="J16" s="487"/>
      <c r="K16" s="487"/>
      <c r="L16" s="487"/>
      <c r="M16" s="487"/>
      <c r="N16" s="487"/>
      <c r="O16" s="169"/>
      <c r="P16" s="169"/>
    </row>
    <row r="17" spans="1:16" ht="39.950000000000003" customHeight="1" x14ac:dyDescent="0.15">
      <c r="A17" s="169"/>
      <c r="B17" s="169"/>
      <c r="C17" s="488"/>
      <c r="D17" s="488"/>
      <c r="E17" s="174"/>
      <c r="F17" s="174"/>
      <c r="G17" s="174"/>
      <c r="H17" s="174"/>
      <c r="I17" s="487"/>
      <c r="J17" s="487"/>
      <c r="K17" s="487"/>
      <c r="L17" s="487"/>
      <c r="M17" s="487"/>
      <c r="N17" s="487"/>
      <c r="O17" s="169"/>
      <c r="P17" s="169"/>
    </row>
    <row r="18" spans="1:16" ht="39.950000000000003" customHeight="1" x14ac:dyDescent="0.15">
      <c r="A18" s="169"/>
      <c r="B18" s="169"/>
      <c r="C18" s="488"/>
      <c r="D18" s="488"/>
      <c r="E18" s="174"/>
      <c r="F18" s="174"/>
      <c r="G18" s="174"/>
      <c r="H18" s="174"/>
      <c r="I18" s="487"/>
      <c r="J18" s="487"/>
      <c r="K18" s="487"/>
      <c r="L18" s="487"/>
      <c r="M18" s="487"/>
      <c r="N18" s="487"/>
      <c r="O18" s="169"/>
      <c r="P18" s="169"/>
    </row>
    <row r="19" spans="1:16" ht="39.950000000000003" customHeight="1" x14ac:dyDescent="0.15">
      <c r="A19" s="169"/>
      <c r="B19" s="169"/>
      <c r="C19" s="488"/>
      <c r="D19" s="488"/>
      <c r="E19" s="174"/>
      <c r="F19" s="174"/>
      <c r="G19" s="174"/>
      <c r="H19" s="174"/>
      <c r="I19" s="487"/>
      <c r="J19" s="487"/>
      <c r="K19" s="487"/>
      <c r="L19" s="487"/>
      <c r="M19" s="487"/>
      <c r="N19" s="487"/>
      <c r="O19" s="169"/>
      <c r="P19" s="169"/>
    </row>
    <row r="20" spans="1:16" ht="39.950000000000003" customHeight="1" x14ac:dyDescent="0.15">
      <c r="A20" s="169"/>
      <c r="B20" s="169"/>
      <c r="C20" s="488"/>
      <c r="D20" s="488"/>
      <c r="E20" s="174"/>
      <c r="F20" s="174"/>
      <c r="G20" s="174"/>
      <c r="H20" s="174"/>
      <c r="I20" s="487"/>
      <c r="J20" s="487"/>
      <c r="K20" s="487"/>
      <c r="L20" s="487"/>
      <c r="M20" s="487"/>
      <c r="N20" s="487"/>
      <c r="O20" s="169"/>
      <c r="P20" s="169"/>
    </row>
    <row r="21" spans="1:16" ht="39.950000000000003" customHeight="1" x14ac:dyDescent="0.15">
      <c r="A21" s="169"/>
      <c r="B21" s="169"/>
      <c r="C21" s="488"/>
      <c r="D21" s="488"/>
      <c r="E21" s="174"/>
      <c r="F21" s="174"/>
      <c r="G21" s="174"/>
      <c r="H21" s="174"/>
      <c r="I21" s="487"/>
      <c r="J21" s="487"/>
      <c r="K21" s="487"/>
      <c r="L21" s="487"/>
      <c r="M21" s="487"/>
      <c r="N21" s="487"/>
      <c r="O21" s="169"/>
      <c r="P21" s="169"/>
    </row>
    <row r="22" spans="1:16" ht="39.950000000000003" customHeight="1" x14ac:dyDescent="0.15">
      <c r="A22" s="169"/>
      <c r="B22" s="169"/>
      <c r="C22" s="488"/>
      <c r="D22" s="488"/>
      <c r="E22" s="174"/>
      <c r="F22" s="174"/>
      <c r="G22" s="174"/>
      <c r="H22" s="174"/>
      <c r="I22" s="487"/>
      <c r="J22" s="487"/>
      <c r="K22" s="487"/>
      <c r="L22" s="487"/>
      <c r="M22" s="487"/>
      <c r="N22" s="487"/>
      <c r="O22" s="169"/>
      <c r="P22" s="169"/>
    </row>
    <row r="23" spans="1:16" ht="39.950000000000003" customHeight="1" x14ac:dyDescent="0.15">
      <c r="A23" s="169"/>
      <c r="B23" s="173"/>
      <c r="C23" s="488"/>
      <c r="D23" s="488"/>
      <c r="E23" s="174"/>
      <c r="F23" s="174"/>
      <c r="G23" s="174"/>
      <c r="H23" s="174"/>
      <c r="I23" s="487"/>
      <c r="J23" s="487"/>
      <c r="K23" s="487"/>
      <c r="L23" s="487"/>
      <c r="M23" s="487"/>
      <c r="N23" s="487"/>
      <c r="O23" s="169"/>
      <c r="P23" s="169"/>
    </row>
    <row r="24" spans="1:16" ht="39.950000000000003" customHeight="1" x14ac:dyDescent="0.15">
      <c r="A24" s="169"/>
      <c r="B24" s="173"/>
      <c r="C24" s="488"/>
      <c r="D24" s="488"/>
      <c r="E24" s="174"/>
      <c r="F24" s="174"/>
      <c r="G24" s="174"/>
      <c r="H24" s="174"/>
      <c r="I24" s="487"/>
      <c r="J24" s="487"/>
      <c r="K24" s="487"/>
      <c r="L24" s="487"/>
      <c r="M24" s="487"/>
      <c r="N24" s="487"/>
      <c r="O24" s="169"/>
      <c r="P24" s="169"/>
    </row>
    <row r="25" spans="1:16" ht="39.950000000000003" customHeight="1" x14ac:dyDescent="0.15">
      <c r="A25" s="169"/>
      <c r="B25" s="169"/>
      <c r="C25" s="488"/>
      <c r="D25" s="488"/>
      <c r="E25" s="174"/>
      <c r="F25" s="174"/>
      <c r="G25" s="174"/>
      <c r="H25" s="174"/>
      <c r="I25" s="487"/>
      <c r="J25" s="487"/>
      <c r="K25" s="487"/>
      <c r="L25" s="487"/>
      <c r="M25" s="487"/>
      <c r="N25" s="487"/>
      <c r="O25" s="169"/>
      <c r="P25" s="169"/>
    </row>
    <row r="26" spans="1:16" ht="39.950000000000003" customHeight="1" x14ac:dyDescent="0.15">
      <c r="A26" s="169"/>
      <c r="B26" s="173"/>
      <c r="C26" s="488"/>
      <c r="D26" s="488"/>
      <c r="E26" s="174"/>
      <c r="F26" s="174"/>
      <c r="G26" s="174"/>
      <c r="H26" s="174"/>
      <c r="I26" s="487"/>
      <c r="J26" s="487"/>
      <c r="K26" s="487"/>
      <c r="L26" s="487"/>
      <c r="M26" s="487"/>
      <c r="N26" s="487"/>
      <c r="O26" s="169"/>
      <c r="P26" s="169"/>
    </row>
    <row r="27" spans="1:16" ht="39.950000000000003" customHeight="1" x14ac:dyDescent="0.15">
      <c r="A27" s="169"/>
      <c r="B27" s="169"/>
      <c r="C27" s="488"/>
      <c r="D27" s="488"/>
      <c r="E27" s="174"/>
      <c r="F27" s="174"/>
      <c r="G27" s="174"/>
      <c r="H27" s="174"/>
      <c r="I27" s="487"/>
      <c r="J27" s="487"/>
      <c r="K27" s="487"/>
      <c r="L27" s="487"/>
      <c r="M27" s="487"/>
      <c r="N27" s="487"/>
      <c r="O27" s="169"/>
      <c r="P27" s="169"/>
    </row>
    <row r="28" spans="1:16" x14ac:dyDescent="0.15">
      <c r="A28" s="169"/>
      <c r="B28" s="169"/>
      <c r="C28" s="169" t="s">
        <v>246</v>
      </c>
      <c r="D28" s="169"/>
      <c r="E28" s="169"/>
      <c r="F28" s="169"/>
      <c r="G28" s="169"/>
      <c r="H28" s="169"/>
      <c r="I28" s="169"/>
      <c r="J28" s="169"/>
      <c r="K28" s="169"/>
      <c r="L28" s="169"/>
      <c r="M28" s="169"/>
      <c r="N28" s="169"/>
      <c r="O28" s="169"/>
      <c r="P28" s="169"/>
    </row>
    <row r="29" spans="1:16" x14ac:dyDescent="0.15">
      <c r="A29" s="169"/>
      <c r="B29" s="173"/>
      <c r="C29" s="169"/>
      <c r="D29" s="169" t="s">
        <v>247</v>
      </c>
      <c r="E29" s="169"/>
      <c r="F29" s="169"/>
      <c r="G29" s="169"/>
      <c r="H29" s="169"/>
      <c r="I29" s="169"/>
      <c r="J29" s="169"/>
      <c r="K29" s="169"/>
      <c r="L29" s="169"/>
      <c r="M29" s="169"/>
      <c r="N29" s="169"/>
      <c r="O29" s="169"/>
      <c r="P29" s="169"/>
    </row>
    <row r="30" spans="1:16" x14ac:dyDescent="0.15">
      <c r="A30" s="169"/>
      <c r="B30" s="169"/>
      <c r="C30" s="173"/>
      <c r="D30" s="169" t="s">
        <v>248</v>
      </c>
      <c r="E30" s="169"/>
      <c r="F30" s="169"/>
      <c r="G30" s="169"/>
      <c r="H30" s="169"/>
      <c r="I30" s="169"/>
      <c r="J30" s="169"/>
      <c r="K30" s="169"/>
      <c r="L30" s="169"/>
      <c r="M30" s="169"/>
      <c r="N30" s="169"/>
      <c r="O30" s="169"/>
      <c r="P30" s="169"/>
    </row>
    <row r="31" spans="1:16" x14ac:dyDescent="0.15">
      <c r="A31" s="169"/>
      <c r="B31" s="169"/>
      <c r="C31" s="173"/>
      <c r="D31" s="169" t="s">
        <v>249</v>
      </c>
      <c r="E31" s="169"/>
      <c r="F31" s="169"/>
      <c r="G31" s="169"/>
      <c r="H31" s="169"/>
      <c r="I31" s="169"/>
      <c r="J31" s="169"/>
      <c r="K31" s="169"/>
      <c r="L31" s="169"/>
      <c r="M31" s="169"/>
      <c r="N31" s="169"/>
      <c r="O31" s="169"/>
      <c r="P31" s="169"/>
    </row>
    <row r="32" spans="1:16" x14ac:dyDescent="0.15">
      <c r="A32" s="169"/>
      <c r="B32" s="169"/>
      <c r="C32" s="169"/>
      <c r="D32" s="169" t="s">
        <v>250</v>
      </c>
      <c r="E32" s="169"/>
      <c r="F32" s="169"/>
      <c r="G32" s="169"/>
      <c r="H32" s="169"/>
      <c r="I32" s="169"/>
      <c r="J32" s="169"/>
      <c r="K32" s="169"/>
      <c r="L32" s="169"/>
      <c r="M32" s="169"/>
      <c r="N32" s="169"/>
      <c r="O32" s="169"/>
      <c r="P32" s="169"/>
    </row>
    <row r="33" spans="1:16" x14ac:dyDescent="0.15">
      <c r="A33" s="169"/>
      <c r="B33" s="173"/>
      <c r="C33" s="169"/>
      <c r="D33" s="169"/>
      <c r="E33" s="169"/>
      <c r="F33" s="169"/>
      <c r="G33" s="169"/>
      <c r="H33" s="169"/>
      <c r="I33" s="169"/>
      <c r="J33" s="169"/>
      <c r="K33" s="169"/>
      <c r="L33" s="169"/>
      <c r="M33" s="169"/>
      <c r="N33" s="169"/>
      <c r="O33" s="169"/>
      <c r="P33" s="169"/>
    </row>
    <row r="34" spans="1:16" x14ac:dyDescent="0.15">
      <c r="C34" s="176"/>
    </row>
    <row r="36" spans="1:16" x14ac:dyDescent="0.15">
      <c r="B36" s="176"/>
    </row>
    <row r="37" spans="1:16" x14ac:dyDescent="0.15">
      <c r="F37" s="511"/>
      <c r="G37" s="511"/>
    </row>
    <row r="38" spans="1:16" x14ac:dyDescent="0.15">
      <c r="C38" s="176"/>
      <c r="F38" s="177"/>
      <c r="G38" s="177"/>
    </row>
    <row r="40" spans="1:16" x14ac:dyDescent="0.15">
      <c r="C40" s="176"/>
    </row>
    <row r="41" spans="1:16" x14ac:dyDescent="0.15">
      <c r="C41" s="176"/>
      <c r="D41" s="176"/>
    </row>
    <row r="42" spans="1:16" x14ac:dyDescent="0.15">
      <c r="C42" s="176"/>
      <c r="D42" s="176"/>
    </row>
    <row r="43" spans="1:16" x14ac:dyDescent="0.15">
      <c r="C43" s="176"/>
    </row>
    <row r="44" spans="1:16" x14ac:dyDescent="0.15">
      <c r="C44" s="176"/>
    </row>
    <row r="46" spans="1:16" x14ac:dyDescent="0.15">
      <c r="C46" s="178"/>
    </row>
  </sheetData>
  <sheetProtection algorithmName="SHA-512" hashValue="PeVPfdhBPcmaO0+F7MLxzH6qCAzcJLCg+MMa7BYsJ5D0skwvpeaoV0El5CW/k6CW3lwnP4jeJQ0O6To5CcvfLw==" saltValue="xUfQLK/Ed4mVQADhQrKifg==" spinCount="100000" sheet="1" objects="1" scenarios="1" selectLockedCells="1"/>
  <mergeCells count="74">
    <mergeCell ref="C27:D27"/>
    <mergeCell ref="I27:J27"/>
    <mergeCell ref="K27:L27"/>
    <mergeCell ref="M27:N27"/>
    <mergeCell ref="F37:G37"/>
    <mergeCell ref="C25:D25"/>
    <mergeCell ref="I25:J25"/>
    <mergeCell ref="K25:L25"/>
    <mergeCell ref="M25:N25"/>
    <mergeCell ref="C26:D26"/>
    <mergeCell ref="I26:J26"/>
    <mergeCell ref="K26:L26"/>
    <mergeCell ref="M26:N26"/>
    <mergeCell ref="C23:D23"/>
    <mergeCell ref="I23:J23"/>
    <mergeCell ref="K23:L23"/>
    <mergeCell ref="M23:N23"/>
    <mergeCell ref="C24:D24"/>
    <mergeCell ref="I24:J24"/>
    <mergeCell ref="K24:L24"/>
    <mergeCell ref="M24:N24"/>
    <mergeCell ref="C22:D22"/>
    <mergeCell ref="I22:J22"/>
    <mergeCell ref="K22:L22"/>
    <mergeCell ref="M22:N22"/>
    <mergeCell ref="H11:H12"/>
    <mergeCell ref="I11:J12"/>
    <mergeCell ref="K11:L12"/>
    <mergeCell ref="C13:D13"/>
    <mergeCell ref="I13:J13"/>
    <mergeCell ref="K13:L13"/>
    <mergeCell ref="M13:N13"/>
    <mergeCell ref="I21:J21"/>
    <mergeCell ref="K21:L21"/>
    <mergeCell ref="M21:N21"/>
    <mergeCell ref="I18:J18"/>
    <mergeCell ref="K18:L18"/>
    <mergeCell ref="K2:M2"/>
    <mergeCell ref="C6:N6"/>
    <mergeCell ref="C7:N7"/>
    <mergeCell ref="H8:N8"/>
    <mergeCell ref="C9:D12"/>
    <mergeCell ref="E9:E12"/>
    <mergeCell ref="F9:F12"/>
    <mergeCell ref="G9:L10"/>
    <mergeCell ref="M9:N12"/>
    <mergeCell ref="G11:G12"/>
    <mergeCell ref="M18:N18"/>
    <mergeCell ref="I19:J19"/>
    <mergeCell ref="K19:L19"/>
    <mergeCell ref="M19:N19"/>
    <mergeCell ref="I20:J20"/>
    <mergeCell ref="I14:J14"/>
    <mergeCell ref="K14:L14"/>
    <mergeCell ref="M14:N14"/>
    <mergeCell ref="C21:D21"/>
    <mergeCell ref="I17:J17"/>
    <mergeCell ref="K17:L17"/>
    <mergeCell ref="M17:N17"/>
    <mergeCell ref="C19:D19"/>
    <mergeCell ref="C20:D20"/>
    <mergeCell ref="C16:D16"/>
    <mergeCell ref="C17:D17"/>
    <mergeCell ref="C18:D18"/>
    <mergeCell ref="C14:D14"/>
    <mergeCell ref="C15:D15"/>
    <mergeCell ref="K20:L20"/>
    <mergeCell ref="M20:N20"/>
    <mergeCell ref="I16:J16"/>
    <mergeCell ref="K16:L16"/>
    <mergeCell ref="M16:N16"/>
    <mergeCell ref="I15:J15"/>
    <mergeCell ref="K15:L15"/>
    <mergeCell ref="M15:N15"/>
  </mergeCells>
  <phoneticPr fontId="5"/>
  <dataValidations count="8">
    <dataValidation imeMode="fullKatakana" allowBlank="1" showInputMessage="1" showErrorMessage="1" sqref="F13:F27" xr:uid="{00000000-0002-0000-0D00-000000000000}"/>
    <dataValidation imeMode="hiragana" allowBlank="1" showInputMessage="1" showErrorMessage="1" sqref="C13:E27" xr:uid="{00000000-0002-0000-0D00-000001000000}"/>
    <dataValidation type="whole" imeMode="off" allowBlank="1" showInputMessage="1" showErrorMessage="1" sqref="H14:H27 H13" xr:uid="{00000000-0002-0000-0D00-000002000000}">
      <formula1>1</formula1>
      <formula2>64</formula2>
    </dataValidation>
    <dataValidation imeMode="on" allowBlank="1" showInputMessage="1" showErrorMessage="1" sqref="C7:N7" xr:uid="{00000000-0002-0000-0D00-000003000000}"/>
    <dataValidation type="list" imeMode="disabled" allowBlank="1" showInputMessage="1" showErrorMessage="1" sqref="M13:N27" xr:uid="{00000000-0002-0000-0D00-000004000000}">
      <formula1>"M,F"</formula1>
    </dataValidation>
    <dataValidation type="list" imeMode="disabled" allowBlank="1" showInputMessage="1" showErrorMessage="1" sqref="G13:G27" xr:uid="{00000000-0002-0000-0D00-000005000000}">
      <formula1>"T,S,H"</formula1>
    </dataValidation>
    <dataValidation type="whole" imeMode="disabled" allowBlank="1" showInputMessage="1" showErrorMessage="1" sqref="I14:J27 I13:J13" xr:uid="{00000000-0002-0000-0D00-000006000000}">
      <formula1>1</formula1>
      <formula2>12</formula2>
    </dataValidation>
    <dataValidation type="whole" imeMode="disabled" allowBlank="1" showInputMessage="1" showErrorMessage="1" sqref="K13:L27" xr:uid="{00000000-0002-0000-0D00-000007000000}">
      <formula1>1</formula1>
      <formula2>31</formula2>
    </dataValidation>
  </dataValidations>
  <pageMargins left="0.7" right="0.7" top="0.75" bottom="0.75" header="0.3" footer="0.3"/>
  <pageSetup paperSize="9" scale="92"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L43"/>
  <sheetViews>
    <sheetView workbookViewId="0">
      <selection activeCell="ZZ1" sqref="ZZ1"/>
    </sheetView>
  </sheetViews>
  <sheetFormatPr defaultColWidth="2.5" defaultRowHeight="16.5" customHeight="1" x14ac:dyDescent="0.15"/>
  <cols>
    <col min="1" max="12" width="2.5" style="163"/>
    <col min="13" max="13" width="6.125" style="163" customWidth="1"/>
    <col min="14" max="14" width="2.5" style="163"/>
    <col min="15" max="16" width="2.5" style="163" customWidth="1"/>
    <col min="17" max="37" width="2.5" style="163"/>
    <col min="38" max="38" width="6.125" style="163" customWidth="1"/>
    <col min="39" max="45" width="2.5" style="163"/>
    <col min="46" max="46" width="2.375" style="163" customWidth="1"/>
    <col min="47" max="60" width="2.5" style="163"/>
    <col min="61" max="61" width="2.5" style="163" customWidth="1"/>
    <col min="62" max="62" width="2.5" style="163"/>
    <col min="63" max="63" width="8.25" style="163" hidden="1" customWidth="1"/>
    <col min="64" max="64" width="5.625" style="163" hidden="1" customWidth="1"/>
    <col min="65" max="16384" width="2.5" style="163"/>
  </cols>
  <sheetData>
    <row r="1" spans="1:47" ht="20.100000000000001" customHeight="1" thickBot="1" x14ac:dyDescent="0.2">
      <c r="A1" s="91"/>
      <c r="B1" s="92" t="s">
        <v>431</v>
      </c>
      <c r="C1" s="91"/>
      <c r="D1" s="91"/>
      <c r="E1" s="91"/>
      <c r="F1" s="91"/>
      <c r="G1" s="91"/>
      <c r="H1" s="91"/>
      <c r="I1" s="91"/>
      <c r="J1" s="91"/>
      <c r="K1" s="91"/>
      <c r="L1" s="91"/>
      <c r="M1" s="91"/>
      <c r="N1" s="93"/>
      <c r="O1" s="93"/>
      <c r="P1" s="93"/>
      <c r="Q1" s="93"/>
      <c r="R1" s="93"/>
      <c r="S1" s="158"/>
      <c r="T1" s="93"/>
      <c r="U1" s="93"/>
      <c r="V1" s="93"/>
      <c r="W1" s="93"/>
      <c r="X1" s="93"/>
      <c r="Y1" s="93"/>
      <c r="Z1" s="93"/>
      <c r="AA1" s="91"/>
      <c r="AB1" s="91"/>
      <c r="AC1" s="91"/>
      <c r="AD1" s="91"/>
      <c r="AE1" s="91"/>
      <c r="AF1" s="91"/>
      <c r="AG1" s="93"/>
      <c r="AH1" s="93"/>
      <c r="AI1" s="93"/>
      <c r="AJ1" s="93"/>
      <c r="AK1" s="93"/>
      <c r="AL1" s="153"/>
      <c r="AM1" s="91"/>
      <c r="AN1" s="91"/>
      <c r="AO1" s="93"/>
      <c r="AP1" s="93"/>
      <c r="AQ1" s="93"/>
      <c r="AR1" s="93"/>
      <c r="AS1" s="159"/>
      <c r="AU1" s="166"/>
    </row>
    <row r="2" spans="1:47" ht="20.100000000000001" customHeight="1" x14ac:dyDescent="0.15">
      <c r="A2" s="91"/>
      <c r="B2" s="527" t="s">
        <v>421</v>
      </c>
      <c r="C2" s="528"/>
      <c r="D2" s="528"/>
      <c r="E2" s="528"/>
      <c r="F2" s="528"/>
      <c r="G2" s="528"/>
      <c r="H2" s="528"/>
      <c r="I2" s="528"/>
      <c r="J2" s="528"/>
      <c r="K2" s="528"/>
      <c r="L2" s="528"/>
      <c r="M2" s="528"/>
      <c r="N2" s="528"/>
      <c r="O2" s="528"/>
      <c r="P2" s="528"/>
      <c r="Q2" s="528"/>
      <c r="R2" s="528"/>
      <c r="S2" s="528"/>
      <c r="T2" s="528"/>
      <c r="U2" s="528"/>
      <c r="V2" s="528"/>
      <c r="W2" s="528"/>
      <c r="X2" s="528"/>
      <c r="Y2" s="528"/>
      <c r="Z2" s="528"/>
      <c r="AA2" s="528"/>
      <c r="AB2" s="528"/>
      <c r="AC2" s="528"/>
      <c r="AD2" s="528"/>
      <c r="AE2" s="528"/>
      <c r="AF2" s="528"/>
      <c r="AG2" s="528"/>
      <c r="AH2" s="528"/>
      <c r="AI2" s="528"/>
      <c r="AJ2" s="528"/>
      <c r="AK2" s="528"/>
      <c r="AL2" s="528"/>
      <c r="AM2" s="528"/>
      <c r="AN2" s="528"/>
      <c r="AO2" s="528"/>
      <c r="AP2" s="528"/>
      <c r="AQ2" s="528"/>
      <c r="AR2" s="529"/>
      <c r="AS2" s="91"/>
      <c r="AT2" s="167"/>
    </row>
    <row r="3" spans="1:47" ht="15" customHeight="1" x14ac:dyDescent="0.15">
      <c r="A3" s="91"/>
      <c r="B3" s="530" t="s">
        <v>432</v>
      </c>
      <c r="C3" s="531"/>
      <c r="D3" s="531"/>
      <c r="E3" s="531"/>
      <c r="F3" s="531"/>
      <c r="G3" s="536" t="s">
        <v>381</v>
      </c>
      <c r="H3" s="537"/>
      <c r="I3" s="537"/>
      <c r="J3" s="537"/>
      <c r="K3" s="542" t="s">
        <v>78</v>
      </c>
      <c r="L3" s="543"/>
      <c r="M3" s="544"/>
      <c r="N3" s="545" t="s">
        <v>235</v>
      </c>
      <c r="O3" s="546"/>
      <c r="P3" s="547" t="str">
        <f>IF(AND(反映シート!$E$13="トラック事業者",反映シート!$C$116=TRUE),LEFT(反映シート!$E$41,3),IF(AND(反映シート!$E$15="トラック事業者",反映シート!$C$116=TRUE),LEFT(反映シート!$E$80,3),""))</f>
        <v/>
      </c>
      <c r="Q3" s="548"/>
      <c r="R3" s="548"/>
      <c r="S3" s="97" t="s">
        <v>9</v>
      </c>
      <c r="T3" s="549" t="str">
        <f>IF(AND(反映シート!$E$13="トラック事業者",反映シート!$C$116=TRUE),RIGHT(反映シート!$E$41,4),IF(AND(反映シート!$E$15="トラック事業者",反映シート!$C$116=TRUE),RIGHT(反映シート!$E$80,4),""))</f>
        <v/>
      </c>
      <c r="U3" s="549"/>
      <c r="V3" s="549"/>
      <c r="W3" s="549"/>
      <c r="X3" s="645" t="str">
        <f>IF(AND(反映シート!$E$13="トラック事業者",反映シート!$C$116=TRUE),"✓","")</f>
        <v/>
      </c>
      <c r="Y3" s="646"/>
      <c r="Z3" s="649" t="s">
        <v>451</v>
      </c>
      <c r="AA3" s="649"/>
      <c r="AB3" s="649"/>
      <c r="AC3" s="649"/>
      <c r="AD3" s="649"/>
      <c r="AE3" s="649"/>
      <c r="AF3" s="649"/>
      <c r="AG3" s="649"/>
      <c r="AH3" s="649"/>
      <c r="AI3" s="649"/>
      <c r="AJ3" s="649"/>
      <c r="AK3" s="649"/>
      <c r="AL3" s="649"/>
      <c r="AM3" s="649"/>
      <c r="AN3" s="649"/>
      <c r="AO3" s="649"/>
      <c r="AP3" s="649"/>
      <c r="AQ3" s="649"/>
      <c r="AR3" s="650"/>
      <c r="AS3" s="91"/>
      <c r="AU3" s="166"/>
    </row>
    <row r="4" spans="1:47" ht="15" customHeight="1" x14ac:dyDescent="0.15">
      <c r="A4" s="91"/>
      <c r="B4" s="532"/>
      <c r="C4" s="533"/>
      <c r="D4" s="533"/>
      <c r="E4" s="533"/>
      <c r="F4" s="533"/>
      <c r="G4" s="538"/>
      <c r="H4" s="539"/>
      <c r="I4" s="539"/>
      <c r="J4" s="539"/>
      <c r="K4" s="512" t="s">
        <v>79</v>
      </c>
      <c r="L4" s="513"/>
      <c r="M4" s="514"/>
      <c r="N4" s="518" t="str">
        <f>IF(AND(反映シート!$E$13="トラック事業者",反映シート!$C$116=TRUE),反映シート!$E$43,IF(AND(反映シート!$E$15="トラック事業者",反映シート!$C$116=TRUE),反映シート!$E$82,""))</f>
        <v/>
      </c>
      <c r="O4" s="519"/>
      <c r="P4" s="519"/>
      <c r="Q4" s="519"/>
      <c r="R4" s="519"/>
      <c r="S4" s="519"/>
      <c r="T4" s="519"/>
      <c r="U4" s="519"/>
      <c r="V4" s="519"/>
      <c r="W4" s="519"/>
      <c r="X4" s="647"/>
      <c r="Y4" s="648"/>
      <c r="Z4" s="651"/>
      <c r="AA4" s="651"/>
      <c r="AB4" s="651"/>
      <c r="AC4" s="651"/>
      <c r="AD4" s="651"/>
      <c r="AE4" s="651"/>
      <c r="AF4" s="651"/>
      <c r="AG4" s="651"/>
      <c r="AH4" s="651"/>
      <c r="AI4" s="651"/>
      <c r="AJ4" s="651"/>
      <c r="AK4" s="651"/>
      <c r="AL4" s="651"/>
      <c r="AM4" s="651"/>
      <c r="AN4" s="651"/>
      <c r="AO4" s="651"/>
      <c r="AP4" s="651"/>
      <c r="AQ4" s="651"/>
      <c r="AR4" s="652"/>
      <c r="AS4" s="91"/>
      <c r="AT4" s="167"/>
    </row>
    <row r="5" spans="1:47" ht="15" customHeight="1" x14ac:dyDescent="0.15">
      <c r="A5" s="91"/>
      <c r="B5" s="532"/>
      <c r="C5" s="533"/>
      <c r="D5" s="533"/>
      <c r="E5" s="533"/>
      <c r="F5" s="533"/>
      <c r="G5" s="538"/>
      <c r="H5" s="539"/>
      <c r="I5" s="539"/>
      <c r="J5" s="539"/>
      <c r="K5" s="512" t="s">
        <v>81</v>
      </c>
      <c r="L5" s="513"/>
      <c r="M5" s="514"/>
      <c r="N5" s="515" t="str">
        <f>IF(AND(反映シート!$E$13="トラック事業者",反映シート!$C$116=TRUE),反映シート!$E$45,IF(AND(反映シート!$E$15="トラック事業者",反映シート!$C$116=TRUE),反映シート!$E$84,""))</f>
        <v/>
      </c>
      <c r="O5" s="516"/>
      <c r="P5" s="516"/>
      <c r="Q5" s="516"/>
      <c r="R5" s="516"/>
      <c r="S5" s="516"/>
      <c r="T5" s="516"/>
      <c r="U5" s="516"/>
      <c r="V5" s="516"/>
      <c r="W5" s="516"/>
      <c r="X5" s="516"/>
      <c r="Y5" s="516"/>
      <c r="Z5" s="516"/>
      <c r="AA5" s="516"/>
      <c r="AB5" s="516"/>
      <c r="AC5" s="516"/>
      <c r="AD5" s="516"/>
      <c r="AE5" s="516"/>
      <c r="AF5" s="516"/>
      <c r="AG5" s="516"/>
      <c r="AH5" s="516"/>
      <c r="AI5" s="516"/>
      <c r="AJ5" s="516"/>
      <c r="AK5" s="516"/>
      <c r="AL5" s="516"/>
      <c r="AM5" s="516"/>
      <c r="AN5" s="516"/>
      <c r="AO5" s="516"/>
      <c r="AP5" s="516"/>
      <c r="AQ5" s="516"/>
      <c r="AR5" s="517"/>
      <c r="AS5" s="91"/>
      <c r="AU5" s="166"/>
    </row>
    <row r="6" spans="1:47" ht="15" customHeight="1" x14ac:dyDescent="0.15">
      <c r="A6" s="91"/>
      <c r="B6" s="532"/>
      <c r="C6" s="533"/>
      <c r="D6" s="533"/>
      <c r="E6" s="533"/>
      <c r="F6" s="533"/>
      <c r="G6" s="538"/>
      <c r="H6" s="539"/>
      <c r="I6" s="539"/>
      <c r="J6" s="539"/>
      <c r="K6" s="512" t="s">
        <v>82</v>
      </c>
      <c r="L6" s="513"/>
      <c r="M6" s="514"/>
      <c r="N6" s="518" t="str">
        <f>IF(AND(反映シート!$E$13="トラック事業者",反映シート!$C$116=TRUE),反映シート!$E$47,IF(AND(反映シート!$E$15="トラック事業者",反映シート!$C$116=TRUE),反映シート!$E$86,""))</f>
        <v/>
      </c>
      <c r="O6" s="519"/>
      <c r="P6" s="519"/>
      <c r="Q6" s="519"/>
      <c r="R6" s="519"/>
      <c r="S6" s="519"/>
      <c r="T6" s="519"/>
      <c r="U6" s="519"/>
      <c r="V6" s="519"/>
      <c r="W6" s="519"/>
      <c r="X6" s="519"/>
      <c r="Y6" s="519"/>
      <c r="Z6" s="519"/>
      <c r="AA6" s="519"/>
      <c r="AB6" s="519"/>
      <c r="AC6" s="519"/>
      <c r="AD6" s="519"/>
      <c r="AE6" s="519"/>
      <c r="AF6" s="519"/>
      <c r="AG6" s="519"/>
      <c r="AH6" s="519"/>
      <c r="AI6" s="519"/>
      <c r="AJ6" s="519"/>
      <c r="AK6" s="519"/>
      <c r="AL6" s="519"/>
      <c r="AM6" s="519"/>
      <c r="AN6" s="519"/>
      <c r="AO6" s="519"/>
      <c r="AP6" s="519"/>
      <c r="AQ6" s="519"/>
      <c r="AR6" s="520"/>
      <c r="AS6" s="91"/>
      <c r="AT6" s="167"/>
    </row>
    <row r="7" spans="1:47" ht="15" customHeight="1" x14ac:dyDescent="0.15">
      <c r="A7" s="91"/>
      <c r="B7" s="532"/>
      <c r="C7" s="533"/>
      <c r="D7" s="533"/>
      <c r="E7" s="533"/>
      <c r="F7" s="533"/>
      <c r="G7" s="540"/>
      <c r="H7" s="541"/>
      <c r="I7" s="541"/>
      <c r="J7" s="541"/>
      <c r="K7" s="521" t="s">
        <v>83</v>
      </c>
      <c r="L7" s="522"/>
      <c r="M7" s="523"/>
      <c r="N7" s="524" t="str">
        <f>IF(AND(反映シート!$E$13="トラック事業者",反映シート!$C$116=TRUE),反映シート!$E$49,IF(AND(反映シート!$E$15="トラック事業者",反映シート!$C$116=TRUE),反映シート!$E$88,""))</f>
        <v/>
      </c>
      <c r="O7" s="525"/>
      <c r="P7" s="525"/>
      <c r="Q7" s="525"/>
      <c r="R7" s="525"/>
      <c r="S7" s="525"/>
      <c r="T7" s="525"/>
      <c r="U7" s="525"/>
      <c r="V7" s="525"/>
      <c r="W7" s="525"/>
      <c r="X7" s="525"/>
      <c r="Y7" s="525"/>
      <c r="Z7" s="525"/>
      <c r="AA7" s="525"/>
      <c r="AB7" s="525"/>
      <c r="AC7" s="525"/>
      <c r="AD7" s="525"/>
      <c r="AE7" s="525"/>
      <c r="AF7" s="525"/>
      <c r="AG7" s="525"/>
      <c r="AH7" s="525"/>
      <c r="AI7" s="525"/>
      <c r="AJ7" s="525"/>
      <c r="AK7" s="525"/>
      <c r="AL7" s="525"/>
      <c r="AM7" s="525"/>
      <c r="AN7" s="525"/>
      <c r="AO7" s="525"/>
      <c r="AP7" s="525"/>
      <c r="AQ7" s="525"/>
      <c r="AR7" s="526"/>
      <c r="AS7" s="91"/>
      <c r="AU7" s="166"/>
    </row>
    <row r="8" spans="1:47" ht="20.100000000000001" customHeight="1" x14ac:dyDescent="0.15">
      <c r="A8" s="91"/>
      <c r="B8" s="532"/>
      <c r="C8" s="533"/>
      <c r="D8" s="533"/>
      <c r="E8" s="533"/>
      <c r="F8" s="533"/>
      <c r="G8" s="536" t="s">
        <v>382</v>
      </c>
      <c r="H8" s="537"/>
      <c r="I8" s="537"/>
      <c r="J8" s="537"/>
      <c r="K8" s="557"/>
      <c r="L8" s="559" t="s">
        <v>383</v>
      </c>
      <c r="M8" s="544"/>
      <c r="N8" s="560" t="str">
        <f>IF(AND(反映シート!$E$13="トラック事業者",反映シート!$C$116=TRUE),反映シート!$E$53,IF(AND(反映シート!$E$15="トラック事業者",反映シート!$C$116=TRUE),反映シート!$E$92,""))</f>
        <v/>
      </c>
      <c r="O8" s="561"/>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1"/>
      <c r="AP8" s="561"/>
      <c r="AQ8" s="561"/>
      <c r="AR8" s="562"/>
      <c r="AS8" s="91"/>
      <c r="AT8" s="167"/>
    </row>
    <row r="9" spans="1:47" ht="30" customHeight="1" x14ac:dyDescent="0.15">
      <c r="A9" s="91"/>
      <c r="B9" s="532"/>
      <c r="C9" s="533"/>
      <c r="D9" s="533"/>
      <c r="E9" s="533"/>
      <c r="F9" s="533"/>
      <c r="G9" s="540"/>
      <c r="H9" s="541"/>
      <c r="I9" s="541"/>
      <c r="J9" s="541"/>
      <c r="K9" s="558"/>
      <c r="L9" s="563" t="s">
        <v>384</v>
      </c>
      <c r="M9" s="523"/>
      <c r="N9" s="524" t="str">
        <f>IF(AND(反映シート!$E$13="トラック事業者",反映シート!$C$116=TRUE),反映シート!$E$51,IF(AND(反映シート!$E$15="トラック事業者",反映シート!$C$116=TRUE),反映シート!$E$90,""))</f>
        <v/>
      </c>
      <c r="O9" s="525"/>
      <c r="P9" s="525"/>
      <c r="Q9" s="525"/>
      <c r="R9" s="525"/>
      <c r="S9" s="525"/>
      <c r="T9" s="525"/>
      <c r="U9" s="525"/>
      <c r="V9" s="525"/>
      <c r="W9" s="525"/>
      <c r="X9" s="525"/>
      <c r="Y9" s="525"/>
      <c r="Z9" s="525"/>
      <c r="AA9" s="525"/>
      <c r="AB9" s="525"/>
      <c r="AC9" s="525"/>
      <c r="AD9" s="525"/>
      <c r="AE9" s="525"/>
      <c r="AF9" s="525"/>
      <c r="AG9" s="525"/>
      <c r="AH9" s="525"/>
      <c r="AI9" s="525"/>
      <c r="AJ9" s="525"/>
      <c r="AK9" s="525"/>
      <c r="AL9" s="525"/>
      <c r="AM9" s="525"/>
      <c r="AN9" s="525"/>
      <c r="AO9" s="525"/>
      <c r="AP9" s="525"/>
      <c r="AQ9" s="525"/>
      <c r="AR9" s="526"/>
      <c r="AS9" s="91"/>
      <c r="AU9" s="166"/>
    </row>
    <row r="10" spans="1:47" ht="20.100000000000001" customHeight="1" x14ac:dyDescent="0.15">
      <c r="A10" s="91"/>
      <c r="B10" s="532"/>
      <c r="C10" s="533"/>
      <c r="D10" s="533"/>
      <c r="E10" s="533"/>
      <c r="F10" s="533"/>
      <c r="G10" s="538" t="s">
        <v>433</v>
      </c>
      <c r="H10" s="539"/>
      <c r="I10" s="539"/>
      <c r="J10" s="539"/>
      <c r="K10" s="539"/>
      <c r="L10" s="539"/>
      <c r="M10" s="564"/>
      <c r="N10" s="565" t="s">
        <v>386</v>
      </c>
      <c r="O10" s="566"/>
      <c r="P10" s="566"/>
      <c r="Q10" s="566"/>
      <c r="R10" s="566"/>
      <c r="S10" s="566"/>
      <c r="T10" s="566"/>
      <c r="U10" s="566"/>
      <c r="V10" s="566"/>
      <c r="W10" s="566"/>
      <c r="X10" s="566"/>
      <c r="Y10" s="567"/>
      <c r="Z10" s="568" t="s">
        <v>190</v>
      </c>
      <c r="AA10" s="569"/>
      <c r="AB10" s="569"/>
      <c r="AC10" s="569"/>
      <c r="AD10" s="569"/>
      <c r="AE10" s="569"/>
      <c r="AF10" s="569"/>
      <c r="AG10" s="569"/>
      <c r="AH10" s="569"/>
      <c r="AI10" s="569"/>
      <c r="AJ10" s="569"/>
      <c r="AK10" s="569"/>
      <c r="AL10" s="569"/>
      <c r="AM10" s="569"/>
      <c r="AN10" s="569"/>
      <c r="AO10" s="569"/>
      <c r="AP10" s="569"/>
      <c r="AQ10" s="569"/>
      <c r="AR10" s="570"/>
      <c r="AS10" s="91"/>
      <c r="AT10" s="167"/>
    </row>
    <row r="11" spans="1:47" ht="30" customHeight="1" x14ac:dyDescent="0.15">
      <c r="A11" s="91"/>
      <c r="B11" s="532"/>
      <c r="C11" s="533"/>
      <c r="D11" s="533"/>
      <c r="E11" s="533"/>
      <c r="F11" s="533"/>
      <c r="G11" s="538"/>
      <c r="H11" s="539"/>
      <c r="I11" s="539"/>
      <c r="J11" s="539"/>
      <c r="K11" s="539"/>
      <c r="L11" s="539"/>
      <c r="M11" s="564"/>
      <c r="N11" s="555" t="str">
        <f>IF(AND(反映シート!$E$13="トラック事業者",反映シート!$C$116=TRUE),反映シート!$E$57,IF(AND(反映シート!$E$15="トラック事業者",反映シート!$C$116=TRUE),反映シート!$E$96,""))</f>
        <v/>
      </c>
      <c r="O11" s="550"/>
      <c r="P11" s="550"/>
      <c r="Q11" s="550"/>
      <c r="R11" s="550"/>
      <c r="S11" s="550"/>
      <c r="T11" s="550"/>
      <c r="U11" s="550"/>
      <c r="V11" s="550"/>
      <c r="W11" s="550"/>
      <c r="X11" s="550"/>
      <c r="Y11" s="556"/>
      <c r="Z11" s="571" t="s">
        <v>69</v>
      </c>
      <c r="AA11" s="552"/>
      <c r="AB11" s="550" t="str">
        <f>IF(AND(反映シート!$E$13="トラック事業者",反映シート!$C$116=TRUE),反映シート!$E$59,IF(AND(反映シート!$E$15="トラック事業者",反映シート!$C$116=TRUE),反映シート!$E$98,""))</f>
        <v/>
      </c>
      <c r="AC11" s="550"/>
      <c r="AD11" s="550"/>
      <c r="AE11" s="550"/>
      <c r="AF11" s="550"/>
      <c r="AG11" s="550"/>
      <c r="AH11" s="550"/>
      <c r="AI11" s="551" t="s">
        <v>70</v>
      </c>
      <c r="AJ11" s="552"/>
      <c r="AK11" s="550" t="str">
        <f>IF(AND(反映シート!$E$13="トラック事業者",反映シート!$C$116=TRUE),反映シート!$E$61,IF(AND(反映シート!$E$15="トラック事業者",反映シート!$C$116=TRUE),反映シート!$E$100,""))</f>
        <v/>
      </c>
      <c r="AL11" s="550"/>
      <c r="AM11" s="550"/>
      <c r="AN11" s="550"/>
      <c r="AO11" s="550"/>
      <c r="AP11" s="550"/>
      <c r="AQ11" s="550"/>
      <c r="AR11" s="553"/>
      <c r="AS11" s="91"/>
      <c r="AU11" s="166"/>
    </row>
    <row r="12" spans="1:47" ht="20.100000000000001" customHeight="1" x14ac:dyDescent="0.15">
      <c r="A12" s="91"/>
      <c r="B12" s="532"/>
      <c r="C12" s="533"/>
      <c r="D12" s="533"/>
      <c r="E12" s="533"/>
      <c r="F12" s="533"/>
      <c r="G12" s="554" t="s">
        <v>408</v>
      </c>
      <c r="H12" s="554"/>
      <c r="I12" s="554"/>
      <c r="J12" s="554"/>
      <c r="K12" s="554"/>
      <c r="L12" s="554"/>
      <c r="M12" s="554"/>
      <c r="N12" s="555" t="str">
        <f>IF(AND(反映シート!$E$13="トラック事業者",反映シート!$C$116=TRUE),反映シート!$G$373,IF(AND(反映シート!$E$15="トラック事業者",反映シート!$C$116=TRUE),反映シート!$G$387,""))</f>
        <v/>
      </c>
      <c r="O12" s="550"/>
      <c r="P12" s="550"/>
      <c r="Q12" s="550"/>
      <c r="R12" s="550"/>
      <c r="S12" s="550"/>
      <c r="T12" s="550"/>
      <c r="U12" s="550"/>
      <c r="V12" s="550"/>
      <c r="W12" s="550"/>
      <c r="X12" s="550"/>
      <c r="Y12" s="556"/>
      <c r="Z12" s="554" t="s">
        <v>388</v>
      </c>
      <c r="AA12" s="554"/>
      <c r="AB12" s="554"/>
      <c r="AC12" s="554"/>
      <c r="AD12" s="554"/>
      <c r="AE12" s="554"/>
      <c r="AF12" s="554"/>
      <c r="AG12" s="555" t="str">
        <f>IF(AND(反映シート!$E$13="トラック事業者",反映シート!$C$116=TRUE),反映シート!$G$375,IF(AND(反映シート!$E$15="トラック事業者",反映シート!$C$116=TRUE),反映シート!$G$389,""))</f>
        <v/>
      </c>
      <c r="AH12" s="550"/>
      <c r="AI12" s="550"/>
      <c r="AJ12" s="550"/>
      <c r="AK12" s="550"/>
      <c r="AL12" s="550"/>
      <c r="AM12" s="550"/>
      <c r="AN12" s="550"/>
      <c r="AO12" s="550"/>
      <c r="AP12" s="550"/>
      <c r="AQ12" s="550"/>
      <c r="AR12" s="553"/>
      <c r="AS12" s="91"/>
      <c r="AT12" s="167"/>
    </row>
    <row r="13" spans="1:47" ht="20.100000000000001" customHeight="1" x14ac:dyDescent="0.15">
      <c r="A13" s="91"/>
      <c r="B13" s="532"/>
      <c r="C13" s="533"/>
      <c r="D13" s="533"/>
      <c r="E13" s="533"/>
      <c r="F13" s="533"/>
      <c r="G13" s="554" t="s">
        <v>389</v>
      </c>
      <c r="H13" s="554"/>
      <c r="I13" s="554"/>
      <c r="J13" s="554"/>
      <c r="K13" s="554"/>
      <c r="L13" s="554"/>
      <c r="M13" s="554"/>
      <c r="N13" s="524" t="str">
        <f>IF(AND(反映シート!$E$13="トラック事業者",反映シート!$C$116=TRUE),反映シート!$G$377,IF(AND(反映シート!$E$15="トラック事業者",反映シート!$C$116=TRUE),反映シート!$G$391,""))</f>
        <v/>
      </c>
      <c r="O13" s="525"/>
      <c r="P13" s="525"/>
      <c r="Q13" s="525"/>
      <c r="R13" s="525"/>
      <c r="S13" s="525"/>
      <c r="T13" s="525"/>
      <c r="U13" s="525"/>
      <c r="V13" s="525"/>
      <c r="W13" s="525"/>
      <c r="X13" s="525"/>
      <c r="Y13" s="525"/>
      <c r="Z13" s="525"/>
      <c r="AA13" s="525"/>
      <c r="AB13" s="525"/>
      <c r="AC13" s="525"/>
      <c r="AD13" s="525"/>
      <c r="AE13" s="525"/>
      <c r="AF13" s="525"/>
      <c r="AG13" s="525"/>
      <c r="AH13" s="525"/>
      <c r="AI13" s="525"/>
      <c r="AJ13" s="525"/>
      <c r="AK13" s="525"/>
      <c r="AL13" s="525"/>
      <c r="AM13" s="525"/>
      <c r="AN13" s="525"/>
      <c r="AO13" s="525"/>
      <c r="AP13" s="525"/>
      <c r="AQ13" s="525"/>
      <c r="AR13" s="526"/>
      <c r="AS13" s="91"/>
      <c r="AU13" s="166"/>
    </row>
    <row r="14" spans="1:47" ht="20.100000000000001" customHeight="1" x14ac:dyDescent="0.15">
      <c r="A14" s="91"/>
      <c r="B14" s="532"/>
      <c r="C14" s="533"/>
      <c r="D14" s="533"/>
      <c r="E14" s="533"/>
      <c r="F14" s="533"/>
      <c r="G14" s="554" t="s">
        <v>390</v>
      </c>
      <c r="H14" s="554"/>
      <c r="I14" s="554"/>
      <c r="J14" s="554"/>
      <c r="K14" s="554"/>
      <c r="L14" s="554"/>
      <c r="M14" s="554"/>
      <c r="N14" s="555" t="str">
        <f>IF(AND(反映シート!$E$13="トラック事業者",反映シート!$C$116=TRUE),反映シート!$G$379,IF(AND(反映シート!$E$15="トラック事業者",反映シート!$C$116=TRUE),反映シート!$G$393,""))</f>
        <v/>
      </c>
      <c r="O14" s="550"/>
      <c r="P14" s="550"/>
      <c r="Q14" s="550"/>
      <c r="R14" s="550"/>
      <c r="S14" s="550"/>
      <c r="T14" s="550"/>
      <c r="U14" s="550"/>
      <c r="V14" s="550"/>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3"/>
      <c r="AS14" s="91"/>
      <c r="AU14" s="166"/>
    </row>
    <row r="15" spans="1:47" ht="20.100000000000001" customHeight="1" x14ac:dyDescent="0.15">
      <c r="A15" s="91"/>
      <c r="B15" s="532"/>
      <c r="C15" s="533"/>
      <c r="D15" s="533"/>
      <c r="E15" s="533"/>
      <c r="F15" s="533"/>
      <c r="G15" s="592" t="s">
        <v>393</v>
      </c>
      <c r="H15" s="592"/>
      <c r="I15" s="592"/>
      <c r="J15" s="592"/>
      <c r="K15" s="592"/>
      <c r="L15" s="592"/>
      <c r="M15" s="592"/>
      <c r="N15" s="590" t="s">
        <v>434</v>
      </c>
      <c r="O15" s="591"/>
      <c r="P15" s="591"/>
      <c r="Q15" s="591"/>
      <c r="R15" s="591"/>
      <c r="S15" s="591"/>
      <c r="T15" s="591"/>
      <c r="U15" s="591"/>
      <c r="V15" s="591"/>
      <c r="W15" s="591"/>
      <c r="X15" s="591"/>
      <c r="Y15" s="591"/>
      <c r="Z15" s="591"/>
      <c r="AA15" s="591"/>
      <c r="AB15" s="591"/>
      <c r="AC15" s="591"/>
      <c r="AD15" s="591"/>
      <c r="AE15" s="591"/>
      <c r="AF15" s="591"/>
      <c r="AG15" s="591"/>
      <c r="AH15" s="591"/>
      <c r="AI15" s="591"/>
      <c r="AJ15" s="591"/>
      <c r="AK15" s="591"/>
      <c r="AL15" s="591"/>
      <c r="AM15" s="591"/>
      <c r="AN15" s="591"/>
      <c r="AO15" s="591"/>
      <c r="AP15" s="591"/>
      <c r="AQ15" s="591"/>
      <c r="AR15" s="593"/>
      <c r="AS15" s="91"/>
      <c r="AT15" s="167"/>
    </row>
    <row r="16" spans="1:47" ht="20.100000000000001" customHeight="1" x14ac:dyDescent="0.15">
      <c r="A16" s="91"/>
      <c r="B16" s="532"/>
      <c r="C16" s="533"/>
      <c r="D16" s="533"/>
      <c r="E16" s="533"/>
      <c r="F16" s="533"/>
      <c r="G16" s="592"/>
      <c r="H16" s="592"/>
      <c r="I16" s="592"/>
      <c r="J16" s="592"/>
      <c r="K16" s="592"/>
      <c r="L16" s="592"/>
      <c r="M16" s="592"/>
      <c r="N16" s="572" t="s">
        <v>395</v>
      </c>
      <c r="O16" s="573"/>
      <c r="P16" s="574"/>
      <c r="Q16" s="575" t="s">
        <v>396</v>
      </c>
      <c r="R16" s="576"/>
      <c r="S16" s="576"/>
      <c r="T16" s="576"/>
      <c r="U16" s="576"/>
      <c r="V16" s="576"/>
      <c r="W16" s="576"/>
      <c r="X16" s="576"/>
      <c r="Y16" s="576"/>
      <c r="Z16" s="576"/>
      <c r="AA16" s="576"/>
      <c r="AB16" s="576"/>
      <c r="AC16" s="576"/>
      <c r="AD16" s="576"/>
      <c r="AE16" s="576"/>
      <c r="AF16" s="576"/>
      <c r="AG16" s="576"/>
      <c r="AH16" s="576"/>
      <c r="AI16" s="576"/>
      <c r="AJ16" s="576"/>
      <c r="AK16" s="576"/>
      <c r="AL16" s="577"/>
      <c r="AM16" s="594" t="str">
        <f>IF(AND(反映シート!$E$13="トラック事業者",反映シート!$C$116=TRUE),反映シート!$M$71,IF(AND(反映シート!$E$15="トラック事業者",反映シート!$C$116=TRUE),反映シート!M110,""))</f>
        <v/>
      </c>
      <c r="AN16" s="595"/>
      <c r="AO16" s="595"/>
      <c r="AP16" s="595"/>
      <c r="AQ16" s="595"/>
      <c r="AR16" s="596"/>
      <c r="AS16" s="91"/>
      <c r="AU16" s="166"/>
    </row>
    <row r="17" spans="1:64" ht="20.100000000000001" customHeight="1" x14ac:dyDescent="0.15">
      <c r="A17" s="91"/>
      <c r="B17" s="532"/>
      <c r="C17" s="533"/>
      <c r="D17" s="533"/>
      <c r="E17" s="533"/>
      <c r="F17" s="533"/>
      <c r="G17" s="592"/>
      <c r="H17" s="592"/>
      <c r="I17" s="592"/>
      <c r="J17" s="592"/>
      <c r="K17" s="592"/>
      <c r="L17" s="592"/>
      <c r="M17" s="592"/>
      <c r="N17" s="572" t="s">
        <v>397</v>
      </c>
      <c r="O17" s="573"/>
      <c r="P17" s="574"/>
      <c r="Q17" s="575" t="s">
        <v>398</v>
      </c>
      <c r="R17" s="576"/>
      <c r="S17" s="576"/>
      <c r="T17" s="576"/>
      <c r="U17" s="576"/>
      <c r="V17" s="576"/>
      <c r="W17" s="576"/>
      <c r="X17" s="576"/>
      <c r="Y17" s="576"/>
      <c r="Z17" s="576"/>
      <c r="AA17" s="576"/>
      <c r="AB17" s="576"/>
      <c r="AC17" s="576"/>
      <c r="AD17" s="576"/>
      <c r="AE17" s="576"/>
      <c r="AF17" s="576"/>
      <c r="AG17" s="576"/>
      <c r="AH17" s="576"/>
      <c r="AI17" s="576"/>
      <c r="AJ17" s="576"/>
      <c r="AK17" s="576"/>
      <c r="AL17" s="577"/>
      <c r="AM17" s="597"/>
      <c r="AN17" s="598"/>
      <c r="AO17" s="598"/>
      <c r="AP17" s="598"/>
      <c r="AQ17" s="598"/>
      <c r="AR17" s="599"/>
      <c r="AS17" s="91"/>
      <c r="AT17" s="167"/>
    </row>
    <row r="18" spans="1:64" ht="20.100000000000001" customHeight="1" x14ac:dyDescent="0.15">
      <c r="A18" s="91"/>
      <c r="B18" s="532"/>
      <c r="C18" s="533"/>
      <c r="D18" s="533"/>
      <c r="E18" s="533"/>
      <c r="F18" s="533"/>
      <c r="G18" s="592"/>
      <c r="H18" s="592"/>
      <c r="I18" s="592"/>
      <c r="J18" s="592"/>
      <c r="K18" s="592"/>
      <c r="L18" s="592"/>
      <c r="M18" s="592"/>
      <c r="N18" s="572" t="s">
        <v>399</v>
      </c>
      <c r="O18" s="573"/>
      <c r="P18" s="574"/>
      <c r="Q18" s="575" t="s">
        <v>400</v>
      </c>
      <c r="R18" s="576"/>
      <c r="S18" s="576"/>
      <c r="T18" s="576"/>
      <c r="U18" s="576"/>
      <c r="V18" s="576"/>
      <c r="W18" s="576"/>
      <c r="X18" s="576"/>
      <c r="Y18" s="576"/>
      <c r="Z18" s="576"/>
      <c r="AA18" s="576"/>
      <c r="AB18" s="576"/>
      <c r="AC18" s="576"/>
      <c r="AD18" s="576"/>
      <c r="AE18" s="576"/>
      <c r="AF18" s="576"/>
      <c r="AG18" s="576"/>
      <c r="AH18" s="576"/>
      <c r="AI18" s="576"/>
      <c r="AJ18" s="576"/>
      <c r="AK18" s="576"/>
      <c r="AL18" s="577"/>
      <c r="AM18" s="597"/>
      <c r="AN18" s="598"/>
      <c r="AO18" s="598"/>
      <c r="AP18" s="598"/>
      <c r="AQ18" s="598"/>
      <c r="AR18" s="599"/>
      <c r="AS18" s="91"/>
      <c r="AU18" s="166"/>
    </row>
    <row r="19" spans="1:64" ht="20.100000000000001" customHeight="1" x14ac:dyDescent="0.15">
      <c r="A19" s="91"/>
      <c r="B19" s="532"/>
      <c r="C19" s="533"/>
      <c r="D19" s="533"/>
      <c r="E19" s="533"/>
      <c r="F19" s="533"/>
      <c r="G19" s="592"/>
      <c r="H19" s="592"/>
      <c r="I19" s="592"/>
      <c r="J19" s="592"/>
      <c r="K19" s="592"/>
      <c r="L19" s="592"/>
      <c r="M19" s="592"/>
      <c r="N19" s="578" t="s">
        <v>401</v>
      </c>
      <c r="O19" s="579"/>
      <c r="P19" s="580"/>
      <c r="Q19" s="584" t="s">
        <v>402</v>
      </c>
      <c r="R19" s="585"/>
      <c r="S19" s="585"/>
      <c r="T19" s="585"/>
      <c r="U19" s="585"/>
      <c r="V19" s="585"/>
      <c r="W19" s="585"/>
      <c r="X19" s="585"/>
      <c r="Y19" s="585"/>
      <c r="Z19" s="585"/>
      <c r="AA19" s="585"/>
      <c r="AB19" s="585"/>
      <c r="AC19" s="585"/>
      <c r="AD19" s="585"/>
      <c r="AE19" s="585"/>
      <c r="AF19" s="585"/>
      <c r="AG19" s="585"/>
      <c r="AH19" s="585"/>
      <c r="AI19" s="585"/>
      <c r="AJ19" s="585"/>
      <c r="AK19" s="585"/>
      <c r="AL19" s="586"/>
      <c r="AM19" s="597"/>
      <c r="AN19" s="598"/>
      <c r="AO19" s="598"/>
      <c r="AP19" s="598"/>
      <c r="AQ19" s="598"/>
      <c r="AR19" s="599"/>
      <c r="AS19" s="91"/>
      <c r="AT19" s="167"/>
    </row>
    <row r="20" spans="1:64" ht="20.100000000000001" customHeight="1" x14ac:dyDescent="0.15">
      <c r="A20" s="91"/>
      <c r="B20" s="532"/>
      <c r="C20" s="533"/>
      <c r="D20" s="533"/>
      <c r="E20" s="533"/>
      <c r="F20" s="533"/>
      <c r="G20" s="592"/>
      <c r="H20" s="592"/>
      <c r="I20" s="592"/>
      <c r="J20" s="592"/>
      <c r="K20" s="592"/>
      <c r="L20" s="592"/>
      <c r="M20" s="592"/>
      <c r="N20" s="581"/>
      <c r="O20" s="582"/>
      <c r="P20" s="583"/>
      <c r="Q20" s="587"/>
      <c r="R20" s="588"/>
      <c r="S20" s="588"/>
      <c r="T20" s="588"/>
      <c r="U20" s="588"/>
      <c r="V20" s="588"/>
      <c r="W20" s="588"/>
      <c r="X20" s="588"/>
      <c r="Y20" s="588"/>
      <c r="Z20" s="588"/>
      <c r="AA20" s="588"/>
      <c r="AB20" s="588"/>
      <c r="AC20" s="588"/>
      <c r="AD20" s="588"/>
      <c r="AE20" s="588"/>
      <c r="AF20" s="588"/>
      <c r="AG20" s="588"/>
      <c r="AH20" s="588"/>
      <c r="AI20" s="588"/>
      <c r="AJ20" s="588"/>
      <c r="AK20" s="588"/>
      <c r="AL20" s="589"/>
      <c r="AM20" s="600"/>
      <c r="AN20" s="601"/>
      <c r="AO20" s="601"/>
      <c r="AP20" s="601"/>
      <c r="AQ20" s="601"/>
      <c r="AR20" s="602"/>
      <c r="AS20" s="91"/>
      <c r="AU20" s="166"/>
    </row>
    <row r="21" spans="1:64" ht="24.75" customHeight="1" x14ac:dyDescent="0.15">
      <c r="A21" s="91"/>
      <c r="B21" s="532"/>
      <c r="C21" s="533"/>
      <c r="D21" s="533"/>
      <c r="E21" s="533"/>
      <c r="F21" s="533"/>
      <c r="G21" s="536" t="s">
        <v>435</v>
      </c>
      <c r="H21" s="537"/>
      <c r="I21" s="537"/>
      <c r="J21" s="537"/>
      <c r="K21" s="537"/>
      <c r="L21" s="537"/>
      <c r="M21" s="557"/>
      <c r="N21" s="590" t="s">
        <v>436</v>
      </c>
      <c r="O21" s="591"/>
      <c r="P21" s="591"/>
      <c r="Q21" s="591"/>
      <c r="R21" s="591"/>
      <c r="S21" s="591"/>
      <c r="T21" s="591"/>
      <c r="U21" s="591"/>
      <c r="V21" s="591"/>
      <c r="W21" s="591"/>
      <c r="X21" s="591"/>
      <c r="Y21" s="591"/>
      <c r="Z21" s="566" t="s">
        <v>437</v>
      </c>
      <c r="AA21" s="566"/>
      <c r="AB21" s="566"/>
      <c r="AC21" s="566"/>
      <c r="AD21" s="566"/>
      <c r="AE21" s="566"/>
      <c r="AF21" s="566"/>
      <c r="AG21" s="566"/>
      <c r="AH21" s="566"/>
      <c r="AI21" s="566"/>
      <c r="AJ21" s="566"/>
      <c r="AK21" s="566"/>
      <c r="AL21" s="567"/>
      <c r="AM21" s="603" t="str">
        <f>IF(AND(OR(反映シート!$E$13="トラック事業者",反映シート!$E$15="トラック事業者"),反映シート!$C$116=TRUE),反映シート!$I$147,"")</f>
        <v/>
      </c>
      <c r="AN21" s="604"/>
      <c r="AO21" s="604"/>
      <c r="AP21" s="604"/>
      <c r="AQ21" s="605" t="s">
        <v>438</v>
      </c>
      <c r="AR21" s="606"/>
      <c r="AS21" s="91"/>
      <c r="AT21" s="167"/>
    </row>
    <row r="22" spans="1:64" ht="24.75" customHeight="1" x14ac:dyDescent="0.15">
      <c r="A22" s="91"/>
      <c r="B22" s="532"/>
      <c r="C22" s="533"/>
      <c r="D22" s="533"/>
      <c r="E22" s="533"/>
      <c r="F22" s="533"/>
      <c r="G22" s="538"/>
      <c r="H22" s="539"/>
      <c r="I22" s="539"/>
      <c r="J22" s="539"/>
      <c r="K22" s="539"/>
      <c r="L22" s="539"/>
      <c r="M22" s="564"/>
      <c r="N22" s="590"/>
      <c r="O22" s="591"/>
      <c r="P22" s="591"/>
      <c r="Q22" s="591"/>
      <c r="R22" s="591"/>
      <c r="S22" s="591"/>
      <c r="T22" s="591"/>
      <c r="U22" s="591"/>
      <c r="V22" s="591"/>
      <c r="W22" s="591"/>
      <c r="X22" s="591"/>
      <c r="Y22" s="591"/>
      <c r="Z22" s="554" t="s">
        <v>439</v>
      </c>
      <c r="AA22" s="554"/>
      <c r="AB22" s="554"/>
      <c r="AC22" s="554"/>
      <c r="AD22" s="554"/>
      <c r="AE22" s="554"/>
      <c r="AF22" s="554"/>
      <c r="AG22" s="554"/>
      <c r="AH22" s="554"/>
      <c r="AI22" s="554"/>
      <c r="AJ22" s="554"/>
      <c r="AK22" s="554"/>
      <c r="AL22" s="554"/>
      <c r="AM22" s="607" t="str">
        <f>IF(AND(OR(反映シート!$E$13="トラック事業者",反映シート!$E$15="トラック事業者"),反映シート!$C$116=TRUE),反映シート!$I$143,"")</f>
        <v/>
      </c>
      <c r="AN22" s="608"/>
      <c r="AO22" s="608"/>
      <c r="AP22" s="608"/>
      <c r="AQ22" s="609" t="s">
        <v>438</v>
      </c>
      <c r="AR22" s="610"/>
      <c r="AS22" s="91"/>
      <c r="AU22" s="166"/>
    </row>
    <row r="23" spans="1:64" ht="24.75" customHeight="1" x14ac:dyDescent="0.15">
      <c r="A23" s="91"/>
      <c r="B23" s="532"/>
      <c r="C23" s="533"/>
      <c r="D23" s="533"/>
      <c r="E23" s="533"/>
      <c r="F23" s="533"/>
      <c r="G23" s="538"/>
      <c r="H23" s="539"/>
      <c r="I23" s="539"/>
      <c r="J23" s="539"/>
      <c r="K23" s="539"/>
      <c r="L23" s="539"/>
      <c r="M23" s="564"/>
      <c r="N23" s="590"/>
      <c r="O23" s="591"/>
      <c r="P23" s="591"/>
      <c r="Q23" s="591"/>
      <c r="R23" s="591"/>
      <c r="S23" s="591"/>
      <c r="T23" s="591"/>
      <c r="U23" s="591"/>
      <c r="V23" s="591"/>
      <c r="W23" s="591"/>
      <c r="X23" s="591"/>
      <c r="Y23" s="591"/>
      <c r="Z23" s="554" t="s">
        <v>440</v>
      </c>
      <c r="AA23" s="554"/>
      <c r="AB23" s="554"/>
      <c r="AC23" s="554"/>
      <c r="AD23" s="554"/>
      <c r="AE23" s="554"/>
      <c r="AF23" s="554"/>
      <c r="AG23" s="554"/>
      <c r="AH23" s="554"/>
      <c r="AI23" s="554"/>
      <c r="AJ23" s="554"/>
      <c r="AK23" s="554"/>
      <c r="AL23" s="554"/>
      <c r="AM23" s="607" t="str">
        <f>IF(AND(OR(反映シート!$E$13="トラック事業者",反映シート!$E$15="トラック事業者"),反映シート!$C$116=TRUE),反映シート!$I$145,"")</f>
        <v/>
      </c>
      <c r="AN23" s="608"/>
      <c r="AO23" s="608"/>
      <c r="AP23" s="608"/>
      <c r="AQ23" s="609" t="s">
        <v>438</v>
      </c>
      <c r="AR23" s="610"/>
      <c r="AS23" s="91"/>
      <c r="AT23" s="167"/>
    </row>
    <row r="24" spans="1:64" ht="24.75" customHeight="1" x14ac:dyDescent="0.15">
      <c r="A24" s="91"/>
      <c r="B24" s="532"/>
      <c r="C24" s="533"/>
      <c r="D24" s="533"/>
      <c r="E24" s="533"/>
      <c r="F24" s="533"/>
      <c r="G24" s="538"/>
      <c r="H24" s="539"/>
      <c r="I24" s="539"/>
      <c r="J24" s="539"/>
      <c r="K24" s="539"/>
      <c r="L24" s="539"/>
      <c r="M24" s="564"/>
      <c r="N24" s="590"/>
      <c r="O24" s="591"/>
      <c r="P24" s="591"/>
      <c r="Q24" s="591"/>
      <c r="R24" s="591"/>
      <c r="S24" s="591"/>
      <c r="T24" s="591"/>
      <c r="U24" s="591"/>
      <c r="V24" s="591"/>
      <c r="W24" s="591"/>
      <c r="X24" s="591"/>
      <c r="Y24" s="591"/>
      <c r="Z24" s="565" t="s">
        <v>441</v>
      </c>
      <c r="AA24" s="566"/>
      <c r="AB24" s="566"/>
      <c r="AC24" s="566"/>
      <c r="AD24" s="566"/>
      <c r="AE24" s="566"/>
      <c r="AF24" s="566"/>
      <c r="AG24" s="566"/>
      <c r="AH24" s="566"/>
      <c r="AI24" s="566"/>
      <c r="AJ24" s="566"/>
      <c r="AK24" s="566"/>
      <c r="AL24" s="567"/>
      <c r="AM24" s="607" t="str">
        <f>IF(AND(OR(反映シート!$E$13="トラック事業者",反映シート!$E$15="トラック事業者"),反映シート!$C$116=TRUE),反映シート!$I$149,"")</f>
        <v/>
      </c>
      <c r="AN24" s="608"/>
      <c r="AO24" s="608"/>
      <c r="AP24" s="608"/>
      <c r="AQ24" s="609" t="s">
        <v>442</v>
      </c>
      <c r="AR24" s="610"/>
      <c r="AS24" s="91"/>
      <c r="AU24" s="166"/>
    </row>
    <row r="25" spans="1:64" ht="24.75" customHeight="1" x14ac:dyDescent="0.15">
      <c r="A25" s="91"/>
      <c r="B25" s="532"/>
      <c r="C25" s="533"/>
      <c r="D25" s="533"/>
      <c r="E25" s="533"/>
      <c r="F25" s="533"/>
      <c r="G25" s="554" t="s">
        <v>443</v>
      </c>
      <c r="H25" s="554"/>
      <c r="I25" s="554"/>
      <c r="J25" s="554"/>
      <c r="K25" s="554"/>
      <c r="L25" s="554"/>
      <c r="M25" s="554"/>
      <c r="N25" s="623" t="s">
        <v>419</v>
      </c>
      <c r="O25" s="623"/>
      <c r="P25" s="623"/>
      <c r="Q25" s="623"/>
      <c r="R25" s="623"/>
      <c r="S25" s="623"/>
      <c r="T25" s="623"/>
      <c r="U25" s="623"/>
      <c r="V25" s="623"/>
      <c r="W25" s="623"/>
      <c r="X25" s="623"/>
      <c r="Y25" s="623"/>
      <c r="Z25" s="623"/>
      <c r="AA25" s="623"/>
      <c r="AB25" s="623"/>
      <c r="AC25" s="623"/>
      <c r="AD25" s="623"/>
      <c r="AE25" s="623"/>
      <c r="AF25" s="623"/>
      <c r="AG25" s="623"/>
      <c r="AH25" s="623"/>
      <c r="AI25" s="623"/>
      <c r="AJ25" s="623"/>
      <c r="AK25" s="623"/>
      <c r="AL25" s="624"/>
      <c r="AM25" s="607" t="str">
        <f>IF(AND(OR(反映シート!$E$13="トラック事業者",反映シート!$E$15="トラック事業者"),反映シート!$C$116=TRUE),反映シート!$I$152,"")</f>
        <v/>
      </c>
      <c r="AN25" s="608"/>
      <c r="AO25" s="608"/>
      <c r="AP25" s="608"/>
      <c r="AQ25" s="609" t="s">
        <v>438</v>
      </c>
      <c r="AR25" s="610"/>
      <c r="AS25" s="91"/>
      <c r="AT25" s="167"/>
    </row>
    <row r="26" spans="1:64" ht="20.100000000000001" customHeight="1" x14ac:dyDescent="0.15">
      <c r="A26" s="91"/>
      <c r="B26" s="532"/>
      <c r="C26" s="533"/>
      <c r="D26" s="533"/>
      <c r="E26" s="533"/>
      <c r="F26" s="533"/>
      <c r="G26" s="536" t="s">
        <v>444</v>
      </c>
      <c r="H26" s="537"/>
      <c r="I26" s="537"/>
      <c r="J26" s="537"/>
      <c r="K26" s="537"/>
      <c r="L26" s="537"/>
      <c r="M26" s="557"/>
      <c r="N26" s="575" t="s">
        <v>445</v>
      </c>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7"/>
      <c r="AM26" s="614" t="str">
        <f>IF(AND(OR(反映シート!$E$13="トラック事業者",反映シート!$E$15="トラック事業者"),反映シート!$C$116=TRUE,反映シート!I155=TRUE),"✓","")</f>
        <v/>
      </c>
      <c r="AN26" s="615"/>
      <c r="AO26" s="615"/>
      <c r="AP26" s="615"/>
      <c r="AQ26" s="615"/>
      <c r="AR26" s="616"/>
      <c r="AS26" s="91"/>
      <c r="AU26" s="166"/>
      <c r="BK26" s="168" t="s">
        <v>445</v>
      </c>
      <c r="BL26" s="163" t="b">
        <v>0</v>
      </c>
    </row>
    <row r="27" spans="1:64" ht="20.100000000000001" customHeight="1" x14ac:dyDescent="0.15">
      <c r="A27" s="91"/>
      <c r="B27" s="532"/>
      <c r="C27" s="533"/>
      <c r="D27" s="533"/>
      <c r="E27" s="533"/>
      <c r="F27" s="533"/>
      <c r="G27" s="538"/>
      <c r="H27" s="539"/>
      <c r="I27" s="539"/>
      <c r="J27" s="539"/>
      <c r="K27" s="539"/>
      <c r="L27" s="539"/>
      <c r="M27" s="564"/>
      <c r="N27" s="575" t="s">
        <v>446</v>
      </c>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7"/>
      <c r="AM27" s="614" t="str">
        <f>IF(AND(OR(反映シート!$E$13="トラック事業者",反映シート!$E$15="トラック事業者"),反映シート!$C$116=TRUE,反映シート!I157=TRUE),"✓","")</f>
        <v/>
      </c>
      <c r="AN27" s="615"/>
      <c r="AO27" s="615"/>
      <c r="AP27" s="615"/>
      <c r="AQ27" s="615"/>
      <c r="AR27" s="616"/>
      <c r="AS27" s="91"/>
      <c r="AT27" s="167"/>
      <c r="BK27" s="168" t="s">
        <v>447</v>
      </c>
      <c r="BL27" s="163" t="b">
        <v>0</v>
      </c>
    </row>
    <row r="28" spans="1:64" ht="19.5" customHeight="1" thickBot="1" x14ac:dyDescent="0.2">
      <c r="A28" s="91"/>
      <c r="B28" s="534"/>
      <c r="C28" s="535"/>
      <c r="D28" s="535"/>
      <c r="E28" s="535"/>
      <c r="F28" s="535"/>
      <c r="G28" s="611"/>
      <c r="H28" s="612"/>
      <c r="I28" s="612"/>
      <c r="J28" s="612"/>
      <c r="K28" s="612"/>
      <c r="L28" s="612"/>
      <c r="M28" s="613"/>
      <c r="N28" s="617" t="s">
        <v>448</v>
      </c>
      <c r="O28" s="618"/>
      <c r="P28" s="618"/>
      <c r="Q28" s="618"/>
      <c r="R28" s="618"/>
      <c r="S28" s="618"/>
      <c r="T28" s="618"/>
      <c r="U28" s="618"/>
      <c r="V28" s="618"/>
      <c r="W28" s="618"/>
      <c r="X28" s="618"/>
      <c r="Y28" s="618"/>
      <c r="Z28" s="618"/>
      <c r="AA28" s="618"/>
      <c r="AB28" s="618"/>
      <c r="AC28" s="618"/>
      <c r="AD28" s="618"/>
      <c r="AE28" s="618"/>
      <c r="AF28" s="618"/>
      <c r="AG28" s="618"/>
      <c r="AH28" s="618"/>
      <c r="AI28" s="618"/>
      <c r="AJ28" s="618"/>
      <c r="AK28" s="618"/>
      <c r="AL28" s="619"/>
      <c r="AM28" s="620" t="str">
        <f>IF(AND(OR(反映シート!$E$13="トラック事業者",反映シート!$E$15="トラック事業者"),反映シート!$C$116=TRUE,反映シート!I159=TRUE),"✓","")</f>
        <v/>
      </c>
      <c r="AN28" s="621"/>
      <c r="AO28" s="621"/>
      <c r="AP28" s="621"/>
      <c r="AQ28" s="621"/>
      <c r="AR28" s="622"/>
      <c r="AS28" s="91"/>
      <c r="AU28" s="166"/>
      <c r="BK28" s="168" t="s">
        <v>449</v>
      </c>
      <c r="BL28" s="163" t="b">
        <v>0</v>
      </c>
    </row>
    <row r="29" spans="1:64" ht="9" customHeight="1" thickBot="1" x14ac:dyDescent="0.2">
      <c r="A29" s="91"/>
      <c r="B29" s="161"/>
      <c r="C29" s="161"/>
      <c r="D29" s="161"/>
      <c r="E29" s="161"/>
      <c r="F29" s="161"/>
      <c r="G29" s="162"/>
      <c r="H29" s="162"/>
      <c r="I29" s="162"/>
      <c r="J29" s="162"/>
      <c r="K29" s="162"/>
      <c r="L29" s="162"/>
      <c r="M29" s="162"/>
      <c r="N29" s="625"/>
      <c r="O29" s="625"/>
      <c r="P29" s="625"/>
      <c r="Q29" s="91"/>
      <c r="R29" s="91"/>
      <c r="S29" s="91"/>
      <c r="T29" s="91"/>
      <c r="U29" s="91"/>
      <c r="V29" s="91"/>
      <c r="W29" s="91"/>
      <c r="X29" s="91"/>
      <c r="Y29" s="91"/>
      <c r="Z29" s="91"/>
      <c r="AA29" s="91"/>
      <c r="AB29" s="91"/>
      <c r="AC29" s="91"/>
      <c r="AD29" s="91"/>
      <c r="AE29" s="91"/>
      <c r="AF29" s="91"/>
      <c r="AG29" s="91"/>
      <c r="AH29" s="91"/>
      <c r="AI29" s="91"/>
      <c r="AJ29" s="91"/>
      <c r="AK29" s="91"/>
      <c r="AL29" s="91"/>
      <c r="AM29" s="161"/>
      <c r="AN29" s="161"/>
      <c r="AO29" s="161"/>
      <c r="AP29" s="161"/>
      <c r="AQ29" s="161"/>
      <c r="AR29" s="161"/>
      <c r="AS29" s="91"/>
      <c r="AT29" s="167"/>
    </row>
    <row r="30" spans="1:64" ht="15" customHeight="1" x14ac:dyDescent="0.15">
      <c r="A30" s="91"/>
      <c r="B30" s="626" t="s">
        <v>405</v>
      </c>
      <c r="C30" s="627"/>
      <c r="D30" s="627"/>
      <c r="E30" s="627"/>
      <c r="F30" s="628"/>
      <c r="G30" s="631" t="s">
        <v>381</v>
      </c>
      <c r="H30" s="631"/>
      <c r="I30" s="631"/>
      <c r="J30" s="631"/>
      <c r="K30" s="632" t="s">
        <v>78</v>
      </c>
      <c r="L30" s="633"/>
      <c r="M30" s="634"/>
      <c r="N30" s="635" t="s">
        <v>450</v>
      </c>
      <c r="O30" s="636"/>
      <c r="P30" s="637" t="str">
        <f>IF(AND(反映シート!$E$13="リース事業者",反映シート!$C$116=TRUE),LEFT(反映シート!$E$41,3),IF(AND(反映シート!$E$15="リース事業者",反映シート!$C$116=TRUE),LEFT(反映シート!$E$80,3),""))</f>
        <v/>
      </c>
      <c r="Q30" s="638"/>
      <c r="R30" s="639"/>
      <c r="S30" s="90" t="s">
        <v>406</v>
      </c>
      <c r="T30" s="660" t="str">
        <f>IF(AND(反映シート!$E$13="リース事業者",反映シート!$C$116=TRUE),RIGHT(反映シート!$E$41,4),IF(AND(反映シート!$E$15="リース事業者",反映シート!$C$116=TRUE),RIGHT(反映シート!$E$80,4),""))</f>
        <v/>
      </c>
      <c r="U30" s="660"/>
      <c r="V30" s="660"/>
      <c r="W30" s="660"/>
      <c r="X30" s="655" t="str">
        <f>IF(AND(反映シート!$E$13="リース事業者",反映シート!$C$116=TRUE),"✓","")</f>
        <v/>
      </c>
      <c r="Y30" s="656"/>
      <c r="Z30" s="653" t="s">
        <v>452</v>
      </c>
      <c r="AA30" s="653"/>
      <c r="AB30" s="653"/>
      <c r="AC30" s="653"/>
      <c r="AD30" s="653"/>
      <c r="AE30" s="653"/>
      <c r="AF30" s="653"/>
      <c r="AG30" s="653"/>
      <c r="AH30" s="653"/>
      <c r="AI30" s="653"/>
      <c r="AJ30" s="653"/>
      <c r="AK30" s="653"/>
      <c r="AL30" s="653"/>
      <c r="AM30" s="653"/>
      <c r="AN30" s="653"/>
      <c r="AO30" s="653"/>
      <c r="AP30" s="653"/>
      <c r="AQ30" s="653"/>
      <c r="AR30" s="654"/>
      <c r="AS30" s="91"/>
      <c r="AU30" s="166"/>
    </row>
    <row r="31" spans="1:64" ht="15" customHeight="1" x14ac:dyDescent="0.15">
      <c r="A31" s="91"/>
      <c r="B31" s="532"/>
      <c r="C31" s="533"/>
      <c r="D31" s="533"/>
      <c r="E31" s="533"/>
      <c r="F31" s="629"/>
      <c r="G31" s="539"/>
      <c r="H31" s="539"/>
      <c r="I31" s="539"/>
      <c r="J31" s="539"/>
      <c r="K31" s="512" t="s">
        <v>79</v>
      </c>
      <c r="L31" s="513"/>
      <c r="M31" s="514"/>
      <c r="N31" s="518" t="str">
        <f>IF(AND(反映シート!$E$13="リース事業者",反映シート!$C$116=TRUE),反映シート!$E$43,IF(AND(反映シート!$E$15="リース事業者",反映シート!$C$116=TRUE),反映シート!$E$82,""))</f>
        <v/>
      </c>
      <c r="O31" s="519"/>
      <c r="P31" s="519"/>
      <c r="Q31" s="519"/>
      <c r="R31" s="519"/>
      <c r="S31" s="519"/>
      <c r="T31" s="519"/>
      <c r="U31" s="519"/>
      <c r="V31" s="519"/>
      <c r="W31" s="519"/>
      <c r="X31" s="657"/>
      <c r="Y31" s="658"/>
      <c r="Z31" s="651"/>
      <c r="AA31" s="651"/>
      <c r="AB31" s="651"/>
      <c r="AC31" s="651"/>
      <c r="AD31" s="651"/>
      <c r="AE31" s="651"/>
      <c r="AF31" s="651"/>
      <c r="AG31" s="651"/>
      <c r="AH31" s="651"/>
      <c r="AI31" s="651"/>
      <c r="AJ31" s="651"/>
      <c r="AK31" s="651"/>
      <c r="AL31" s="651"/>
      <c r="AM31" s="651"/>
      <c r="AN31" s="651"/>
      <c r="AO31" s="651"/>
      <c r="AP31" s="651"/>
      <c r="AQ31" s="651"/>
      <c r="AR31" s="652"/>
      <c r="AS31" s="91"/>
      <c r="AT31" s="167"/>
    </row>
    <row r="32" spans="1:64" ht="15" customHeight="1" x14ac:dyDescent="0.15">
      <c r="A32" s="91"/>
      <c r="B32" s="532"/>
      <c r="C32" s="533"/>
      <c r="D32" s="533"/>
      <c r="E32" s="533"/>
      <c r="F32" s="629"/>
      <c r="G32" s="539"/>
      <c r="H32" s="539"/>
      <c r="I32" s="539"/>
      <c r="J32" s="539"/>
      <c r="K32" s="512" t="s">
        <v>81</v>
      </c>
      <c r="L32" s="513"/>
      <c r="M32" s="514"/>
      <c r="N32" s="515" t="str">
        <f>IF(AND(反映シート!$E$13="リース事業者",反映シート!$C$116=TRUE),反映シート!$E$45,IF(AND(反映シート!$E$15="リース事業者",反映シート!$C$116=TRUE),反映シート!$E$84,""))</f>
        <v/>
      </c>
      <c r="O32" s="516"/>
      <c r="P32" s="516"/>
      <c r="Q32" s="516"/>
      <c r="R32" s="516"/>
      <c r="S32" s="516"/>
      <c r="T32" s="516"/>
      <c r="U32" s="516"/>
      <c r="V32" s="516"/>
      <c r="W32" s="516"/>
      <c r="X32" s="516"/>
      <c r="Y32" s="516"/>
      <c r="Z32" s="516"/>
      <c r="AA32" s="516"/>
      <c r="AB32" s="516"/>
      <c r="AC32" s="516"/>
      <c r="AD32" s="516"/>
      <c r="AE32" s="516"/>
      <c r="AF32" s="516"/>
      <c r="AG32" s="516"/>
      <c r="AH32" s="516"/>
      <c r="AI32" s="516"/>
      <c r="AJ32" s="516"/>
      <c r="AK32" s="516"/>
      <c r="AL32" s="516"/>
      <c r="AM32" s="516"/>
      <c r="AN32" s="516"/>
      <c r="AO32" s="516"/>
      <c r="AP32" s="516"/>
      <c r="AQ32" s="516"/>
      <c r="AR32" s="517"/>
      <c r="AS32" s="91"/>
      <c r="AU32" s="166"/>
    </row>
    <row r="33" spans="1:47" ht="15" customHeight="1" x14ac:dyDescent="0.15">
      <c r="A33" s="91"/>
      <c r="B33" s="532"/>
      <c r="C33" s="533"/>
      <c r="D33" s="533"/>
      <c r="E33" s="533"/>
      <c r="F33" s="629"/>
      <c r="G33" s="539"/>
      <c r="H33" s="539"/>
      <c r="I33" s="539"/>
      <c r="J33" s="539"/>
      <c r="K33" s="512" t="s">
        <v>82</v>
      </c>
      <c r="L33" s="513"/>
      <c r="M33" s="514"/>
      <c r="N33" s="518" t="str">
        <f>IF(AND(反映シート!$E$13="リース事業者",反映シート!$C$116=TRUE),反映シート!$E$47,IF(AND(反映シート!$E$15="リース事業者",反映シート!$C$116=TRUE),反映シート!$E$86,""))</f>
        <v/>
      </c>
      <c r="O33" s="519"/>
      <c r="P33" s="519"/>
      <c r="Q33" s="519"/>
      <c r="R33" s="519"/>
      <c r="S33" s="519"/>
      <c r="T33" s="519"/>
      <c r="U33" s="519"/>
      <c r="V33" s="519"/>
      <c r="W33" s="519"/>
      <c r="X33" s="519"/>
      <c r="Y33" s="519"/>
      <c r="Z33" s="519"/>
      <c r="AA33" s="519"/>
      <c r="AB33" s="519"/>
      <c r="AC33" s="519"/>
      <c r="AD33" s="519"/>
      <c r="AE33" s="519"/>
      <c r="AF33" s="519"/>
      <c r="AG33" s="519"/>
      <c r="AH33" s="519"/>
      <c r="AI33" s="519"/>
      <c r="AJ33" s="519"/>
      <c r="AK33" s="519"/>
      <c r="AL33" s="519"/>
      <c r="AM33" s="519"/>
      <c r="AN33" s="519"/>
      <c r="AO33" s="519"/>
      <c r="AP33" s="519"/>
      <c r="AQ33" s="519"/>
      <c r="AR33" s="520"/>
      <c r="AS33" s="91"/>
      <c r="AT33" s="167"/>
    </row>
    <row r="34" spans="1:47" ht="15" customHeight="1" x14ac:dyDescent="0.15">
      <c r="A34" s="91"/>
      <c r="B34" s="532"/>
      <c r="C34" s="533"/>
      <c r="D34" s="533"/>
      <c r="E34" s="533"/>
      <c r="F34" s="629"/>
      <c r="G34" s="541"/>
      <c r="H34" s="541"/>
      <c r="I34" s="541"/>
      <c r="J34" s="541"/>
      <c r="K34" s="521" t="s">
        <v>83</v>
      </c>
      <c r="L34" s="522"/>
      <c r="M34" s="523"/>
      <c r="N34" s="524" t="str">
        <f>IF(AND(反映シート!$E$13="リース事業者",反映シート!$C$116=TRUE),反映シート!$E$49,IF(AND(反映シート!$E$15="リース事業者",反映シート!$C$116=TRUE),反映シート!$E$88,""))</f>
        <v/>
      </c>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c r="AN34" s="525"/>
      <c r="AO34" s="525"/>
      <c r="AP34" s="525"/>
      <c r="AQ34" s="525"/>
      <c r="AR34" s="526"/>
      <c r="AS34" s="91"/>
      <c r="AU34" s="166"/>
    </row>
    <row r="35" spans="1:47" ht="20.100000000000001" customHeight="1" x14ac:dyDescent="0.15">
      <c r="A35" s="91"/>
      <c r="B35" s="532"/>
      <c r="C35" s="533"/>
      <c r="D35" s="533"/>
      <c r="E35" s="533"/>
      <c r="F35" s="629"/>
      <c r="G35" s="537" t="s">
        <v>382</v>
      </c>
      <c r="H35" s="537"/>
      <c r="I35" s="537"/>
      <c r="J35" s="537"/>
      <c r="K35" s="557"/>
      <c r="L35" s="559" t="s">
        <v>383</v>
      </c>
      <c r="M35" s="544"/>
      <c r="N35" s="560" t="str">
        <f>IF(AND(反映シート!$E$13="リース事業者",反映シート!$C$116=TRUE),反映シート!$E$53,IF(AND(反映シート!$E$15="リース事業者",反映シート!$C$116=TRUE),反映シート!$E$92,""))</f>
        <v/>
      </c>
      <c r="O35" s="561"/>
      <c r="P35" s="561"/>
      <c r="Q35" s="561"/>
      <c r="R35" s="561"/>
      <c r="S35" s="561"/>
      <c r="T35" s="561"/>
      <c r="U35" s="561"/>
      <c r="V35" s="561"/>
      <c r="W35" s="561"/>
      <c r="X35" s="561"/>
      <c r="Y35" s="561"/>
      <c r="Z35" s="561"/>
      <c r="AA35" s="561"/>
      <c r="AB35" s="561"/>
      <c r="AC35" s="561"/>
      <c r="AD35" s="561"/>
      <c r="AE35" s="561"/>
      <c r="AF35" s="561"/>
      <c r="AG35" s="561"/>
      <c r="AH35" s="561"/>
      <c r="AI35" s="561"/>
      <c r="AJ35" s="561"/>
      <c r="AK35" s="561"/>
      <c r="AL35" s="561"/>
      <c r="AM35" s="561"/>
      <c r="AN35" s="561"/>
      <c r="AO35" s="561"/>
      <c r="AP35" s="561"/>
      <c r="AQ35" s="561"/>
      <c r="AR35" s="562"/>
      <c r="AS35" s="91"/>
      <c r="AT35" s="167"/>
    </row>
    <row r="36" spans="1:47" ht="30" customHeight="1" x14ac:dyDescent="0.15">
      <c r="A36" s="91"/>
      <c r="B36" s="532"/>
      <c r="C36" s="533"/>
      <c r="D36" s="533"/>
      <c r="E36" s="533"/>
      <c r="F36" s="629"/>
      <c r="G36" s="541"/>
      <c r="H36" s="541"/>
      <c r="I36" s="541"/>
      <c r="J36" s="541"/>
      <c r="K36" s="558"/>
      <c r="L36" s="563" t="s">
        <v>384</v>
      </c>
      <c r="M36" s="523"/>
      <c r="N36" s="524" t="str">
        <f>IF(AND(反映シート!$E$13="リース事業者",反映シート!$C$116=TRUE),反映シート!$E$51,IF(AND(反映シート!$E$15="リース事業者",反映シート!$C$116=TRUE),反映シート!$E$90,""))</f>
        <v/>
      </c>
      <c r="O36" s="525"/>
      <c r="P36" s="525"/>
      <c r="Q36" s="525"/>
      <c r="R36" s="525"/>
      <c r="S36" s="525"/>
      <c r="T36" s="525"/>
      <c r="U36" s="525"/>
      <c r="V36" s="525"/>
      <c r="W36" s="525"/>
      <c r="X36" s="525"/>
      <c r="Y36" s="525"/>
      <c r="Z36" s="525"/>
      <c r="AA36" s="525"/>
      <c r="AB36" s="525"/>
      <c r="AC36" s="525"/>
      <c r="AD36" s="525"/>
      <c r="AE36" s="525"/>
      <c r="AF36" s="525"/>
      <c r="AG36" s="525"/>
      <c r="AH36" s="525"/>
      <c r="AI36" s="525"/>
      <c r="AJ36" s="525"/>
      <c r="AK36" s="525"/>
      <c r="AL36" s="525"/>
      <c r="AM36" s="525"/>
      <c r="AN36" s="525"/>
      <c r="AO36" s="525"/>
      <c r="AP36" s="525"/>
      <c r="AQ36" s="525"/>
      <c r="AR36" s="526"/>
      <c r="AS36" s="91"/>
      <c r="AU36" s="166"/>
    </row>
    <row r="37" spans="1:47" ht="19.5" customHeight="1" x14ac:dyDescent="0.15">
      <c r="A37" s="91"/>
      <c r="B37" s="532"/>
      <c r="C37" s="533"/>
      <c r="D37" s="533"/>
      <c r="E37" s="533"/>
      <c r="F37" s="629"/>
      <c r="G37" s="537" t="s">
        <v>407</v>
      </c>
      <c r="H37" s="537"/>
      <c r="I37" s="537"/>
      <c r="J37" s="537"/>
      <c r="K37" s="537"/>
      <c r="L37" s="537"/>
      <c r="M37" s="557"/>
      <c r="N37" s="565" t="s">
        <v>386</v>
      </c>
      <c r="O37" s="566"/>
      <c r="P37" s="566"/>
      <c r="Q37" s="566"/>
      <c r="R37" s="566"/>
      <c r="S37" s="566"/>
      <c r="T37" s="566"/>
      <c r="U37" s="566"/>
      <c r="V37" s="566"/>
      <c r="W37" s="566"/>
      <c r="X37" s="566"/>
      <c r="Y37" s="567"/>
      <c r="Z37" s="568" t="s">
        <v>190</v>
      </c>
      <c r="AA37" s="569"/>
      <c r="AB37" s="569"/>
      <c r="AC37" s="569"/>
      <c r="AD37" s="569"/>
      <c r="AE37" s="569"/>
      <c r="AF37" s="569"/>
      <c r="AG37" s="569"/>
      <c r="AH37" s="569"/>
      <c r="AI37" s="569"/>
      <c r="AJ37" s="569"/>
      <c r="AK37" s="569"/>
      <c r="AL37" s="569"/>
      <c r="AM37" s="569"/>
      <c r="AN37" s="569"/>
      <c r="AO37" s="569"/>
      <c r="AP37" s="569"/>
      <c r="AQ37" s="569"/>
      <c r="AR37" s="570"/>
      <c r="AS37" s="91"/>
      <c r="AT37" s="167"/>
    </row>
    <row r="38" spans="1:47" ht="30" customHeight="1" x14ac:dyDescent="0.15">
      <c r="A38" s="91"/>
      <c r="B38" s="532"/>
      <c r="C38" s="533"/>
      <c r="D38" s="533"/>
      <c r="E38" s="533"/>
      <c r="F38" s="629"/>
      <c r="G38" s="539"/>
      <c r="H38" s="539"/>
      <c r="I38" s="539"/>
      <c r="J38" s="539"/>
      <c r="K38" s="539"/>
      <c r="L38" s="539"/>
      <c r="M38" s="564"/>
      <c r="N38" s="555" t="str">
        <f>IF(AND(反映シート!$E$13="リース事業者",反映シート!$C$116=TRUE),反映シート!$E$57,IF(AND(反映シート!$E$15="リース事業者",反映シート!$C$116=TRUE),反映シート!$E$96,""))</f>
        <v/>
      </c>
      <c r="O38" s="550"/>
      <c r="P38" s="550"/>
      <c r="Q38" s="550"/>
      <c r="R38" s="550"/>
      <c r="S38" s="550"/>
      <c r="T38" s="550"/>
      <c r="U38" s="550"/>
      <c r="V38" s="550"/>
      <c r="W38" s="550"/>
      <c r="X38" s="550"/>
      <c r="Y38" s="556"/>
      <c r="Z38" s="571" t="s">
        <v>69</v>
      </c>
      <c r="AA38" s="552"/>
      <c r="AB38" s="550" t="str">
        <f>IF(AND(反映シート!$E$13="リース事業者",反映シート!$C$116=TRUE),反映シート!$E$59,IF(AND(反映シート!$E$15="リース事業者",反映シート!$C$116=TRUE),反映シート!$E$98,""))</f>
        <v/>
      </c>
      <c r="AC38" s="550"/>
      <c r="AD38" s="550"/>
      <c r="AE38" s="550"/>
      <c r="AF38" s="550"/>
      <c r="AG38" s="550"/>
      <c r="AH38" s="550"/>
      <c r="AI38" s="551" t="s">
        <v>70</v>
      </c>
      <c r="AJ38" s="552"/>
      <c r="AK38" s="550" t="str">
        <f>IF(AND(反映シート!$E$13="リース事業者",反映シート!$C$116=TRUE),反映シート!$E$61,IF(AND(反映シート!$E$15="リース事業者",反映シート!$C$116=TRUE),反映シート!$E$100,""))</f>
        <v/>
      </c>
      <c r="AL38" s="550"/>
      <c r="AM38" s="550"/>
      <c r="AN38" s="550"/>
      <c r="AO38" s="550"/>
      <c r="AP38" s="550"/>
      <c r="AQ38" s="550"/>
      <c r="AR38" s="553"/>
      <c r="AS38" s="91"/>
      <c r="AU38" s="166"/>
    </row>
    <row r="39" spans="1:47" ht="19.5" customHeight="1" x14ac:dyDescent="0.15">
      <c r="A39" s="91"/>
      <c r="B39" s="532"/>
      <c r="C39" s="533"/>
      <c r="D39" s="533"/>
      <c r="E39" s="533"/>
      <c r="F39" s="629"/>
      <c r="G39" s="557" t="s">
        <v>408</v>
      </c>
      <c r="H39" s="659"/>
      <c r="I39" s="659"/>
      <c r="J39" s="659"/>
      <c r="K39" s="659"/>
      <c r="L39" s="659"/>
      <c r="M39" s="659"/>
      <c r="N39" s="555" t="str">
        <f>IF(AND(反映シート!$E$13="リース事業者",反映シート!$C$116=TRUE),反映シート!$G$373,IF(AND(反映シート!$E$15="リース事業者",反映シート!$C$116=TRUE),反映シート!$G$387,""))</f>
        <v/>
      </c>
      <c r="O39" s="550"/>
      <c r="P39" s="550"/>
      <c r="Q39" s="550"/>
      <c r="R39" s="550"/>
      <c r="S39" s="550"/>
      <c r="T39" s="550"/>
      <c r="U39" s="550"/>
      <c r="V39" s="550"/>
      <c r="W39" s="550"/>
      <c r="X39" s="550"/>
      <c r="Y39" s="556"/>
      <c r="Z39" s="554" t="s">
        <v>388</v>
      </c>
      <c r="AA39" s="554"/>
      <c r="AB39" s="554"/>
      <c r="AC39" s="554"/>
      <c r="AD39" s="554"/>
      <c r="AE39" s="554"/>
      <c r="AF39" s="554"/>
      <c r="AG39" s="555" t="str">
        <f>IF(AND(反映シート!$E$13="リース事業者",反映シート!$C$116=TRUE),反映シート!$G$375,IF(AND(反映シート!$E$15="リース事業者",反映シート!$C$116=TRUE),反映シート!$G$389,""))</f>
        <v/>
      </c>
      <c r="AH39" s="550"/>
      <c r="AI39" s="550"/>
      <c r="AJ39" s="550"/>
      <c r="AK39" s="550"/>
      <c r="AL39" s="550"/>
      <c r="AM39" s="550"/>
      <c r="AN39" s="550"/>
      <c r="AO39" s="550"/>
      <c r="AP39" s="550"/>
      <c r="AQ39" s="550"/>
      <c r="AR39" s="553"/>
      <c r="AS39" s="91"/>
      <c r="AT39" s="167"/>
    </row>
    <row r="40" spans="1:47" ht="19.5" customHeight="1" x14ac:dyDescent="0.15">
      <c r="A40" s="91"/>
      <c r="B40" s="532"/>
      <c r="C40" s="533"/>
      <c r="D40" s="533"/>
      <c r="E40" s="533"/>
      <c r="F40" s="629"/>
      <c r="G40" s="537" t="s">
        <v>389</v>
      </c>
      <c r="H40" s="537"/>
      <c r="I40" s="537"/>
      <c r="J40" s="537"/>
      <c r="K40" s="537"/>
      <c r="L40" s="537"/>
      <c r="M40" s="557"/>
      <c r="N40" s="524" t="str">
        <f>IF(AND(反映シート!$E$13="リース事業者",反映シート!$C$116=TRUE),反映シート!$G$377,IF(AND(反映シート!$E$15="リース事業者",反映シート!$C$116=TRUE),反映シート!$G$391,""))</f>
        <v/>
      </c>
      <c r="O40" s="525"/>
      <c r="P40" s="525"/>
      <c r="Q40" s="525"/>
      <c r="R40" s="525"/>
      <c r="S40" s="525"/>
      <c r="T40" s="525"/>
      <c r="U40" s="525"/>
      <c r="V40" s="525"/>
      <c r="W40" s="525"/>
      <c r="X40" s="525"/>
      <c r="Y40" s="525"/>
      <c r="Z40" s="525"/>
      <c r="AA40" s="525"/>
      <c r="AB40" s="525"/>
      <c r="AC40" s="525"/>
      <c r="AD40" s="525"/>
      <c r="AE40" s="525"/>
      <c r="AF40" s="525"/>
      <c r="AG40" s="525"/>
      <c r="AH40" s="525"/>
      <c r="AI40" s="525"/>
      <c r="AJ40" s="525"/>
      <c r="AK40" s="525"/>
      <c r="AL40" s="525"/>
      <c r="AM40" s="525"/>
      <c r="AN40" s="525"/>
      <c r="AO40" s="525"/>
      <c r="AP40" s="525"/>
      <c r="AQ40" s="525"/>
      <c r="AR40" s="526"/>
      <c r="AS40" s="91"/>
      <c r="AU40" s="166"/>
    </row>
    <row r="41" spans="1:47" ht="20.100000000000001" customHeight="1" thickBot="1" x14ac:dyDescent="0.2">
      <c r="A41" s="91"/>
      <c r="B41" s="534"/>
      <c r="C41" s="535"/>
      <c r="D41" s="535"/>
      <c r="E41" s="535"/>
      <c r="F41" s="630"/>
      <c r="G41" s="640" t="s">
        <v>390</v>
      </c>
      <c r="H41" s="641"/>
      <c r="I41" s="641"/>
      <c r="J41" s="641"/>
      <c r="K41" s="641"/>
      <c r="L41" s="641"/>
      <c r="M41" s="641"/>
      <c r="N41" s="642" t="str">
        <f>IF(AND(反映シート!$E$13="リース事業者",反映シート!$C$116=TRUE),反映シート!$G$379,IF(AND(反映シート!$E$15="リース事業者",反映シート!$C$116=TRUE),反映シート!$G$393,""))</f>
        <v/>
      </c>
      <c r="O41" s="643"/>
      <c r="P41" s="643"/>
      <c r="Q41" s="643"/>
      <c r="R41" s="643"/>
      <c r="S41" s="643"/>
      <c r="T41" s="643"/>
      <c r="U41" s="643"/>
      <c r="V41" s="643"/>
      <c r="W41" s="643"/>
      <c r="X41" s="643"/>
      <c r="Y41" s="643"/>
      <c r="Z41" s="643"/>
      <c r="AA41" s="643"/>
      <c r="AB41" s="643"/>
      <c r="AC41" s="643"/>
      <c r="AD41" s="643"/>
      <c r="AE41" s="643"/>
      <c r="AF41" s="643"/>
      <c r="AG41" s="643"/>
      <c r="AH41" s="643"/>
      <c r="AI41" s="643"/>
      <c r="AJ41" s="643"/>
      <c r="AK41" s="643"/>
      <c r="AL41" s="643"/>
      <c r="AM41" s="643"/>
      <c r="AN41" s="643"/>
      <c r="AO41" s="643"/>
      <c r="AP41" s="643"/>
      <c r="AQ41" s="643"/>
      <c r="AR41" s="644"/>
      <c r="AS41" s="91"/>
      <c r="AU41" s="166"/>
    </row>
    <row r="42" spans="1:47" ht="16.5" customHeight="1" x14ac:dyDescent="0.15">
      <c r="A42" s="160"/>
      <c r="B42" s="165"/>
      <c r="C42" s="160"/>
      <c r="D42" s="160"/>
      <c r="E42" s="160"/>
      <c r="F42" s="160"/>
      <c r="G42" s="160"/>
      <c r="H42" s="160"/>
      <c r="I42" s="160"/>
      <c r="J42" s="160"/>
      <c r="K42" s="160"/>
      <c r="L42" s="160"/>
      <c r="M42" s="160"/>
      <c r="N42" s="160"/>
      <c r="O42" s="160"/>
      <c r="P42" s="160"/>
      <c r="Q42" s="160"/>
      <c r="R42" s="160"/>
      <c r="S42" s="160"/>
      <c r="T42" s="160"/>
      <c r="U42" s="160"/>
      <c r="V42" s="160"/>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167"/>
    </row>
    <row r="43" spans="1:47" ht="16.5" customHeight="1" x14ac:dyDescent="0.15">
      <c r="AU43" s="166"/>
    </row>
  </sheetData>
  <sheetProtection algorithmName="SHA-512" hashValue="vBh7rV/kJ3FCG6efkWOYeO2JrJJSMI6PldoLwMdmux0yZrROQ1yfGh5pcxXBXozyTwy3EEO1kYlfCUZ425HndA==" saltValue="eV6MM4tbILxUV7RNtdk/Ew==" spinCount="100000" sheet="1" objects="1" scenarios="1" selectLockedCells="1"/>
  <protectedRanges>
    <protectedRange sqref="P3 N5:N7 Z11 AM16 Z38 AM21:AM28 P30 N32:N34" name="範囲1_7"/>
    <protectedRange sqref="N8:N9 N35:N36" name="範囲1"/>
    <protectedRange sqref="N11 N38" name="範囲1_5"/>
    <protectedRange sqref="N13:N14 N40:N41" name="範囲1_1"/>
    <protectedRange sqref="N12 AG12 N39 AG39" name="範囲1_3"/>
    <protectedRange sqref="N4 N31" name="範囲1_7_2"/>
  </protectedRanges>
  <mergeCells count="112">
    <mergeCell ref="X3:Y4"/>
    <mergeCell ref="Z3:AR4"/>
    <mergeCell ref="Z30:AR31"/>
    <mergeCell ref="X30:Y31"/>
    <mergeCell ref="AB38:AH38"/>
    <mergeCell ref="AI38:AJ38"/>
    <mergeCell ref="AK38:AR38"/>
    <mergeCell ref="G39:M39"/>
    <mergeCell ref="N39:Y39"/>
    <mergeCell ref="Z39:AF39"/>
    <mergeCell ref="AG39:AR39"/>
    <mergeCell ref="G35:K36"/>
    <mergeCell ref="L35:M35"/>
    <mergeCell ref="N35:AR35"/>
    <mergeCell ref="L36:M36"/>
    <mergeCell ref="N36:AR36"/>
    <mergeCell ref="G37:M38"/>
    <mergeCell ref="N37:Y37"/>
    <mergeCell ref="Z37:AR37"/>
    <mergeCell ref="N38:Y38"/>
    <mergeCell ref="Z38:AA38"/>
    <mergeCell ref="T30:W30"/>
    <mergeCell ref="K31:M31"/>
    <mergeCell ref="N31:W31"/>
    <mergeCell ref="K32:M32"/>
    <mergeCell ref="N32:AR32"/>
    <mergeCell ref="N29:P29"/>
    <mergeCell ref="B30:F41"/>
    <mergeCell ref="G30:J34"/>
    <mergeCell ref="K30:M30"/>
    <mergeCell ref="N30:O30"/>
    <mergeCell ref="P30:R30"/>
    <mergeCell ref="K33:M33"/>
    <mergeCell ref="N33:AR33"/>
    <mergeCell ref="K34:M34"/>
    <mergeCell ref="N34:AR34"/>
    <mergeCell ref="G40:M40"/>
    <mergeCell ref="N40:AR40"/>
    <mergeCell ref="G41:M41"/>
    <mergeCell ref="N41:AR41"/>
    <mergeCell ref="G26:M28"/>
    <mergeCell ref="N26:AL26"/>
    <mergeCell ref="AM26:AR26"/>
    <mergeCell ref="N27:AL27"/>
    <mergeCell ref="AM27:AR27"/>
    <mergeCell ref="N28:AL28"/>
    <mergeCell ref="AM28:AR28"/>
    <mergeCell ref="AM24:AP24"/>
    <mergeCell ref="AQ24:AR24"/>
    <mergeCell ref="G25:M25"/>
    <mergeCell ref="N25:AL25"/>
    <mergeCell ref="AM25:AP25"/>
    <mergeCell ref="AQ25:AR25"/>
    <mergeCell ref="N19:P20"/>
    <mergeCell ref="Q19:AL20"/>
    <mergeCell ref="G21:M24"/>
    <mergeCell ref="N21:Y24"/>
    <mergeCell ref="Z21:AL21"/>
    <mergeCell ref="Z24:AL24"/>
    <mergeCell ref="G13:M13"/>
    <mergeCell ref="N13:AR13"/>
    <mergeCell ref="G14:M14"/>
    <mergeCell ref="N14:AR14"/>
    <mergeCell ref="G15:M20"/>
    <mergeCell ref="N15:AR15"/>
    <mergeCell ref="N16:P16"/>
    <mergeCell ref="Q16:AL16"/>
    <mergeCell ref="AM16:AR20"/>
    <mergeCell ref="N17:P17"/>
    <mergeCell ref="AM21:AP21"/>
    <mergeCell ref="AQ21:AR21"/>
    <mergeCell ref="Z22:AL22"/>
    <mergeCell ref="AM22:AP22"/>
    <mergeCell ref="AQ22:AR22"/>
    <mergeCell ref="Z23:AL23"/>
    <mergeCell ref="AM23:AP23"/>
    <mergeCell ref="AQ23:AR23"/>
    <mergeCell ref="N8:AR8"/>
    <mergeCell ref="L9:M9"/>
    <mergeCell ref="N9:AR9"/>
    <mergeCell ref="G10:M11"/>
    <mergeCell ref="N10:Y10"/>
    <mergeCell ref="Z10:AR10"/>
    <mergeCell ref="N11:Y11"/>
    <mergeCell ref="Z11:AA11"/>
    <mergeCell ref="N18:P18"/>
    <mergeCell ref="Q18:AL18"/>
    <mergeCell ref="Q17:AL17"/>
    <mergeCell ref="K5:M5"/>
    <mergeCell ref="N5:AR5"/>
    <mergeCell ref="K6:M6"/>
    <mergeCell ref="N6:AR6"/>
    <mergeCell ref="K7:M7"/>
    <mergeCell ref="N7:AR7"/>
    <mergeCell ref="B2:AR2"/>
    <mergeCell ref="B3:F28"/>
    <mergeCell ref="G3:J7"/>
    <mergeCell ref="K3:M3"/>
    <mergeCell ref="N3:O3"/>
    <mergeCell ref="P3:R3"/>
    <mergeCell ref="T3:W3"/>
    <mergeCell ref="K4:M4"/>
    <mergeCell ref="N4:W4"/>
    <mergeCell ref="AB11:AH11"/>
    <mergeCell ref="AI11:AJ11"/>
    <mergeCell ref="AK11:AR11"/>
    <mergeCell ref="G12:M12"/>
    <mergeCell ref="N12:Y12"/>
    <mergeCell ref="Z12:AF12"/>
    <mergeCell ref="AG12:AR12"/>
    <mergeCell ref="G8:K9"/>
    <mergeCell ref="L8:M8"/>
  </mergeCells>
  <phoneticPr fontId="5"/>
  <printOptions horizontalCentered="1" verticalCentered="1"/>
  <pageMargins left="0.23622047244094491" right="0.23622047244094491"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49</xdr:col>
                    <xdr:colOff>0</xdr:colOff>
                    <xdr:row>27</xdr:row>
                    <xdr:rowOff>0</xdr:rowOff>
                  </from>
                  <to>
                    <xdr:col>49</xdr:col>
                    <xdr:colOff>0</xdr:colOff>
                    <xdr:row>27</xdr:row>
                    <xdr:rowOff>200025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49</xdr:col>
                    <xdr:colOff>0</xdr:colOff>
                    <xdr:row>27</xdr:row>
                    <xdr:rowOff>0</xdr:rowOff>
                  </from>
                  <to>
                    <xdr:col>49</xdr:col>
                    <xdr:colOff>0</xdr:colOff>
                    <xdr:row>27</xdr:row>
                    <xdr:rowOff>200025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49</xdr:col>
                    <xdr:colOff>0</xdr:colOff>
                    <xdr:row>27</xdr:row>
                    <xdr:rowOff>0</xdr:rowOff>
                  </from>
                  <to>
                    <xdr:col>49</xdr:col>
                    <xdr:colOff>0</xdr:colOff>
                    <xdr:row>27</xdr:row>
                    <xdr:rowOff>200025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49</xdr:col>
                    <xdr:colOff>0</xdr:colOff>
                    <xdr:row>27</xdr:row>
                    <xdr:rowOff>0</xdr:rowOff>
                  </from>
                  <to>
                    <xdr:col>49</xdr:col>
                    <xdr:colOff>0</xdr:colOff>
                    <xdr:row>27</xdr:row>
                    <xdr:rowOff>200025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49</xdr:col>
                    <xdr:colOff>0</xdr:colOff>
                    <xdr:row>27</xdr:row>
                    <xdr:rowOff>0</xdr:rowOff>
                  </from>
                  <to>
                    <xdr:col>49</xdr:col>
                    <xdr:colOff>0</xdr:colOff>
                    <xdr:row>27</xdr:row>
                    <xdr:rowOff>200025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49</xdr:col>
                    <xdr:colOff>0</xdr:colOff>
                    <xdr:row>27</xdr:row>
                    <xdr:rowOff>0</xdr:rowOff>
                  </from>
                  <to>
                    <xdr:col>49</xdr:col>
                    <xdr:colOff>0</xdr:colOff>
                    <xdr:row>27</xdr:row>
                    <xdr:rowOff>200025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49</xdr:col>
                    <xdr:colOff>0</xdr:colOff>
                    <xdr:row>27</xdr:row>
                    <xdr:rowOff>0</xdr:rowOff>
                  </from>
                  <to>
                    <xdr:col>49</xdr:col>
                    <xdr:colOff>0</xdr:colOff>
                    <xdr:row>27</xdr:row>
                    <xdr:rowOff>200025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49</xdr:col>
                    <xdr:colOff>0</xdr:colOff>
                    <xdr:row>27</xdr:row>
                    <xdr:rowOff>0</xdr:rowOff>
                  </from>
                  <to>
                    <xdr:col>49</xdr:col>
                    <xdr:colOff>0</xdr:colOff>
                    <xdr:row>27</xdr:row>
                    <xdr:rowOff>200025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49</xdr:col>
                    <xdr:colOff>0</xdr:colOff>
                    <xdr:row>27</xdr:row>
                    <xdr:rowOff>0</xdr:rowOff>
                  </from>
                  <to>
                    <xdr:col>49</xdr:col>
                    <xdr:colOff>0</xdr:colOff>
                    <xdr:row>27</xdr:row>
                    <xdr:rowOff>200025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49</xdr:col>
                    <xdr:colOff>0</xdr:colOff>
                    <xdr:row>27</xdr:row>
                    <xdr:rowOff>0</xdr:rowOff>
                  </from>
                  <to>
                    <xdr:col>49</xdr:col>
                    <xdr:colOff>0</xdr:colOff>
                    <xdr:row>27</xdr:row>
                    <xdr:rowOff>200025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49</xdr:col>
                    <xdr:colOff>0</xdr:colOff>
                    <xdr:row>27</xdr:row>
                    <xdr:rowOff>0</xdr:rowOff>
                  </from>
                  <to>
                    <xdr:col>49</xdr:col>
                    <xdr:colOff>0</xdr:colOff>
                    <xdr:row>27</xdr:row>
                    <xdr:rowOff>200025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49</xdr:col>
                    <xdr:colOff>0</xdr:colOff>
                    <xdr:row>27</xdr:row>
                    <xdr:rowOff>0</xdr:rowOff>
                  </from>
                  <to>
                    <xdr:col>49</xdr:col>
                    <xdr:colOff>0</xdr:colOff>
                    <xdr:row>27</xdr:row>
                    <xdr:rowOff>200025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49</xdr:col>
                    <xdr:colOff>0</xdr:colOff>
                    <xdr:row>35</xdr:row>
                    <xdr:rowOff>0</xdr:rowOff>
                  </from>
                  <to>
                    <xdr:col>49</xdr:col>
                    <xdr:colOff>0</xdr:colOff>
                    <xdr:row>35</xdr:row>
                    <xdr:rowOff>200025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49</xdr:col>
                    <xdr:colOff>0</xdr:colOff>
                    <xdr:row>35</xdr:row>
                    <xdr:rowOff>0</xdr:rowOff>
                  </from>
                  <to>
                    <xdr:col>49</xdr:col>
                    <xdr:colOff>0</xdr:colOff>
                    <xdr:row>35</xdr:row>
                    <xdr:rowOff>200025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49</xdr:col>
                    <xdr:colOff>0</xdr:colOff>
                    <xdr:row>27</xdr:row>
                    <xdr:rowOff>0</xdr:rowOff>
                  </from>
                  <to>
                    <xdr:col>49</xdr:col>
                    <xdr:colOff>0</xdr:colOff>
                    <xdr:row>27</xdr:row>
                    <xdr:rowOff>200025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49</xdr:col>
                    <xdr:colOff>0</xdr:colOff>
                    <xdr:row>27</xdr:row>
                    <xdr:rowOff>0</xdr:rowOff>
                  </from>
                  <to>
                    <xdr:col>49</xdr:col>
                    <xdr:colOff>0</xdr:colOff>
                    <xdr:row>27</xdr:row>
                    <xdr:rowOff>200025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U39"/>
  <sheetViews>
    <sheetView workbookViewId="0">
      <selection activeCell="ZZ1" sqref="ZZ1"/>
    </sheetView>
  </sheetViews>
  <sheetFormatPr defaultColWidth="2.5" defaultRowHeight="16.5" customHeight="1" x14ac:dyDescent="0.15"/>
  <cols>
    <col min="1" max="12" width="2.5" style="163"/>
    <col min="13" max="13" width="6.125" style="163" customWidth="1"/>
    <col min="14" max="14" width="2.5" style="163"/>
    <col min="15" max="16" width="2.5" style="163" customWidth="1"/>
    <col min="17" max="37" width="2.5" style="163"/>
    <col min="38" max="38" width="6.125" style="163" customWidth="1"/>
    <col min="39" max="45" width="2.5" style="163"/>
    <col min="46" max="46" width="2.5" style="163" customWidth="1"/>
    <col min="47" max="88" width="2.5" style="163"/>
    <col min="89" max="89" width="1.125" style="163" customWidth="1"/>
    <col min="90" max="16384" width="2.5" style="163"/>
  </cols>
  <sheetData>
    <row r="1" spans="1:45" ht="20.100000000000001" customHeight="1" thickBot="1" x14ac:dyDescent="0.2">
      <c r="A1" s="91"/>
      <c r="B1" s="92" t="s">
        <v>420</v>
      </c>
      <c r="C1" s="91"/>
      <c r="D1" s="91"/>
      <c r="E1" s="91"/>
      <c r="F1" s="91"/>
      <c r="G1" s="91"/>
      <c r="H1" s="91"/>
      <c r="I1" s="91"/>
      <c r="J1" s="91"/>
      <c r="K1" s="91"/>
      <c r="L1" s="91"/>
      <c r="M1" s="91"/>
      <c r="N1" s="91"/>
      <c r="O1" s="661"/>
      <c r="P1" s="661"/>
      <c r="Q1" s="661"/>
      <c r="R1" s="662"/>
      <c r="S1" s="663"/>
      <c r="T1" s="663"/>
      <c r="U1" s="663"/>
      <c r="V1" s="91"/>
      <c r="W1" s="91"/>
      <c r="X1" s="91"/>
      <c r="Y1" s="91"/>
      <c r="Z1" s="93"/>
      <c r="AA1" s="93"/>
      <c r="AB1" s="93"/>
      <c r="AC1" s="93"/>
      <c r="AD1" s="93"/>
      <c r="AE1" s="93"/>
      <c r="AF1" s="93"/>
      <c r="AG1" s="93"/>
      <c r="AH1" s="93"/>
      <c r="AI1" s="93"/>
      <c r="AJ1" s="93"/>
      <c r="AK1" s="93"/>
      <c r="AL1" s="93"/>
      <c r="AM1" s="93"/>
      <c r="AN1" s="93"/>
      <c r="AO1" s="93"/>
      <c r="AP1" s="93"/>
      <c r="AQ1" s="93"/>
      <c r="AR1" s="93"/>
      <c r="AS1" s="91"/>
    </row>
    <row r="2" spans="1:45" ht="19.5" customHeight="1" x14ac:dyDescent="0.15">
      <c r="A2" s="91"/>
      <c r="B2" s="527" t="s">
        <v>421</v>
      </c>
      <c r="C2" s="528"/>
      <c r="D2" s="528"/>
      <c r="E2" s="528"/>
      <c r="F2" s="528"/>
      <c r="G2" s="528"/>
      <c r="H2" s="528"/>
      <c r="I2" s="528"/>
      <c r="J2" s="528"/>
      <c r="K2" s="528"/>
      <c r="L2" s="528"/>
      <c r="M2" s="528"/>
      <c r="N2" s="631"/>
      <c r="O2" s="631"/>
      <c r="P2" s="631"/>
      <c r="Q2" s="631"/>
      <c r="R2" s="631"/>
      <c r="S2" s="631"/>
      <c r="T2" s="528"/>
      <c r="U2" s="528"/>
      <c r="V2" s="528"/>
      <c r="W2" s="528"/>
      <c r="X2" s="631"/>
      <c r="Y2" s="631"/>
      <c r="Z2" s="631"/>
      <c r="AA2" s="631"/>
      <c r="AB2" s="631"/>
      <c r="AC2" s="631"/>
      <c r="AD2" s="631"/>
      <c r="AE2" s="631"/>
      <c r="AF2" s="631"/>
      <c r="AG2" s="631"/>
      <c r="AH2" s="631"/>
      <c r="AI2" s="631"/>
      <c r="AJ2" s="631"/>
      <c r="AK2" s="631"/>
      <c r="AL2" s="631"/>
      <c r="AM2" s="631"/>
      <c r="AN2" s="631"/>
      <c r="AO2" s="631"/>
      <c r="AP2" s="631"/>
      <c r="AQ2" s="631"/>
      <c r="AR2" s="664"/>
      <c r="AS2" s="91"/>
    </row>
    <row r="3" spans="1:45" ht="15" customHeight="1" x14ac:dyDescent="0.15">
      <c r="A3" s="91"/>
      <c r="B3" s="530" t="s">
        <v>422</v>
      </c>
      <c r="C3" s="531"/>
      <c r="D3" s="531"/>
      <c r="E3" s="531"/>
      <c r="F3" s="531"/>
      <c r="G3" s="536" t="s">
        <v>381</v>
      </c>
      <c r="H3" s="537"/>
      <c r="I3" s="537"/>
      <c r="J3" s="665"/>
      <c r="K3" s="542" t="s">
        <v>78</v>
      </c>
      <c r="L3" s="543"/>
      <c r="M3" s="544"/>
      <c r="N3" s="668" t="s">
        <v>450</v>
      </c>
      <c r="O3" s="669"/>
      <c r="P3" s="547" t="str">
        <f>IF(AND(反映シート!$E$13="荷主等",反映シート!$R$120="予約受付システム等"),LEFT(反映シート!$E$41,3),IF(AND(反映シート!$E$15="荷主等",反映シート!$R$120="予約受付システム等"),LEFT(反映シート!$E$80,3),""))</f>
        <v/>
      </c>
      <c r="Q3" s="548"/>
      <c r="R3" s="670"/>
      <c r="S3" s="97" t="s">
        <v>406</v>
      </c>
      <c r="T3" s="549" t="str">
        <f>IF(AND(反映シート!$E$13="荷主等",反映シート!$R$120="予約受付システム等"),RIGHT(反映シート!$E$41,4),IF(AND(反映シート!$E$15="荷主等",反映シート!$R$120="予約受付システム等"),RIGHT(反映シート!$E$80,4),""))</f>
        <v/>
      </c>
      <c r="U3" s="549"/>
      <c r="V3" s="549"/>
      <c r="W3" s="549"/>
      <c r="X3" s="717" t="str">
        <f>IF(AND(反映シート!$E$13="荷主等",反映シート!$R$120="予約受付システム等"),"✓","")</f>
        <v/>
      </c>
      <c r="Y3" s="718"/>
      <c r="Z3" s="649" t="s">
        <v>453</v>
      </c>
      <c r="AA3" s="649"/>
      <c r="AB3" s="649"/>
      <c r="AC3" s="649"/>
      <c r="AD3" s="649"/>
      <c r="AE3" s="649"/>
      <c r="AF3" s="649"/>
      <c r="AG3" s="649"/>
      <c r="AH3" s="649"/>
      <c r="AI3" s="649"/>
      <c r="AJ3" s="649"/>
      <c r="AK3" s="649"/>
      <c r="AL3" s="649"/>
      <c r="AM3" s="649"/>
      <c r="AN3" s="649"/>
      <c r="AO3" s="649"/>
      <c r="AP3" s="649"/>
      <c r="AQ3" s="649"/>
      <c r="AR3" s="650"/>
      <c r="AS3" s="91"/>
    </row>
    <row r="4" spans="1:45" ht="15" customHeight="1" x14ac:dyDescent="0.15">
      <c r="A4" s="91"/>
      <c r="B4" s="532"/>
      <c r="C4" s="533"/>
      <c r="D4" s="533"/>
      <c r="E4" s="533"/>
      <c r="F4" s="533"/>
      <c r="G4" s="538"/>
      <c r="H4" s="539"/>
      <c r="I4" s="539"/>
      <c r="J4" s="666"/>
      <c r="K4" s="512" t="s">
        <v>79</v>
      </c>
      <c r="L4" s="513"/>
      <c r="M4" s="514"/>
      <c r="N4" s="518" t="str">
        <f>IF(AND(反映シート!$E$13="荷主等",反映シート!$R$120="予約受付システム等"),反映シート!$E$43,IF(AND(反映シート!$E$15="荷主等",反映シート!$R$120="予約受付システム等"),反映シート!$E$82,""))</f>
        <v/>
      </c>
      <c r="O4" s="519"/>
      <c r="P4" s="519"/>
      <c r="Q4" s="519"/>
      <c r="R4" s="519"/>
      <c r="S4" s="519"/>
      <c r="T4" s="519"/>
      <c r="U4" s="519"/>
      <c r="V4" s="519"/>
      <c r="W4" s="519"/>
      <c r="X4" s="657"/>
      <c r="Y4" s="658"/>
      <c r="Z4" s="651"/>
      <c r="AA4" s="651"/>
      <c r="AB4" s="651"/>
      <c r="AC4" s="651"/>
      <c r="AD4" s="651"/>
      <c r="AE4" s="651"/>
      <c r="AF4" s="651"/>
      <c r="AG4" s="651"/>
      <c r="AH4" s="651"/>
      <c r="AI4" s="651"/>
      <c r="AJ4" s="651"/>
      <c r="AK4" s="651"/>
      <c r="AL4" s="651"/>
      <c r="AM4" s="651"/>
      <c r="AN4" s="651"/>
      <c r="AO4" s="651"/>
      <c r="AP4" s="651"/>
      <c r="AQ4" s="651"/>
      <c r="AR4" s="652"/>
      <c r="AS4" s="91"/>
    </row>
    <row r="5" spans="1:45" ht="15" customHeight="1" x14ac:dyDescent="0.15">
      <c r="A5" s="91"/>
      <c r="B5" s="532"/>
      <c r="C5" s="533"/>
      <c r="D5" s="533"/>
      <c r="E5" s="533"/>
      <c r="F5" s="533"/>
      <c r="G5" s="538"/>
      <c r="H5" s="539"/>
      <c r="I5" s="539"/>
      <c r="J5" s="666"/>
      <c r="K5" s="512" t="s">
        <v>81</v>
      </c>
      <c r="L5" s="513"/>
      <c r="M5" s="514"/>
      <c r="N5" s="515" t="str">
        <f>IF(AND(反映シート!$E$13="荷主等",反映シート!$R$120="予約受付システム等"),反映シート!$E$45,IF(AND(反映シート!$E$15="荷主等",反映シート!$R$120="予約受付システム等"),反映シート!$E$84,""))</f>
        <v/>
      </c>
      <c r="O5" s="516"/>
      <c r="P5" s="516"/>
      <c r="Q5" s="516"/>
      <c r="R5" s="516"/>
      <c r="S5" s="516"/>
      <c r="T5" s="516"/>
      <c r="U5" s="516"/>
      <c r="V5" s="516"/>
      <c r="W5" s="516"/>
      <c r="X5" s="516"/>
      <c r="Y5" s="516"/>
      <c r="Z5" s="516"/>
      <c r="AA5" s="516"/>
      <c r="AB5" s="516"/>
      <c r="AC5" s="516"/>
      <c r="AD5" s="516"/>
      <c r="AE5" s="516"/>
      <c r="AF5" s="516"/>
      <c r="AG5" s="516"/>
      <c r="AH5" s="516"/>
      <c r="AI5" s="516"/>
      <c r="AJ5" s="516"/>
      <c r="AK5" s="516"/>
      <c r="AL5" s="516"/>
      <c r="AM5" s="516"/>
      <c r="AN5" s="516"/>
      <c r="AO5" s="516"/>
      <c r="AP5" s="516"/>
      <c r="AQ5" s="516"/>
      <c r="AR5" s="517"/>
      <c r="AS5" s="91"/>
    </row>
    <row r="6" spans="1:45" ht="15" customHeight="1" x14ac:dyDescent="0.15">
      <c r="A6" s="91"/>
      <c r="B6" s="532"/>
      <c r="C6" s="533"/>
      <c r="D6" s="533"/>
      <c r="E6" s="533"/>
      <c r="F6" s="533"/>
      <c r="G6" s="538"/>
      <c r="H6" s="539"/>
      <c r="I6" s="539"/>
      <c r="J6" s="666"/>
      <c r="K6" s="512" t="s">
        <v>82</v>
      </c>
      <c r="L6" s="513"/>
      <c r="M6" s="514"/>
      <c r="N6" s="518" t="str">
        <f>IF(AND(反映シート!$E$13="荷主等",反映シート!$R$120="予約受付システム等"),反映シート!$E$47,IF(AND(反映シート!$E$15="荷主等",反映シート!$R$120="予約受付システム等"),反映シート!$E$86,""))</f>
        <v/>
      </c>
      <c r="O6" s="519"/>
      <c r="P6" s="519"/>
      <c r="Q6" s="519"/>
      <c r="R6" s="519"/>
      <c r="S6" s="519"/>
      <c r="T6" s="519"/>
      <c r="U6" s="519"/>
      <c r="V6" s="519"/>
      <c r="W6" s="519"/>
      <c r="X6" s="519"/>
      <c r="Y6" s="519"/>
      <c r="Z6" s="519"/>
      <c r="AA6" s="519"/>
      <c r="AB6" s="519"/>
      <c r="AC6" s="519"/>
      <c r="AD6" s="519"/>
      <c r="AE6" s="519"/>
      <c r="AF6" s="519"/>
      <c r="AG6" s="519"/>
      <c r="AH6" s="519"/>
      <c r="AI6" s="519"/>
      <c r="AJ6" s="519"/>
      <c r="AK6" s="519"/>
      <c r="AL6" s="519"/>
      <c r="AM6" s="519"/>
      <c r="AN6" s="519"/>
      <c r="AO6" s="519"/>
      <c r="AP6" s="519"/>
      <c r="AQ6" s="519"/>
      <c r="AR6" s="520"/>
      <c r="AS6" s="91"/>
    </row>
    <row r="7" spans="1:45" ht="15" customHeight="1" x14ac:dyDescent="0.15">
      <c r="A7" s="91"/>
      <c r="B7" s="532"/>
      <c r="C7" s="533"/>
      <c r="D7" s="533"/>
      <c r="E7" s="533"/>
      <c r="F7" s="533"/>
      <c r="G7" s="540"/>
      <c r="H7" s="541"/>
      <c r="I7" s="541"/>
      <c r="J7" s="667"/>
      <c r="K7" s="521" t="s">
        <v>83</v>
      </c>
      <c r="L7" s="522"/>
      <c r="M7" s="523"/>
      <c r="N7" s="524" t="str">
        <f>IF(AND(反映シート!$E$13="荷主等",反映シート!$R$120="予約受付システム等"),反映シート!$E$49,IF(AND(反映シート!$E$15="荷主等",反映シート!$R$120="予約受付システム等"),反映シート!$E$88,""))</f>
        <v/>
      </c>
      <c r="O7" s="525"/>
      <c r="P7" s="525"/>
      <c r="Q7" s="525"/>
      <c r="R7" s="525"/>
      <c r="S7" s="525"/>
      <c r="T7" s="525"/>
      <c r="U7" s="525"/>
      <c r="V7" s="525"/>
      <c r="W7" s="525"/>
      <c r="X7" s="525"/>
      <c r="Y7" s="525"/>
      <c r="Z7" s="525"/>
      <c r="AA7" s="525"/>
      <c r="AB7" s="525"/>
      <c r="AC7" s="525"/>
      <c r="AD7" s="525"/>
      <c r="AE7" s="525"/>
      <c r="AF7" s="525"/>
      <c r="AG7" s="525"/>
      <c r="AH7" s="525"/>
      <c r="AI7" s="525"/>
      <c r="AJ7" s="525"/>
      <c r="AK7" s="525"/>
      <c r="AL7" s="525"/>
      <c r="AM7" s="525"/>
      <c r="AN7" s="525"/>
      <c r="AO7" s="525"/>
      <c r="AP7" s="525"/>
      <c r="AQ7" s="525"/>
      <c r="AR7" s="526"/>
      <c r="AS7" s="91"/>
    </row>
    <row r="8" spans="1:45" ht="19.5" customHeight="1" x14ac:dyDescent="0.15">
      <c r="A8" s="91"/>
      <c r="B8" s="532"/>
      <c r="C8" s="533"/>
      <c r="D8" s="533"/>
      <c r="E8" s="533"/>
      <c r="F8" s="533"/>
      <c r="G8" s="536" t="s">
        <v>382</v>
      </c>
      <c r="H8" s="537"/>
      <c r="I8" s="537"/>
      <c r="J8" s="537"/>
      <c r="K8" s="557"/>
      <c r="L8" s="559" t="s">
        <v>383</v>
      </c>
      <c r="M8" s="544"/>
      <c r="N8" s="560" t="str">
        <f>IF(AND(反映シート!$E$13="荷主等",反映シート!$R$120="予約受付システム等"),反映シート!$E$53,IF(AND(反映シート!$E$15="荷主等",反映シート!$R$120="予約受付システム等"),反映シート!$E$92,""))</f>
        <v/>
      </c>
      <c r="O8" s="561"/>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1"/>
      <c r="AP8" s="561"/>
      <c r="AQ8" s="561"/>
      <c r="AR8" s="562"/>
      <c r="AS8" s="91"/>
    </row>
    <row r="9" spans="1:45" ht="30" customHeight="1" x14ac:dyDescent="0.15">
      <c r="A9" s="91"/>
      <c r="B9" s="532"/>
      <c r="C9" s="533"/>
      <c r="D9" s="533"/>
      <c r="E9" s="533"/>
      <c r="F9" s="533"/>
      <c r="G9" s="540"/>
      <c r="H9" s="541"/>
      <c r="I9" s="541"/>
      <c r="J9" s="541"/>
      <c r="K9" s="558"/>
      <c r="L9" s="563" t="s">
        <v>384</v>
      </c>
      <c r="M9" s="523"/>
      <c r="N9" s="524" t="str">
        <f>IF(AND(反映シート!$E$13="荷主等",反映シート!$R$120="予約受付システム等"),反映シート!$E$51,IF(AND(反映シート!$E$15="荷主等",反映シート!$R$120="予約受付システム等"),反映シート!$E$90,""))</f>
        <v/>
      </c>
      <c r="O9" s="525"/>
      <c r="P9" s="525"/>
      <c r="Q9" s="525"/>
      <c r="R9" s="525"/>
      <c r="S9" s="525"/>
      <c r="T9" s="525"/>
      <c r="U9" s="525"/>
      <c r="V9" s="525"/>
      <c r="W9" s="525"/>
      <c r="X9" s="525"/>
      <c r="Y9" s="525"/>
      <c r="Z9" s="525"/>
      <c r="AA9" s="525"/>
      <c r="AB9" s="525"/>
      <c r="AC9" s="525"/>
      <c r="AD9" s="525"/>
      <c r="AE9" s="525"/>
      <c r="AF9" s="525"/>
      <c r="AG9" s="525"/>
      <c r="AH9" s="525"/>
      <c r="AI9" s="525"/>
      <c r="AJ9" s="525"/>
      <c r="AK9" s="525"/>
      <c r="AL9" s="525"/>
      <c r="AM9" s="525"/>
      <c r="AN9" s="525"/>
      <c r="AO9" s="525"/>
      <c r="AP9" s="525"/>
      <c r="AQ9" s="525"/>
      <c r="AR9" s="526"/>
      <c r="AS9" s="91"/>
    </row>
    <row r="10" spans="1:45" ht="19.5" customHeight="1" x14ac:dyDescent="0.15">
      <c r="A10" s="91"/>
      <c r="B10" s="532"/>
      <c r="C10" s="533"/>
      <c r="D10" s="533"/>
      <c r="E10" s="533"/>
      <c r="F10" s="533"/>
      <c r="G10" s="538" t="s">
        <v>190</v>
      </c>
      <c r="H10" s="539"/>
      <c r="I10" s="539"/>
      <c r="J10" s="539"/>
      <c r="K10" s="539"/>
      <c r="L10" s="539"/>
      <c r="M10" s="564"/>
      <c r="N10" s="565" t="s">
        <v>386</v>
      </c>
      <c r="O10" s="566"/>
      <c r="P10" s="566"/>
      <c r="Q10" s="566"/>
      <c r="R10" s="566"/>
      <c r="S10" s="566"/>
      <c r="T10" s="566"/>
      <c r="U10" s="566"/>
      <c r="V10" s="566"/>
      <c r="W10" s="566"/>
      <c r="X10" s="566"/>
      <c r="Y10" s="567"/>
      <c r="Z10" s="568" t="s">
        <v>190</v>
      </c>
      <c r="AA10" s="569"/>
      <c r="AB10" s="569"/>
      <c r="AC10" s="569"/>
      <c r="AD10" s="569"/>
      <c r="AE10" s="569"/>
      <c r="AF10" s="569"/>
      <c r="AG10" s="569"/>
      <c r="AH10" s="569"/>
      <c r="AI10" s="569"/>
      <c r="AJ10" s="569"/>
      <c r="AK10" s="569"/>
      <c r="AL10" s="569"/>
      <c r="AM10" s="569"/>
      <c r="AN10" s="569"/>
      <c r="AO10" s="569"/>
      <c r="AP10" s="569"/>
      <c r="AQ10" s="569"/>
      <c r="AR10" s="570"/>
      <c r="AS10" s="91"/>
    </row>
    <row r="11" spans="1:45" ht="30" customHeight="1" x14ac:dyDescent="0.15">
      <c r="A11" s="91"/>
      <c r="B11" s="532"/>
      <c r="C11" s="533"/>
      <c r="D11" s="533"/>
      <c r="E11" s="533"/>
      <c r="F11" s="533"/>
      <c r="G11" s="540"/>
      <c r="H11" s="541"/>
      <c r="I11" s="541"/>
      <c r="J11" s="541"/>
      <c r="K11" s="541"/>
      <c r="L11" s="541"/>
      <c r="M11" s="558"/>
      <c r="N11" s="555" t="str">
        <f>IF(AND(反映シート!$E$13="荷主等",反映シート!$R$120="予約受付システム等"),反映シート!$E$57,IF(AND(反映シート!$E$15="荷主等",反映シート!$R$120="予約受付システム等"),反映シート!$E$96,""))</f>
        <v/>
      </c>
      <c r="O11" s="550"/>
      <c r="P11" s="550"/>
      <c r="Q11" s="550"/>
      <c r="R11" s="550"/>
      <c r="S11" s="550"/>
      <c r="T11" s="550"/>
      <c r="U11" s="550"/>
      <c r="V11" s="550"/>
      <c r="W11" s="550"/>
      <c r="X11" s="550"/>
      <c r="Y11" s="556"/>
      <c r="Z11" s="571" t="s">
        <v>69</v>
      </c>
      <c r="AA11" s="552"/>
      <c r="AB11" s="550" t="str">
        <f>IF(AND(反映シート!$E$13="荷主等",反映シート!$R$120="予約受付システム等"),反映シート!$E$59,IF(AND(反映シート!$E$15="荷主等",反映シート!$R$120="予約受付システム等"),反映シート!$E$98,""))</f>
        <v/>
      </c>
      <c r="AC11" s="550"/>
      <c r="AD11" s="550"/>
      <c r="AE11" s="550"/>
      <c r="AF11" s="550"/>
      <c r="AG11" s="550"/>
      <c r="AH11" s="550"/>
      <c r="AI11" s="551" t="s">
        <v>70</v>
      </c>
      <c r="AJ11" s="552"/>
      <c r="AK11" s="550" t="str">
        <f>IF(AND(反映シート!$E$13="荷主等",反映シート!$R$120="予約受付システム等"),反映シート!$E$61,IF(AND(反映シート!$E$15="荷主等",反映シート!$R$120="予約受付システム等"),反映シート!$E$100,""))</f>
        <v/>
      </c>
      <c r="AL11" s="550"/>
      <c r="AM11" s="550"/>
      <c r="AN11" s="550"/>
      <c r="AO11" s="550"/>
      <c r="AP11" s="550"/>
      <c r="AQ11" s="550"/>
      <c r="AR11" s="553"/>
      <c r="AS11" s="91"/>
    </row>
    <row r="12" spans="1:45" ht="19.5" customHeight="1" x14ac:dyDescent="0.15">
      <c r="A12" s="91"/>
      <c r="B12" s="532"/>
      <c r="C12" s="533"/>
      <c r="D12" s="533"/>
      <c r="E12" s="533"/>
      <c r="F12" s="533"/>
      <c r="G12" s="554" t="s">
        <v>387</v>
      </c>
      <c r="H12" s="554"/>
      <c r="I12" s="554"/>
      <c r="J12" s="554"/>
      <c r="K12" s="554"/>
      <c r="L12" s="554"/>
      <c r="M12" s="554"/>
      <c r="N12" s="555" t="str">
        <f>IF(AND(反映シート!$E$13="荷主等",反映シート!$R$120="予約受付システム等"),反映シート!$G$373,IF(AND(反映シート!$E$15="荷主等",反映シート!$R$120="予約受付システム等"),反映シート!$G$387,""))</f>
        <v/>
      </c>
      <c r="O12" s="550"/>
      <c r="P12" s="550"/>
      <c r="Q12" s="550"/>
      <c r="R12" s="550"/>
      <c r="S12" s="550"/>
      <c r="T12" s="550"/>
      <c r="U12" s="550"/>
      <c r="V12" s="550"/>
      <c r="W12" s="550"/>
      <c r="X12" s="550"/>
      <c r="Y12" s="556"/>
      <c r="Z12" s="554" t="s">
        <v>388</v>
      </c>
      <c r="AA12" s="554"/>
      <c r="AB12" s="554"/>
      <c r="AC12" s="554"/>
      <c r="AD12" s="554"/>
      <c r="AE12" s="554"/>
      <c r="AF12" s="554"/>
      <c r="AG12" s="555" t="str">
        <f>IF(AND(反映シート!$E$13="荷主等",反映シート!$R$120="予約受付システム等"),反映シート!$G$375,IF(AND(反映シート!$E$15="荷主等",反映シート!$R$120="予約受付システム等"),反映シート!$G$389,""))</f>
        <v/>
      </c>
      <c r="AH12" s="550"/>
      <c r="AI12" s="550"/>
      <c r="AJ12" s="550"/>
      <c r="AK12" s="550"/>
      <c r="AL12" s="550"/>
      <c r="AM12" s="550"/>
      <c r="AN12" s="550"/>
      <c r="AO12" s="550"/>
      <c r="AP12" s="550"/>
      <c r="AQ12" s="550"/>
      <c r="AR12" s="553"/>
      <c r="AS12" s="91"/>
    </row>
    <row r="13" spans="1:45" ht="19.5" customHeight="1" x14ac:dyDescent="0.15">
      <c r="A13" s="91"/>
      <c r="B13" s="532"/>
      <c r="C13" s="533"/>
      <c r="D13" s="533"/>
      <c r="E13" s="533"/>
      <c r="F13" s="533"/>
      <c r="G13" s="554" t="s">
        <v>389</v>
      </c>
      <c r="H13" s="554"/>
      <c r="I13" s="554"/>
      <c r="J13" s="554"/>
      <c r="K13" s="554"/>
      <c r="L13" s="554"/>
      <c r="M13" s="554"/>
      <c r="N13" s="524" t="str">
        <f>IF(AND(反映シート!$E$13="荷主等",反映シート!$R$120="予約受付システム等"),反映シート!$G$377,IF(AND(反映シート!$E$15="荷主等",反映シート!$R$120="予約受付システム等"),反映シート!$G$391,""))</f>
        <v/>
      </c>
      <c r="O13" s="525"/>
      <c r="P13" s="525"/>
      <c r="Q13" s="525"/>
      <c r="R13" s="525"/>
      <c r="S13" s="525"/>
      <c r="T13" s="525"/>
      <c r="U13" s="525"/>
      <c r="V13" s="525"/>
      <c r="W13" s="525"/>
      <c r="X13" s="525"/>
      <c r="Y13" s="525"/>
      <c r="Z13" s="525"/>
      <c r="AA13" s="525"/>
      <c r="AB13" s="525"/>
      <c r="AC13" s="525"/>
      <c r="AD13" s="525"/>
      <c r="AE13" s="525"/>
      <c r="AF13" s="525"/>
      <c r="AG13" s="525"/>
      <c r="AH13" s="525"/>
      <c r="AI13" s="525"/>
      <c r="AJ13" s="525"/>
      <c r="AK13" s="525"/>
      <c r="AL13" s="525"/>
      <c r="AM13" s="525"/>
      <c r="AN13" s="525"/>
      <c r="AO13" s="525"/>
      <c r="AP13" s="525"/>
      <c r="AQ13" s="525"/>
      <c r="AR13" s="526"/>
      <c r="AS13" s="91"/>
    </row>
    <row r="14" spans="1:45" ht="19.5" customHeight="1" x14ac:dyDescent="0.15">
      <c r="A14" s="91"/>
      <c r="B14" s="532"/>
      <c r="C14" s="533"/>
      <c r="D14" s="533"/>
      <c r="E14" s="533"/>
      <c r="F14" s="533"/>
      <c r="G14" s="554" t="s">
        <v>390</v>
      </c>
      <c r="H14" s="554"/>
      <c r="I14" s="554"/>
      <c r="J14" s="554"/>
      <c r="K14" s="554"/>
      <c r="L14" s="554"/>
      <c r="M14" s="554"/>
      <c r="N14" s="555" t="str">
        <f>IF(AND(反映シート!$E$13="荷主等",反映シート!$R$120="予約受付システム等"),反映シート!$G$379,IF(AND(反映シート!$E$15="荷主等",反映シート!$R$120="予約受付システム等"),反映シート!$G$393,""))</f>
        <v/>
      </c>
      <c r="O14" s="550"/>
      <c r="P14" s="550"/>
      <c r="Q14" s="550"/>
      <c r="R14" s="550"/>
      <c r="S14" s="550"/>
      <c r="T14" s="550"/>
      <c r="U14" s="550"/>
      <c r="V14" s="550"/>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3"/>
      <c r="AS14" s="91"/>
    </row>
    <row r="15" spans="1:45" ht="24.75" customHeight="1" x14ac:dyDescent="0.15">
      <c r="A15" s="91"/>
      <c r="B15" s="532"/>
      <c r="C15" s="533"/>
      <c r="D15" s="533"/>
      <c r="E15" s="533"/>
      <c r="F15" s="533"/>
      <c r="G15" s="671" t="s">
        <v>423</v>
      </c>
      <c r="H15" s="531"/>
      <c r="I15" s="531"/>
      <c r="J15" s="531"/>
      <c r="K15" s="531"/>
      <c r="L15" s="531"/>
      <c r="M15" s="531"/>
      <c r="N15" s="676" t="s">
        <v>646</v>
      </c>
      <c r="O15" s="676"/>
      <c r="P15" s="676"/>
      <c r="Q15" s="676"/>
      <c r="R15" s="676"/>
      <c r="S15" s="676"/>
      <c r="T15" s="676"/>
      <c r="U15" s="676"/>
      <c r="V15" s="676"/>
      <c r="W15" s="676"/>
      <c r="X15" s="676"/>
      <c r="Y15" s="676"/>
      <c r="Z15" s="676"/>
      <c r="AA15" s="676"/>
      <c r="AB15" s="676"/>
      <c r="AC15" s="676"/>
      <c r="AD15" s="676"/>
      <c r="AE15" s="676"/>
      <c r="AF15" s="676"/>
      <c r="AG15" s="676"/>
      <c r="AH15" s="676"/>
      <c r="AI15" s="676"/>
      <c r="AJ15" s="676"/>
      <c r="AK15" s="676"/>
      <c r="AL15" s="677"/>
      <c r="AM15" s="607" t="str">
        <f>IF(AND(OR(反映シート!$E$13="荷主等",反映シート!$E$15="荷主等"),反映シート!R120="予約受付システム等"),反映シート!$I$176,"")</f>
        <v/>
      </c>
      <c r="AN15" s="608"/>
      <c r="AO15" s="608"/>
      <c r="AP15" s="608"/>
      <c r="AQ15" s="678" t="s">
        <v>392</v>
      </c>
      <c r="AR15" s="679"/>
      <c r="AS15" s="91"/>
    </row>
    <row r="16" spans="1:45" ht="24.75" customHeight="1" x14ac:dyDescent="0.15">
      <c r="A16" s="91"/>
      <c r="B16" s="532"/>
      <c r="C16" s="533"/>
      <c r="D16" s="533"/>
      <c r="E16" s="533"/>
      <c r="F16" s="533"/>
      <c r="G16" s="672"/>
      <c r="H16" s="533"/>
      <c r="I16" s="533"/>
      <c r="J16" s="533"/>
      <c r="K16" s="533"/>
      <c r="L16" s="533"/>
      <c r="M16" s="629"/>
      <c r="N16" s="587" t="s">
        <v>424</v>
      </c>
      <c r="O16" s="588"/>
      <c r="P16" s="588"/>
      <c r="Q16" s="588"/>
      <c r="R16" s="588"/>
      <c r="S16" s="588"/>
      <c r="T16" s="588"/>
      <c r="U16" s="588"/>
      <c r="V16" s="588"/>
      <c r="W16" s="588"/>
      <c r="X16" s="588"/>
      <c r="Y16" s="588"/>
      <c r="Z16" s="588"/>
      <c r="AA16" s="588"/>
      <c r="AB16" s="588"/>
      <c r="AC16" s="588"/>
      <c r="AD16" s="588"/>
      <c r="AE16" s="588"/>
      <c r="AF16" s="588"/>
      <c r="AG16" s="588"/>
      <c r="AH16" s="588"/>
      <c r="AI16" s="588"/>
      <c r="AJ16" s="588"/>
      <c r="AK16" s="588"/>
      <c r="AL16" s="589"/>
      <c r="AM16" s="680" t="str">
        <f>IF(AND(OR(反映シート!$E$13="荷主等",反映シート!$E$15="荷主等"),反映シート!R120="予約受付システム等"),IF(反映シート!$C$120=TRUE,反映シート!$I$166,0),"")</f>
        <v/>
      </c>
      <c r="AN16" s="681"/>
      <c r="AO16" s="681"/>
      <c r="AP16" s="681"/>
      <c r="AQ16" s="678" t="s">
        <v>392</v>
      </c>
      <c r="AR16" s="679"/>
      <c r="AS16" s="91"/>
    </row>
    <row r="17" spans="1:45" ht="24.75" customHeight="1" x14ac:dyDescent="0.15">
      <c r="A17" s="91"/>
      <c r="B17" s="532"/>
      <c r="C17" s="533"/>
      <c r="D17" s="533"/>
      <c r="E17" s="533"/>
      <c r="F17" s="533"/>
      <c r="G17" s="672"/>
      <c r="H17" s="533"/>
      <c r="I17" s="533"/>
      <c r="J17" s="533"/>
      <c r="K17" s="533"/>
      <c r="L17" s="533"/>
      <c r="M17" s="629"/>
      <c r="N17" s="575" t="s">
        <v>425</v>
      </c>
      <c r="O17" s="576"/>
      <c r="P17" s="576"/>
      <c r="Q17" s="576"/>
      <c r="R17" s="576"/>
      <c r="S17" s="576"/>
      <c r="T17" s="576"/>
      <c r="U17" s="576"/>
      <c r="V17" s="576"/>
      <c r="W17" s="576"/>
      <c r="X17" s="576"/>
      <c r="Y17" s="576"/>
      <c r="Z17" s="576"/>
      <c r="AA17" s="576"/>
      <c r="AB17" s="576"/>
      <c r="AC17" s="576"/>
      <c r="AD17" s="576"/>
      <c r="AE17" s="576"/>
      <c r="AF17" s="576"/>
      <c r="AG17" s="576"/>
      <c r="AH17" s="576"/>
      <c r="AI17" s="576"/>
      <c r="AJ17" s="576"/>
      <c r="AK17" s="576"/>
      <c r="AL17" s="577"/>
      <c r="AM17" s="680" t="str">
        <f>IF(AND(OR(反映シート!$E$13="荷主等",反映シート!$E$15="荷主等"),反映シート!R120="予約受付システム等"),IF(反映シート!$C$122=TRUE,反映シート!$I$168,0),"")</f>
        <v/>
      </c>
      <c r="AN17" s="681"/>
      <c r="AO17" s="681"/>
      <c r="AP17" s="681"/>
      <c r="AQ17" s="678" t="s">
        <v>392</v>
      </c>
      <c r="AR17" s="679"/>
      <c r="AS17" s="91"/>
    </row>
    <row r="18" spans="1:45" ht="24.75" customHeight="1" x14ac:dyDescent="0.15">
      <c r="A18" s="91"/>
      <c r="B18" s="532"/>
      <c r="C18" s="533"/>
      <c r="D18" s="533"/>
      <c r="E18" s="533"/>
      <c r="F18" s="533"/>
      <c r="G18" s="672"/>
      <c r="H18" s="533"/>
      <c r="I18" s="533"/>
      <c r="J18" s="533"/>
      <c r="K18" s="533"/>
      <c r="L18" s="533"/>
      <c r="M18" s="629"/>
      <c r="N18" s="575" t="s">
        <v>426</v>
      </c>
      <c r="O18" s="576"/>
      <c r="P18" s="576"/>
      <c r="Q18" s="576"/>
      <c r="R18" s="576"/>
      <c r="S18" s="576"/>
      <c r="T18" s="576"/>
      <c r="U18" s="576"/>
      <c r="V18" s="576"/>
      <c r="W18" s="576"/>
      <c r="X18" s="576"/>
      <c r="Y18" s="576"/>
      <c r="Z18" s="576"/>
      <c r="AA18" s="576"/>
      <c r="AB18" s="576"/>
      <c r="AC18" s="576"/>
      <c r="AD18" s="576"/>
      <c r="AE18" s="576"/>
      <c r="AF18" s="576"/>
      <c r="AG18" s="576"/>
      <c r="AH18" s="576"/>
      <c r="AI18" s="576"/>
      <c r="AJ18" s="576"/>
      <c r="AK18" s="576"/>
      <c r="AL18" s="577"/>
      <c r="AM18" s="680" t="str">
        <f>IF(AND(OR(反映シート!$E$13="荷主等",反映シート!$E$15="荷主等"),反映シート!R120="予約受付システム等"),IF(反映シート!$C$124=TRUE,反映シート!$I$170,0),"")</f>
        <v/>
      </c>
      <c r="AN18" s="681"/>
      <c r="AO18" s="681"/>
      <c r="AP18" s="681"/>
      <c r="AQ18" s="678" t="s">
        <v>392</v>
      </c>
      <c r="AR18" s="679"/>
      <c r="AS18" s="91"/>
    </row>
    <row r="19" spans="1:45" ht="24.75" customHeight="1" x14ac:dyDescent="0.15">
      <c r="A19" s="91"/>
      <c r="B19" s="532"/>
      <c r="C19" s="533"/>
      <c r="D19" s="533"/>
      <c r="E19" s="533"/>
      <c r="F19" s="533"/>
      <c r="G19" s="672"/>
      <c r="H19" s="533"/>
      <c r="I19" s="533"/>
      <c r="J19" s="533"/>
      <c r="K19" s="533"/>
      <c r="L19" s="533"/>
      <c r="M19" s="629"/>
      <c r="N19" s="575" t="s">
        <v>427</v>
      </c>
      <c r="O19" s="576"/>
      <c r="P19" s="576"/>
      <c r="Q19" s="576"/>
      <c r="R19" s="576"/>
      <c r="S19" s="576"/>
      <c r="T19" s="576"/>
      <c r="U19" s="576"/>
      <c r="V19" s="576"/>
      <c r="W19" s="576"/>
      <c r="X19" s="576"/>
      <c r="Y19" s="576"/>
      <c r="Z19" s="576"/>
      <c r="AA19" s="576"/>
      <c r="AB19" s="576"/>
      <c r="AC19" s="576"/>
      <c r="AD19" s="576"/>
      <c r="AE19" s="576"/>
      <c r="AF19" s="576"/>
      <c r="AG19" s="576"/>
      <c r="AH19" s="576"/>
      <c r="AI19" s="576"/>
      <c r="AJ19" s="576"/>
      <c r="AK19" s="576"/>
      <c r="AL19" s="577"/>
      <c r="AM19" s="680" t="str">
        <f>IF(AND(OR(反映シート!$E$13="荷主等",反映シート!$E$15="荷主等"),反映シート!R120="予約受付システム等"),IF(反映シート!$C$126=TRUE,反映シート!$I$172,0),"")</f>
        <v/>
      </c>
      <c r="AN19" s="681"/>
      <c r="AO19" s="681"/>
      <c r="AP19" s="681"/>
      <c r="AQ19" s="678" t="s">
        <v>392</v>
      </c>
      <c r="AR19" s="679"/>
      <c r="AS19" s="91"/>
    </row>
    <row r="20" spans="1:45" ht="24.75" customHeight="1" x14ac:dyDescent="0.15">
      <c r="A20" s="91"/>
      <c r="B20" s="532"/>
      <c r="C20" s="533"/>
      <c r="D20" s="533"/>
      <c r="E20" s="533"/>
      <c r="F20" s="533"/>
      <c r="G20" s="673"/>
      <c r="H20" s="674"/>
      <c r="I20" s="674"/>
      <c r="J20" s="674"/>
      <c r="K20" s="674"/>
      <c r="L20" s="674"/>
      <c r="M20" s="675"/>
      <c r="N20" s="575" t="s">
        <v>428</v>
      </c>
      <c r="O20" s="576"/>
      <c r="P20" s="576"/>
      <c r="Q20" s="576"/>
      <c r="R20" s="576"/>
      <c r="S20" s="576"/>
      <c r="T20" s="576"/>
      <c r="U20" s="576"/>
      <c r="V20" s="576"/>
      <c r="W20" s="576"/>
      <c r="X20" s="576"/>
      <c r="Y20" s="576"/>
      <c r="Z20" s="576"/>
      <c r="AA20" s="576"/>
      <c r="AB20" s="576"/>
      <c r="AC20" s="576"/>
      <c r="AD20" s="576"/>
      <c r="AE20" s="576"/>
      <c r="AF20" s="576"/>
      <c r="AG20" s="576"/>
      <c r="AH20" s="576"/>
      <c r="AI20" s="576"/>
      <c r="AJ20" s="576"/>
      <c r="AK20" s="576"/>
      <c r="AL20" s="577"/>
      <c r="AM20" s="680" t="str">
        <f>IF(AND(OR(反映シート!$E$13="荷主等",反映シート!$E$15="荷主等"),反映シート!R120="予約受付システム等"),IF(反映シート!$C$128=TRUE,反映シート!$I$174,0),"")</f>
        <v/>
      </c>
      <c r="AN20" s="681"/>
      <c r="AO20" s="681"/>
      <c r="AP20" s="681"/>
      <c r="AQ20" s="678" t="s">
        <v>392</v>
      </c>
      <c r="AR20" s="679"/>
      <c r="AS20" s="91"/>
    </row>
    <row r="21" spans="1:45" ht="24.75" customHeight="1" x14ac:dyDescent="0.15">
      <c r="A21" s="91"/>
      <c r="B21" s="532"/>
      <c r="C21" s="533"/>
      <c r="D21" s="533"/>
      <c r="E21" s="533"/>
      <c r="F21" s="533"/>
      <c r="G21" s="592" t="s">
        <v>429</v>
      </c>
      <c r="H21" s="592"/>
      <c r="I21" s="592"/>
      <c r="J21" s="592"/>
      <c r="K21" s="592"/>
      <c r="L21" s="592"/>
      <c r="M21" s="592"/>
      <c r="N21" s="682" t="s">
        <v>413</v>
      </c>
      <c r="O21" s="585"/>
      <c r="P21" s="585"/>
      <c r="Q21" s="585"/>
      <c r="R21" s="585"/>
      <c r="S21" s="585"/>
      <c r="T21" s="585"/>
      <c r="U21" s="585"/>
      <c r="V21" s="585"/>
      <c r="W21" s="585"/>
      <c r="X21" s="585"/>
      <c r="Y21" s="585"/>
      <c r="Z21" s="585"/>
      <c r="AA21" s="585"/>
      <c r="AB21" s="585"/>
      <c r="AC21" s="585"/>
      <c r="AD21" s="585"/>
      <c r="AE21" s="585"/>
      <c r="AF21" s="585"/>
      <c r="AG21" s="585"/>
      <c r="AH21" s="585"/>
      <c r="AI21" s="585"/>
      <c r="AJ21" s="585"/>
      <c r="AK21" s="585"/>
      <c r="AL21" s="586"/>
      <c r="AM21" s="683" t="str">
        <f>IF(AND(OR(反映シート!$E$13="荷主等",反映シート!$E$15="荷主等"),反映シート!R120="予約受付システム等"),反映シート!$I$184,"")</f>
        <v/>
      </c>
      <c r="AN21" s="684"/>
      <c r="AO21" s="684"/>
      <c r="AP21" s="684"/>
      <c r="AQ21" s="685" t="s">
        <v>321</v>
      </c>
      <c r="AR21" s="686"/>
      <c r="AS21" s="91"/>
    </row>
    <row r="22" spans="1:45" ht="24.75" customHeight="1" x14ac:dyDescent="0.15">
      <c r="A22" s="91"/>
      <c r="B22" s="532"/>
      <c r="C22" s="533"/>
      <c r="D22" s="533"/>
      <c r="E22" s="533"/>
      <c r="F22" s="533"/>
      <c r="G22" s="592"/>
      <c r="H22" s="592"/>
      <c r="I22" s="592"/>
      <c r="J22" s="592"/>
      <c r="K22" s="592"/>
      <c r="L22" s="592"/>
      <c r="M22" s="592"/>
      <c r="N22" s="687" t="s">
        <v>414</v>
      </c>
      <c r="O22" s="688"/>
      <c r="P22" s="688"/>
      <c r="Q22" s="688"/>
      <c r="R22" s="688"/>
      <c r="S22" s="688"/>
      <c r="T22" s="688"/>
      <c r="U22" s="688"/>
      <c r="V22" s="688"/>
      <c r="W22" s="688"/>
      <c r="X22" s="688"/>
      <c r="Y22" s="691" t="s">
        <v>415</v>
      </c>
      <c r="Z22" s="691"/>
      <c r="AA22" s="691"/>
      <c r="AB22" s="691"/>
      <c r="AC22" s="691"/>
      <c r="AD22" s="691"/>
      <c r="AE22" s="691"/>
      <c r="AF22" s="691"/>
      <c r="AG22" s="691"/>
      <c r="AH22" s="691"/>
      <c r="AI22" s="691"/>
      <c r="AJ22" s="691"/>
      <c r="AK22" s="691"/>
      <c r="AL22" s="692"/>
      <c r="AM22" s="693" t="str">
        <f>IF(AND(OR(反映シート!$E$13="荷主等",反映シート!$E$15="荷主等"),反映シート!R120="予約受付システム等"),反映シート!$I$192,"")</f>
        <v/>
      </c>
      <c r="AN22" s="694"/>
      <c r="AO22" s="694"/>
      <c r="AP22" s="694"/>
      <c r="AQ22" s="695" t="s">
        <v>315</v>
      </c>
      <c r="AR22" s="696"/>
      <c r="AS22" s="91"/>
    </row>
    <row r="23" spans="1:45" ht="24.75" customHeight="1" x14ac:dyDescent="0.15">
      <c r="A23" s="91"/>
      <c r="B23" s="532"/>
      <c r="C23" s="533"/>
      <c r="D23" s="533"/>
      <c r="E23" s="533"/>
      <c r="F23" s="533"/>
      <c r="G23" s="592"/>
      <c r="H23" s="592"/>
      <c r="I23" s="592"/>
      <c r="J23" s="592"/>
      <c r="K23" s="592"/>
      <c r="L23" s="592"/>
      <c r="M23" s="592"/>
      <c r="N23" s="689"/>
      <c r="O23" s="690"/>
      <c r="P23" s="690"/>
      <c r="Q23" s="690"/>
      <c r="R23" s="690"/>
      <c r="S23" s="690"/>
      <c r="T23" s="690"/>
      <c r="U23" s="690"/>
      <c r="V23" s="690"/>
      <c r="W23" s="690"/>
      <c r="X23" s="690"/>
      <c r="Y23" s="697" t="s">
        <v>416</v>
      </c>
      <c r="Z23" s="698"/>
      <c r="AA23" s="698"/>
      <c r="AB23" s="698"/>
      <c r="AC23" s="698"/>
      <c r="AD23" s="698"/>
      <c r="AE23" s="698"/>
      <c r="AF23" s="698"/>
      <c r="AG23" s="698"/>
      <c r="AH23" s="698"/>
      <c r="AI23" s="698"/>
      <c r="AJ23" s="698"/>
      <c r="AK23" s="698"/>
      <c r="AL23" s="699"/>
      <c r="AM23" s="700" t="str">
        <f>IF(AND(OR(反映シート!$E$13="荷主等",反映シート!$E$15="荷主等"),反映シート!R120="予約受付システム等"),反映シート!$I$188,"")</f>
        <v/>
      </c>
      <c r="AN23" s="701"/>
      <c r="AO23" s="701"/>
      <c r="AP23" s="701"/>
      <c r="AQ23" s="702" t="s">
        <v>315</v>
      </c>
      <c r="AR23" s="703"/>
      <c r="AS23" s="91"/>
    </row>
    <row r="24" spans="1:45" ht="24.75" customHeight="1" x14ac:dyDescent="0.15">
      <c r="A24" s="91"/>
      <c r="B24" s="532"/>
      <c r="C24" s="533"/>
      <c r="D24" s="533"/>
      <c r="E24" s="533"/>
      <c r="F24" s="533"/>
      <c r="G24" s="592"/>
      <c r="H24" s="592"/>
      <c r="I24" s="592"/>
      <c r="J24" s="592"/>
      <c r="K24" s="592"/>
      <c r="L24" s="592"/>
      <c r="M24" s="592"/>
      <c r="N24" s="689"/>
      <c r="O24" s="690"/>
      <c r="P24" s="690"/>
      <c r="Q24" s="690"/>
      <c r="R24" s="690"/>
      <c r="S24" s="690"/>
      <c r="T24" s="690"/>
      <c r="U24" s="690"/>
      <c r="V24" s="690"/>
      <c r="W24" s="690"/>
      <c r="X24" s="690"/>
      <c r="Y24" s="704" t="s">
        <v>417</v>
      </c>
      <c r="Z24" s="705"/>
      <c r="AA24" s="705"/>
      <c r="AB24" s="705"/>
      <c r="AC24" s="705"/>
      <c r="AD24" s="705"/>
      <c r="AE24" s="705"/>
      <c r="AF24" s="705"/>
      <c r="AG24" s="705"/>
      <c r="AH24" s="705"/>
      <c r="AI24" s="705"/>
      <c r="AJ24" s="705"/>
      <c r="AK24" s="705"/>
      <c r="AL24" s="706"/>
      <c r="AM24" s="707" t="str">
        <f>IF(AND(OR(反映シート!$E$13="荷主等",反映シート!$E$15="荷主等"),反映シート!R120="予約受付システム等"),反映シート!$I$190,"")</f>
        <v/>
      </c>
      <c r="AN24" s="708"/>
      <c r="AO24" s="708"/>
      <c r="AP24" s="708"/>
      <c r="AQ24" s="709" t="s">
        <v>315</v>
      </c>
      <c r="AR24" s="710"/>
      <c r="AS24" s="91"/>
    </row>
    <row r="25" spans="1:45" ht="30" customHeight="1" thickBot="1" x14ac:dyDescent="0.2">
      <c r="A25" s="91"/>
      <c r="B25" s="534"/>
      <c r="C25" s="535"/>
      <c r="D25" s="535"/>
      <c r="E25" s="535"/>
      <c r="F25" s="535"/>
      <c r="G25" s="719" t="s">
        <v>430</v>
      </c>
      <c r="H25" s="535"/>
      <c r="I25" s="535"/>
      <c r="J25" s="535"/>
      <c r="K25" s="535"/>
      <c r="L25" s="535"/>
      <c r="M25" s="630"/>
      <c r="N25" s="720" t="s">
        <v>419</v>
      </c>
      <c r="O25" s="721"/>
      <c r="P25" s="721"/>
      <c r="Q25" s="721"/>
      <c r="R25" s="721"/>
      <c r="S25" s="721"/>
      <c r="T25" s="721"/>
      <c r="U25" s="721"/>
      <c r="V25" s="721"/>
      <c r="W25" s="721"/>
      <c r="X25" s="721"/>
      <c r="Y25" s="721"/>
      <c r="Z25" s="721"/>
      <c r="AA25" s="721"/>
      <c r="AB25" s="721"/>
      <c r="AC25" s="721"/>
      <c r="AD25" s="721"/>
      <c r="AE25" s="721"/>
      <c r="AF25" s="721"/>
      <c r="AG25" s="721"/>
      <c r="AH25" s="721"/>
      <c r="AI25" s="721"/>
      <c r="AJ25" s="721"/>
      <c r="AK25" s="721"/>
      <c r="AL25" s="722"/>
      <c r="AM25" s="711" t="str">
        <f>IF(AND(OR(反映シート!$E$13="荷主等",反映シート!$E$15="荷主等"),反映シート!R120="予約受付システム等"),反映シート!$I$196,"")</f>
        <v/>
      </c>
      <c r="AN25" s="712"/>
      <c r="AO25" s="712"/>
      <c r="AP25" s="712"/>
      <c r="AQ25" s="713" t="s">
        <v>315</v>
      </c>
      <c r="AR25" s="714"/>
      <c r="AS25" s="91"/>
    </row>
    <row r="26" spans="1:45" ht="8.25" customHeight="1" thickBot="1" x14ac:dyDescent="0.2">
      <c r="A26" s="91"/>
      <c r="B26" s="94"/>
      <c r="C26" s="94"/>
      <c r="D26" s="94"/>
      <c r="E26" s="94"/>
      <c r="F26" s="94"/>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6"/>
      <c r="AN26" s="96"/>
      <c r="AO26" s="96"/>
      <c r="AP26" s="96"/>
      <c r="AQ26" s="94"/>
      <c r="AR26" s="94"/>
      <c r="AS26" s="91"/>
    </row>
    <row r="27" spans="1:45" ht="15" customHeight="1" x14ac:dyDescent="0.15">
      <c r="A27" s="91"/>
      <c r="B27" s="626" t="s">
        <v>405</v>
      </c>
      <c r="C27" s="627"/>
      <c r="D27" s="627"/>
      <c r="E27" s="627"/>
      <c r="F27" s="627"/>
      <c r="G27" s="715" t="s">
        <v>381</v>
      </c>
      <c r="H27" s="631"/>
      <c r="I27" s="631"/>
      <c r="J27" s="716"/>
      <c r="K27" s="632" t="s">
        <v>78</v>
      </c>
      <c r="L27" s="633"/>
      <c r="M27" s="634"/>
      <c r="N27" s="635" t="s">
        <v>450</v>
      </c>
      <c r="O27" s="636"/>
      <c r="P27" s="637" t="str">
        <f>IF(AND(反映シート!$E$13="リース事業者",反映シート!$R$120="予約受付システム等"),LEFT(反映シート!$E$41,3),IF(AND(反映シート!$E$15="リース事業者",反映シート!$R$120="予約受付システム等"),LEFT(反映シート!$E$80,3),""))</f>
        <v/>
      </c>
      <c r="Q27" s="638"/>
      <c r="R27" s="639"/>
      <c r="S27" s="90" t="s">
        <v>406</v>
      </c>
      <c r="T27" s="660" t="str">
        <f>IF(AND(反映シート!$E$13="リース事業者",反映シート!$R$120="予約受付システム等"),RIGHT(反映シート!$E$41,4),IF(AND(反映シート!$E$15="リース事業者",反映シート!$R$120="予約受付システム等"),RIGHT(反映シート!$E$80,4),""))</f>
        <v/>
      </c>
      <c r="U27" s="660"/>
      <c r="V27" s="660"/>
      <c r="W27" s="660"/>
      <c r="X27" s="655" t="str">
        <f>IF(AND(反映シート!$E$13="リース事業者",反映シート!$R$120="予約受付システム等"),"✓","")</f>
        <v/>
      </c>
      <c r="Y27" s="656"/>
      <c r="Z27" s="653" t="s">
        <v>452</v>
      </c>
      <c r="AA27" s="653"/>
      <c r="AB27" s="653"/>
      <c r="AC27" s="653"/>
      <c r="AD27" s="653"/>
      <c r="AE27" s="653"/>
      <c r="AF27" s="653"/>
      <c r="AG27" s="653"/>
      <c r="AH27" s="653"/>
      <c r="AI27" s="653"/>
      <c r="AJ27" s="653"/>
      <c r="AK27" s="653"/>
      <c r="AL27" s="653"/>
      <c r="AM27" s="653"/>
      <c r="AN27" s="653"/>
      <c r="AO27" s="653"/>
      <c r="AP27" s="653"/>
      <c r="AQ27" s="653"/>
      <c r="AR27" s="654"/>
      <c r="AS27" s="91"/>
    </row>
    <row r="28" spans="1:45" ht="15" customHeight="1" x14ac:dyDescent="0.15">
      <c r="A28" s="91"/>
      <c r="B28" s="532"/>
      <c r="C28" s="533"/>
      <c r="D28" s="533"/>
      <c r="E28" s="533"/>
      <c r="F28" s="533"/>
      <c r="G28" s="538"/>
      <c r="H28" s="539"/>
      <c r="I28" s="539"/>
      <c r="J28" s="666"/>
      <c r="K28" s="512" t="s">
        <v>79</v>
      </c>
      <c r="L28" s="513"/>
      <c r="M28" s="514"/>
      <c r="N28" s="518" t="str">
        <f>IF(AND(反映シート!$E$13="リース事業者",反映シート!$R$120="予約受付システム等"),反映シート!$E$43,IF(AND(反映シート!$E$15="リース事業者",反映シート!$R$120="予約受付システム等"),反映シート!$E$82,""))</f>
        <v/>
      </c>
      <c r="O28" s="519"/>
      <c r="P28" s="519"/>
      <c r="Q28" s="519"/>
      <c r="R28" s="519"/>
      <c r="S28" s="519"/>
      <c r="T28" s="519"/>
      <c r="U28" s="519"/>
      <c r="V28" s="519"/>
      <c r="W28" s="519"/>
      <c r="X28" s="657"/>
      <c r="Y28" s="658"/>
      <c r="Z28" s="651"/>
      <c r="AA28" s="651"/>
      <c r="AB28" s="651"/>
      <c r="AC28" s="651"/>
      <c r="AD28" s="651"/>
      <c r="AE28" s="651"/>
      <c r="AF28" s="651"/>
      <c r="AG28" s="651"/>
      <c r="AH28" s="651"/>
      <c r="AI28" s="651"/>
      <c r="AJ28" s="651"/>
      <c r="AK28" s="651"/>
      <c r="AL28" s="651"/>
      <c r="AM28" s="651"/>
      <c r="AN28" s="651"/>
      <c r="AO28" s="651"/>
      <c r="AP28" s="651"/>
      <c r="AQ28" s="651"/>
      <c r="AR28" s="652"/>
      <c r="AS28" s="91"/>
    </row>
    <row r="29" spans="1:45" ht="15" customHeight="1" x14ac:dyDescent="0.15">
      <c r="A29" s="91"/>
      <c r="B29" s="532"/>
      <c r="C29" s="533"/>
      <c r="D29" s="533"/>
      <c r="E29" s="533"/>
      <c r="F29" s="533"/>
      <c r="G29" s="538"/>
      <c r="H29" s="539"/>
      <c r="I29" s="539"/>
      <c r="J29" s="666"/>
      <c r="K29" s="512" t="s">
        <v>81</v>
      </c>
      <c r="L29" s="513"/>
      <c r="M29" s="514"/>
      <c r="N29" s="515" t="str">
        <f>IF(AND(反映シート!$E$13="リース事業者",反映シート!$R$120="予約受付システム等"),反映シート!$E$45,IF(AND(反映シート!$E$15="リース事業者",反映シート!$R$120="予約受付システム等"),反映シート!$E$84,""))</f>
        <v/>
      </c>
      <c r="O29" s="516"/>
      <c r="P29" s="516"/>
      <c r="Q29" s="516"/>
      <c r="R29" s="516"/>
      <c r="S29" s="516"/>
      <c r="T29" s="516"/>
      <c r="U29" s="516"/>
      <c r="V29" s="516"/>
      <c r="W29" s="516"/>
      <c r="X29" s="516"/>
      <c r="Y29" s="516"/>
      <c r="Z29" s="516"/>
      <c r="AA29" s="516"/>
      <c r="AB29" s="516"/>
      <c r="AC29" s="516"/>
      <c r="AD29" s="516"/>
      <c r="AE29" s="516"/>
      <c r="AF29" s="516"/>
      <c r="AG29" s="516"/>
      <c r="AH29" s="516"/>
      <c r="AI29" s="516"/>
      <c r="AJ29" s="516"/>
      <c r="AK29" s="516"/>
      <c r="AL29" s="516"/>
      <c r="AM29" s="516"/>
      <c r="AN29" s="516"/>
      <c r="AO29" s="516"/>
      <c r="AP29" s="516"/>
      <c r="AQ29" s="516"/>
      <c r="AR29" s="517"/>
      <c r="AS29" s="91"/>
    </row>
    <row r="30" spans="1:45" ht="15" customHeight="1" x14ac:dyDescent="0.15">
      <c r="A30" s="91"/>
      <c r="B30" s="532"/>
      <c r="C30" s="533"/>
      <c r="D30" s="533"/>
      <c r="E30" s="533"/>
      <c r="F30" s="533"/>
      <c r="G30" s="538"/>
      <c r="H30" s="539"/>
      <c r="I30" s="539"/>
      <c r="J30" s="666"/>
      <c r="K30" s="512" t="s">
        <v>82</v>
      </c>
      <c r="L30" s="513"/>
      <c r="M30" s="514"/>
      <c r="N30" s="518" t="str">
        <f>IF(AND(反映シート!$E$13="リース事業者",反映シート!$R$120="予約受付システム等"),反映シート!$E$47,IF(AND(反映シート!$E$15="リース事業者",反映シート!$R$120="予約受付システム等"),反映シート!$E$86,""))</f>
        <v/>
      </c>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519"/>
      <c r="AL30" s="519"/>
      <c r="AM30" s="519"/>
      <c r="AN30" s="519"/>
      <c r="AO30" s="519"/>
      <c r="AP30" s="519"/>
      <c r="AQ30" s="519"/>
      <c r="AR30" s="520"/>
      <c r="AS30" s="91"/>
    </row>
    <row r="31" spans="1:45" ht="15" customHeight="1" x14ac:dyDescent="0.15">
      <c r="A31" s="91"/>
      <c r="B31" s="532"/>
      <c r="C31" s="533"/>
      <c r="D31" s="533"/>
      <c r="E31" s="533"/>
      <c r="F31" s="533"/>
      <c r="G31" s="540"/>
      <c r="H31" s="541"/>
      <c r="I31" s="541"/>
      <c r="J31" s="667"/>
      <c r="K31" s="521" t="s">
        <v>83</v>
      </c>
      <c r="L31" s="522"/>
      <c r="M31" s="523"/>
      <c r="N31" s="524" t="str">
        <f>IF(AND(反映シート!$E$13="リース事業者",反映シート!$R$120="予約受付システム等"),反映シート!$E$49,IF(AND(反映シート!$E$15="リース事業者",反映シート!$R$120="予約受付システム等"),反映シート!$E$88,""))</f>
        <v/>
      </c>
      <c r="O31" s="525"/>
      <c r="P31" s="525"/>
      <c r="Q31" s="525"/>
      <c r="R31" s="525"/>
      <c r="S31" s="525"/>
      <c r="T31" s="525"/>
      <c r="U31" s="525"/>
      <c r="V31" s="525"/>
      <c r="W31" s="525"/>
      <c r="X31" s="525"/>
      <c r="Y31" s="525"/>
      <c r="Z31" s="525"/>
      <c r="AA31" s="525"/>
      <c r="AB31" s="525"/>
      <c r="AC31" s="525"/>
      <c r="AD31" s="525"/>
      <c r="AE31" s="525"/>
      <c r="AF31" s="525"/>
      <c r="AG31" s="525"/>
      <c r="AH31" s="525"/>
      <c r="AI31" s="525"/>
      <c r="AJ31" s="525"/>
      <c r="AK31" s="525"/>
      <c r="AL31" s="525"/>
      <c r="AM31" s="525"/>
      <c r="AN31" s="525"/>
      <c r="AO31" s="525"/>
      <c r="AP31" s="525"/>
      <c r="AQ31" s="525"/>
      <c r="AR31" s="526"/>
      <c r="AS31" s="91"/>
    </row>
    <row r="32" spans="1:45" ht="19.5" customHeight="1" x14ac:dyDescent="0.15">
      <c r="A32" s="91"/>
      <c r="B32" s="532"/>
      <c r="C32" s="533"/>
      <c r="D32" s="533"/>
      <c r="E32" s="533"/>
      <c r="F32" s="533"/>
      <c r="G32" s="536" t="s">
        <v>382</v>
      </c>
      <c r="H32" s="537"/>
      <c r="I32" s="537"/>
      <c r="J32" s="537"/>
      <c r="K32" s="557"/>
      <c r="L32" s="559" t="s">
        <v>383</v>
      </c>
      <c r="M32" s="544"/>
      <c r="N32" s="560" t="str">
        <f>IF(AND(反映シート!$E$13="リース事業者",反映シート!$R$120="予約受付システム等"),反映シート!$E$53,IF(AND(反映シート!$E$15="リース事業者",反映シート!$R$120="予約受付システム等"),反映シート!$E$92,""))</f>
        <v/>
      </c>
      <c r="O32" s="561"/>
      <c r="P32" s="561"/>
      <c r="Q32" s="561"/>
      <c r="R32" s="561"/>
      <c r="S32" s="561"/>
      <c r="T32" s="561"/>
      <c r="U32" s="561"/>
      <c r="V32" s="561"/>
      <c r="W32" s="561"/>
      <c r="X32" s="561"/>
      <c r="Y32" s="561"/>
      <c r="Z32" s="561"/>
      <c r="AA32" s="561"/>
      <c r="AB32" s="561"/>
      <c r="AC32" s="561"/>
      <c r="AD32" s="561"/>
      <c r="AE32" s="561"/>
      <c r="AF32" s="561"/>
      <c r="AG32" s="561"/>
      <c r="AH32" s="561"/>
      <c r="AI32" s="561"/>
      <c r="AJ32" s="561"/>
      <c r="AK32" s="561"/>
      <c r="AL32" s="561"/>
      <c r="AM32" s="561"/>
      <c r="AN32" s="561"/>
      <c r="AO32" s="561"/>
      <c r="AP32" s="561"/>
      <c r="AQ32" s="561"/>
      <c r="AR32" s="562"/>
      <c r="AS32" s="91"/>
    </row>
    <row r="33" spans="1:47" ht="30" customHeight="1" x14ac:dyDescent="0.15">
      <c r="A33" s="91"/>
      <c r="B33" s="532"/>
      <c r="C33" s="533"/>
      <c r="D33" s="533"/>
      <c r="E33" s="533"/>
      <c r="F33" s="533"/>
      <c r="G33" s="540"/>
      <c r="H33" s="541"/>
      <c r="I33" s="541"/>
      <c r="J33" s="541"/>
      <c r="K33" s="558"/>
      <c r="L33" s="563" t="s">
        <v>384</v>
      </c>
      <c r="M33" s="523"/>
      <c r="N33" s="524" t="str">
        <f>IF(AND(反映シート!$E$13="リース事業者",反映シート!$R$120="予約受付システム等"),反映シート!$E$51,IF(AND(反映シート!$E$15="リース事業者",反映シート!$R$120="予約受付システム等"),反映シート!$E$90,""))</f>
        <v/>
      </c>
      <c r="O33" s="525"/>
      <c r="P33" s="525"/>
      <c r="Q33" s="525"/>
      <c r="R33" s="525"/>
      <c r="S33" s="525"/>
      <c r="T33" s="525"/>
      <c r="U33" s="525"/>
      <c r="V33" s="525"/>
      <c r="W33" s="525"/>
      <c r="X33" s="525"/>
      <c r="Y33" s="525"/>
      <c r="Z33" s="525"/>
      <c r="AA33" s="525"/>
      <c r="AB33" s="525"/>
      <c r="AC33" s="525"/>
      <c r="AD33" s="525"/>
      <c r="AE33" s="525"/>
      <c r="AF33" s="525"/>
      <c r="AG33" s="525"/>
      <c r="AH33" s="525"/>
      <c r="AI33" s="525"/>
      <c r="AJ33" s="525"/>
      <c r="AK33" s="525"/>
      <c r="AL33" s="525"/>
      <c r="AM33" s="525"/>
      <c r="AN33" s="525"/>
      <c r="AO33" s="525"/>
      <c r="AP33" s="525"/>
      <c r="AQ33" s="525"/>
      <c r="AR33" s="526"/>
      <c r="AS33" s="91"/>
    </row>
    <row r="34" spans="1:47" ht="19.5" customHeight="1" x14ac:dyDescent="0.15">
      <c r="A34" s="91"/>
      <c r="B34" s="532"/>
      <c r="C34" s="533"/>
      <c r="D34" s="533"/>
      <c r="E34" s="533"/>
      <c r="F34" s="533"/>
      <c r="G34" s="536" t="s">
        <v>407</v>
      </c>
      <c r="H34" s="537"/>
      <c r="I34" s="537"/>
      <c r="J34" s="537"/>
      <c r="K34" s="537"/>
      <c r="L34" s="537"/>
      <c r="M34" s="557"/>
      <c r="N34" s="565" t="s">
        <v>386</v>
      </c>
      <c r="O34" s="566"/>
      <c r="P34" s="566"/>
      <c r="Q34" s="566"/>
      <c r="R34" s="566"/>
      <c r="S34" s="566"/>
      <c r="T34" s="566"/>
      <c r="U34" s="566"/>
      <c r="V34" s="566"/>
      <c r="W34" s="566"/>
      <c r="X34" s="566"/>
      <c r="Y34" s="567"/>
      <c r="Z34" s="568" t="s">
        <v>190</v>
      </c>
      <c r="AA34" s="569"/>
      <c r="AB34" s="569"/>
      <c r="AC34" s="569"/>
      <c r="AD34" s="569"/>
      <c r="AE34" s="569"/>
      <c r="AF34" s="569"/>
      <c r="AG34" s="569"/>
      <c r="AH34" s="569"/>
      <c r="AI34" s="569"/>
      <c r="AJ34" s="569"/>
      <c r="AK34" s="569"/>
      <c r="AL34" s="569"/>
      <c r="AM34" s="569"/>
      <c r="AN34" s="569"/>
      <c r="AO34" s="569"/>
      <c r="AP34" s="569"/>
      <c r="AQ34" s="569"/>
      <c r="AR34" s="570"/>
      <c r="AS34" s="91"/>
    </row>
    <row r="35" spans="1:47" ht="30" customHeight="1" x14ac:dyDescent="0.15">
      <c r="A35" s="91"/>
      <c r="B35" s="532"/>
      <c r="C35" s="533"/>
      <c r="D35" s="533"/>
      <c r="E35" s="533"/>
      <c r="F35" s="533"/>
      <c r="G35" s="538"/>
      <c r="H35" s="539"/>
      <c r="I35" s="539"/>
      <c r="J35" s="539"/>
      <c r="K35" s="539"/>
      <c r="L35" s="539"/>
      <c r="M35" s="564"/>
      <c r="N35" s="555" t="str">
        <f>IF(AND(反映シート!$E$13="リース事業者",反映シート!$R$120="予約受付システム等"),反映シート!$E$57,IF(AND(反映シート!$E$15="リース事業者",反映シート!$R$120="予約受付システム等"),反映シート!$E$96,""))</f>
        <v/>
      </c>
      <c r="O35" s="550"/>
      <c r="P35" s="550"/>
      <c r="Q35" s="550"/>
      <c r="R35" s="550"/>
      <c r="S35" s="550"/>
      <c r="T35" s="550"/>
      <c r="U35" s="550"/>
      <c r="V35" s="550"/>
      <c r="W35" s="550"/>
      <c r="X35" s="550"/>
      <c r="Y35" s="556"/>
      <c r="Z35" s="571" t="s">
        <v>69</v>
      </c>
      <c r="AA35" s="552"/>
      <c r="AB35" s="550" t="str">
        <f>IF(AND(反映シート!$E$13="リース事業者",反映シート!$R$120="予約受付システム等"),反映シート!$E$59,IF(AND(反映シート!$E$15="リース事業者",反映シート!$R$120="予約受付システム等"),反映シート!$E$98,""))</f>
        <v/>
      </c>
      <c r="AC35" s="550"/>
      <c r="AD35" s="550"/>
      <c r="AE35" s="550"/>
      <c r="AF35" s="550"/>
      <c r="AG35" s="550"/>
      <c r="AH35" s="550"/>
      <c r="AI35" s="551" t="s">
        <v>70</v>
      </c>
      <c r="AJ35" s="552"/>
      <c r="AK35" s="550" t="str">
        <f>IF(AND(反映シート!$E$13="リース事業者",反映シート!$R$120="予約受付システム等"),反映シート!$E$61,IF(AND(反映シート!$E$15="リース事業者",反映シート!$R$120="予約受付システム等"),反映シート!$E$100,""))</f>
        <v/>
      </c>
      <c r="AL35" s="550"/>
      <c r="AM35" s="550"/>
      <c r="AN35" s="550"/>
      <c r="AO35" s="550"/>
      <c r="AP35" s="550"/>
      <c r="AQ35" s="550"/>
      <c r="AR35" s="553"/>
      <c r="AS35" s="91"/>
    </row>
    <row r="36" spans="1:47" ht="19.5" customHeight="1" x14ac:dyDescent="0.15">
      <c r="A36" s="91"/>
      <c r="B36" s="532"/>
      <c r="C36" s="533"/>
      <c r="D36" s="533"/>
      <c r="E36" s="533"/>
      <c r="F36" s="533"/>
      <c r="G36" s="536" t="s">
        <v>408</v>
      </c>
      <c r="H36" s="537"/>
      <c r="I36" s="537"/>
      <c r="J36" s="537"/>
      <c r="K36" s="537"/>
      <c r="L36" s="537"/>
      <c r="M36" s="557"/>
      <c r="N36" s="555" t="str">
        <f>IF(AND(反映シート!$E$13="リース事業者",反映シート!$R$120="予約受付システム等"),反映シート!$G$373,IF(AND(反映シート!$E$15="リース事業者",反映シート!$R$120="予約受付システム等"),反映シート!$G$387,""))</f>
        <v/>
      </c>
      <c r="O36" s="550"/>
      <c r="P36" s="550"/>
      <c r="Q36" s="550"/>
      <c r="R36" s="550"/>
      <c r="S36" s="550"/>
      <c r="T36" s="550"/>
      <c r="U36" s="550"/>
      <c r="V36" s="550"/>
      <c r="W36" s="550"/>
      <c r="X36" s="550"/>
      <c r="Y36" s="556"/>
      <c r="Z36" s="554" t="s">
        <v>388</v>
      </c>
      <c r="AA36" s="554"/>
      <c r="AB36" s="554"/>
      <c r="AC36" s="554"/>
      <c r="AD36" s="554"/>
      <c r="AE36" s="554"/>
      <c r="AF36" s="554"/>
      <c r="AG36" s="555" t="str">
        <f>IF(AND(反映シート!$E$13="リース事業者",反映シート!$R$120="予約受付システム等"),反映シート!$G$375,IF(AND(反映シート!$E$15="リース事業者",反映シート!$R$120="予約受付システム等"),反映シート!$G$389,""))</f>
        <v/>
      </c>
      <c r="AH36" s="550"/>
      <c r="AI36" s="550"/>
      <c r="AJ36" s="550"/>
      <c r="AK36" s="550"/>
      <c r="AL36" s="550"/>
      <c r="AM36" s="550"/>
      <c r="AN36" s="550"/>
      <c r="AO36" s="550"/>
      <c r="AP36" s="550"/>
      <c r="AQ36" s="550"/>
      <c r="AR36" s="553"/>
      <c r="AS36" s="91"/>
    </row>
    <row r="37" spans="1:47" ht="19.5" customHeight="1" x14ac:dyDescent="0.15">
      <c r="A37" s="91"/>
      <c r="B37" s="532"/>
      <c r="C37" s="533"/>
      <c r="D37" s="533"/>
      <c r="E37" s="533"/>
      <c r="F37" s="533"/>
      <c r="G37" s="536" t="s">
        <v>389</v>
      </c>
      <c r="H37" s="537"/>
      <c r="I37" s="537"/>
      <c r="J37" s="537"/>
      <c r="K37" s="537"/>
      <c r="L37" s="537"/>
      <c r="M37" s="557"/>
      <c r="N37" s="524" t="str">
        <f>IF(AND(反映シート!$E$13="リース事業者",反映シート!$R$120="予約受付システム等"),反映シート!$G$377,IF(AND(反映シート!$E$15="リース事業者",反映シート!$R$120="予約受付システム等"),反映シート!$G$391,""))</f>
        <v/>
      </c>
      <c r="O37" s="525"/>
      <c r="P37" s="525"/>
      <c r="Q37" s="525"/>
      <c r="R37" s="525"/>
      <c r="S37" s="525"/>
      <c r="T37" s="525"/>
      <c r="U37" s="525"/>
      <c r="V37" s="525"/>
      <c r="W37" s="525"/>
      <c r="X37" s="525"/>
      <c r="Y37" s="525"/>
      <c r="Z37" s="525"/>
      <c r="AA37" s="525"/>
      <c r="AB37" s="525"/>
      <c r="AC37" s="525"/>
      <c r="AD37" s="525"/>
      <c r="AE37" s="525"/>
      <c r="AF37" s="525"/>
      <c r="AG37" s="525"/>
      <c r="AH37" s="525"/>
      <c r="AI37" s="525"/>
      <c r="AJ37" s="525"/>
      <c r="AK37" s="525"/>
      <c r="AL37" s="525"/>
      <c r="AM37" s="525"/>
      <c r="AN37" s="525"/>
      <c r="AO37" s="525"/>
      <c r="AP37" s="525"/>
      <c r="AQ37" s="525"/>
      <c r="AR37" s="526"/>
      <c r="AS37" s="91"/>
      <c r="AU37" s="166"/>
    </row>
    <row r="38" spans="1:47" ht="20.100000000000001" customHeight="1" thickBot="1" x14ac:dyDescent="0.2">
      <c r="A38" s="91"/>
      <c r="B38" s="534"/>
      <c r="C38" s="535"/>
      <c r="D38" s="535"/>
      <c r="E38" s="535"/>
      <c r="F38" s="535"/>
      <c r="G38" s="641" t="s">
        <v>390</v>
      </c>
      <c r="H38" s="641"/>
      <c r="I38" s="641"/>
      <c r="J38" s="641"/>
      <c r="K38" s="641"/>
      <c r="L38" s="641"/>
      <c r="M38" s="641"/>
      <c r="N38" s="642" t="str">
        <f>IF(AND(反映シート!$E$13="リース事業者",反映シート!$R$120="予約受付システム等"),反映シート!$G$379,IF(AND(反映シート!$E$15="リース事業者",反映シート!$R$120="予約受付システム等"),反映シート!$G$393,""))</f>
        <v/>
      </c>
      <c r="O38" s="643"/>
      <c r="P38" s="643"/>
      <c r="Q38" s="643"/>
      <c r="R38" s="643"/>
      <c r="S38" s="643"/>
      <c r="T38" s="643"/>
      <c r="U38" s="643"/>
      <c r="V38" s="643"/>
      <c r="W38" s="643"/>
      <c r="X38" s="643"/>
      <c r="Y38" s="643"/>
      <c r="Z38" s="643"/>
      <c r="AA38" s="643"/>
      <c r="AB38" s="643"/>
      <c r="AC38" s="643"/>
      <c r="AD38" s="643"/>
      <c r="AE38" s="643"/>
      <c r="AF38" s="643"/>
      <c r="AG38" s="643"/>
      <c r="AH38" s="643"/>
      <c r="AI38" s="643"/>
      <c r="AJ38" s="643"/>
      <c r="AK38" s="643"/>
      <c r="AL38" s="643"/>
      <c r="AM38" s="643"/>
      <c r="AN38" s="643"/>
      <c r="AO38" s="643"/>
      <c r="AP38" s="643"/>
      <c r="AQ38" s="643"/>
      <c r="AR38" s="644"/>
      <c r="AS38" s="91"/>
      <c r="AU38" s="166"/>
    </row>
    <row r="39" spans="1:47" ht="16.5" customHeight="1" x14ac:dyDescent="0.15">
      <c r="A39" s="160"/>
      <c r="B39" s="165"/>
      <c r="C39" s="160"/>
      <c r="D39" s="160"/>
      <c r="E39" s="160"/>
      <c r="F39" s="160"/>
      <c r="G39" s="160"/>
      <c r="H39" s="160"/>
      <c r="I39" s="160"/>
      <c r="J39" s="160"/>
      <c r="K39" s="160"/>
      <c r="L39" s="160"/>
      <c r="M39" s="160"/>
      <c r="N39" s="160"/>
      <c r="O39" s="160"/>
      <c r="P39" s="160"/>
      <c r="Q39" s="160"/>
      <c r="R39" s="160"/>
      <c r="S39" s="160"/>
      <c r="T39" s="160"/>
      <c r="U39" s="160"/>
      <c r="V39" s="160"/>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167"/>
    </row>
  </sheetData>
  <sheetProtection algorithmName="SHA-512" hashValue="trNKWoXB5zVeQlmn+W8mPU+F9NHf2rrSmH7hLLCHZ8Wjr9BbcDmJrJaIOiiI8FAjMbmojcnkWfG7gSBmsV20Vg==" saltValue="pFL238oICyh8Bb510Y3Aww==" spinCount="100000" sheet="1" objects="1" scenarios="1" selectLockedCells="1"/>
  <protectedRanges>
    <protectedRange sqref="AM15" name="範囲1_7_9"/>
    <protectedRange sqref="AM25" name="範囲1_7_10"/>
    <protectedRange sqref="Z35 P27 N29:N31 Z11 P3 N5:N7" name="範囲1_7_1"/>
    <protectedRange sqref="N32:N33 N8:N9" name="範囲1"/>
    <protectedRange sqref="N35 N11" name="範囲1_5"/>
    <protectedRange sqref="N37:N38 N13:N14" name="範囲1_1"/>
    <protectedRange sqref="N36 AG36 N12 AG12" name="範囲1_3_1"/>
    <protectedRange sqref="N28 N4" name="範囲1_7_2"/>
  </protectedRanges>
  <dataConsolidate/>
  <mergeCells count="114">
    <mergeCell ref="X3:Y4"/>
    <mergeCell ref="Z3:AR4"/>
    <mergeCell ref="X27:Y28"/>
    <mergeCell ref="Z27:AR28"/>
    <mergeCell ref="G36:M36"/>
    <mergeCell ref="N36:Y36"/>
    <mergeCell ref="Z36:AF36"/>
    <mergeCell ref="AG36:AR36"/>
    <mergeCell ref="G37:M37"/>
    <mergeCell ref="N37:AR37"/>
    <mergeCell ref="G34:M35"/>
    <mergeCell ref="N34:Y34"/>
    <mergeCell ref="Z34:AR34"/>
    <mergeCell ref="N35:Y35"/>
    <mergeCell ref="Z35:AA35"/>
    <mergeCell ref="AB35:AH35"/>
    <mergeCell ref="AI35:AJ35"/>
    <mergeCell ref="AK35:AR35"/>
    <mergeCell ref="K31:M31"/>
    <mergeCell ref="N31:AR31"/>
    <mergeCell ref="G32:K33"/>
    <mergeCell ref="L32:M32"/>
    <mergeCell ref="G25:M25"/>
    <mergeCell ref="N25:AL25"/>
    <mergeCell ref="AM25:AP25"/>
    <mergeCell ref="AQ25:AR25"/>
    <mergeCell ref="B27:F38"/>
    <mergeCell ref="G27:J31"/>
    <mergeCell ref="K27:M27"/>
    <mergeCell ref="N27:O27"/>
    <mergeCell ref="P27:R27"/>
    <mergeCell ref="T27:W27"/>
    <mergeCell ref="N32:AR32"/>
    <mergeCell ref="L33:M33"/>
    <mergeCell ref="N33:AR33"/>
    <mergeCell ref="K28:M28"/>
    <mergeCell ref="N28:W28"/>
    <mergeCell ref="K29:M29"/>
    <mergeCell ref="N29:AR29"/>
    <mergeCell ref="K30:M30"/>
    <mergeCell ref="N30:AR30"/>
    <mergeCell ref="G38:M38"/>
    <mergeCell ref="N38:AR38"/>
    <mergeCell ref="G21:M24"/>
    <mergeCell ref="N21:AL21"/>
    <mergeCell ref="AM21:AP21"/>
    <mergeCell ref="AQ21:AR21"/>
    <mergeCell ref="N22:X24"/>
    <mergeCell ref="Y22:AL22"/>
    <mergeCell ref="AM22:AP22"/>
    <mergeCell ref="AM17:AP17"/>
    <mergeCell ref="AQ17:AR17"/>
    <mergeCell ref="N18:AL18"/>
    <mergeCell ref="AM18:AP18"/>
    <mergeCell ref="AQ18:AR18"/>
    <mergeCell ref="N19:AL19"/>
    <mergeCell ref="AM19:AP19"/>
    <mergeCell ref="AQ19:AR19"/>
    <mergeCell ref="AQ22:AR22"/>
    <mergeCell ref="Y23:AL23"/>
    <mergeCell ref="AM23:AP23"/>
    <mergeCell ref="AQ23:AR23"/>
    <mergeCell ref="Y24:AL24"/>
    <mergeCell ref="AM24:AP24"/>
    <mergeCell ref="AQ24:AR24"/>
    <mergeCell ref="N20:AL20"/>
    <mergeCell ref="AM20:AP20"/>
    <mergeCell ref="G14:M14"/>
    <mergeCell ref="N14:AR14"/>
    <mergeCell ref="G15:M20"/>
    <mergeCell ref="N15:AL15"/>
    <mergeCell ref="AM15:AP15"/>
    <mergeCell ref="AQ15:AR15"/>
    <mergeCell ref="N16:AL16"/>
    <mergeCell ref="AM16:AP16"/>
    <mergeCell ref="AQ16:AR16"/>
    <mergeCell ref="N17:AL17"/>
    <mergeCell ref="AQ20:AR20"/>
    <mergeCell ref="Z12:AF12"/>
    <mergeCell ref="AG12:AR12"/>
    <mergeCell ref="G13:M13"/>
    <mergeCell ref="N13:AR13"/>
    <mergeCell ref="G10:M11"/>
    <mergeCell ref="N10:Y10"/>
    <mergeCell ref="Z10:AR10"/>
    <mergeCell ref="N11:Y11"/>
    <mergeCell ref="Z11:AA11"/>
    <mergeCell ref="AB11:AH11"/>
    <mergeCell ref="AI11:AJ11"/>
    <mergeCell ref="AK11:AR11"/>
    <mergeCell ref="O1:Q1"/>
    <mergeCell ref="R1:U1"/>
    <mergeCell ref="B2:AR2"/>
    <mergeCell ref="B3:F25"/>
    <mergeCell ref="G3:J7"/>
    <mergeCell ref="K3:M3"/>
    <mergeCell ref="N3:O3"/>
    <mergeCell ref="P3:R3"/>
    <mergeCell ref="T3:W3"/>
    <mergeCell ref="K7:M7"/>
    <mergeCell ref="N7:AR7"/>
    <mergeCell ref="G8:K9"/>
    <mergeCell ref="L8:M8"/>
    <mergeCell ref="N8:AR8"/>
    <mergeCell ref="L9:M9"/>
    <mergeCell ref="N9:AR9"/>
    <mergeCell ref="K4:M4"/>
    <mergeCell ref="N4:W4"/>
    <mergeCell ref="K5:M5"/>
    <mergeCell ref="N5:AR5"/>
    <mergeCell ref="K6:M6"/>
    <mergeCell ref="N6:AR6"/>
    <mergeCell ref="G12:M12"/>
    <mergeCell ref="N12:Y12"/>
  </mergeCells>
  <phoneticPr fontId="5"/>
  <printOptions horizontalCentered="1" verticalCentered="1"/>
  <pageMargins left="0.23622047244094491" right="0.23622047244094491" top="0.55118110236220474" bottom="0.55118110236220474"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47</xdr:col>
                    <xdr:colOff>0</xdr:colOff>
                    <xdr:row>24</xdr:row>
                    <xdr:rowOff>171450</xdr:rowOff>
                  </from>
                  <to>
                    <xdr:col>47</xdr:col>
                    <xdr:colOff>0</xdr:colOff>
                    <xdr:row>24</xdr:row>
                    <xdr:rowOff>371475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47</xdr:col>
                    <xdr:colOff>0</xdr:colOff>
                    <xdr:row>24</xdr:row>
                    <xdr:rowOff>171450</xdr:rowOff>
                  </from>
                  <to>
                    <xdr:col>47</xdr:col>
                    <xdr:colOff>0</xdr:colOff>
                    <xdr:row>24</xdr:row>
                    <xdr:rowOff>371475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47</xdr:col>
                    <xdr:colOff>0</xdr:colOff>
                    <xdr:row>21</xdr:row>
                    <xdr:rowOff>171450</xdr:rowOff>
                  </from>
                  <to>
                    <xdr:col>47</xdr:col>
                    <xdr:colOff>0</xdr:colOff>
                    <xdr:row>22</xdr:row>
                    <xdr:rowOff>57150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47</xdr:col>
                    <xdr:colOff>0</xdr:colOff>
                    <xdr:row>21</xdr:row>
                    <xdr:rowOff>171450</xdr:rowOff>
                  </from>
                  <to>
                    <xdr:col>47</xdr:col>
                    <xdr:colOff>0</xdr:colOff>
                    <xdr:row>22</xdr:row>
                    <xdr:rowOff>57150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47</xdr:col>
                    <xdr:colOff>0</xdr:colOff>
                    <xdr:row>18</xdr:row>
                    <xdr:rowOff>171450</xdr:rowOff>
                  </from>
                  <to>
                    <xdr:col>47</xdr:col>
                    <xdr:colOff>0</xdr:colOff>
                    <xdr:row>19</xdr:row>
                    <xdr:rowOff>57150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47</xdr:col>
                    <xdr:colOff>0</xdr:colOff>
                    <xdr:row>18</xdr:row>
                    <xdr:rowOff>171450</xdr:rowOff>
                  </from>
                  <to>
                    <xdr:col>47</xdr:col>
                    <xdr:colOff>0</xdr:colOff>
                    <xdr:row>19</xdr:row>
                    <xdr:rowOff>57150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S44"/>
  <sheetViews>
    <sheetView workbookViewId="0">
      <selection activeCell="ZZ1" sqref="ZZ1"/>
    </sheetView>
  </sheetViews>
  <sheetFormatPr defaultColWidth="2.5" defaultRowHeight="16.5" customHeight="1" x14ac:dyDescent="0.15"/>
  <cols>
    <col min="1" max="12" width="2.5" style="163"/>
    <col min="13" max="13" width="6.125" style="163" customWidth="1"/>
    <col min="14" max="14" width="2.5" style="163"/>
    <col min="15" max="16" width="2.5" style="163" customWidth="1"/>
    <col min="17" max="37" width="2.5" style="163"/>
    <col min="38" max="38" width="6.125" style="163" customWidth="1"/>
    <col min="39" max="16384" width="2.5" style="163"/>
  </cols>
  <sheetData>
    <row r="1" spans="1:45" ht="20.100000000000001" customHeight="1" thickBot="1" x14ac:dyDescent="0.2">
      <c r="A1" s="91"/>
      <c r="B1" s="92" t="s">
        <v>409</v>
      </c>
      <c r="C1" s="91"/>
      <c r="D1" s="91"/>
      <c r="E1" s="91"/>
      <c r="F1" s="91"/>
      <c r="G1" s="91"/>
      <c r="H1" s="91"/>
      <c r="I1" s="91"/>
      <c r="J1" s="91"/>
      <c r="K1" s="91"/>
      <c r="L1" s="91"/>
      <c r="M1" s="91"/>
      <c r="N1" s="93"/>
      <c r="O1" s="93"/>
      <c r="P1" s="661"/>
      <c r="Q1" s="661"/>
      <c r="R1" s="661"/>
      <c r="S1" s="662"/>
      <c r="T1" s="663"/>
      <c r="U1" s="663"/>
      <c r="V1" s="663"/>
      <c r="W1" s="93"/>
      <c r="X1" s="158"/>
      <c r="Y1" s="93"/>
      <c r="Z1" s="93"/>
      <c r="AA1" s="93"/>
      <c r="AB1" s="91"/>
      <c r="AC1" s="91"/>
      <c r="AD1" s="91"/>
      <c r="AE1" s="91"/>
      <c r="AF1" s="91"/>
      <c r="AG1" s="91"/>
      <c r="AH1" s="93"/>
      <c r="AI1" s="93"/>
      <c r="AJ1" s="93"/>
      <c r="AK1" s="153"/>
      <c r="AL1" s="159"/>
      <c r="AM1" s="91"/>
      <c r="AN1" s="91"/>
      <c r="AO1" s="93"/>
      <c r="AP1" s="93"/>
      <c r="AQ1" s="93"/>
      <c r="AR1" s="93"/>
      <c r="AS1" s="159"/>
    </row>
    <row r="2" spans="1:45" ht="19.5" customHeight="1" x14ac:dyDescent="0.15">
      <c r="A2" s="91"/>
      <c r="B2" s="527" t="s">
        <v>379</v>
      </c>
      <c r="C2" s="528"/>
      <c r="D2" s="528"/>
      <c r="E2" s="528"/>
      <c r="F2" s="528"/>
      <c r="G2" s="528"/>
      <c r="H2" s="528"/>
      <c r="I2" s="528"/>
      <c r="J2" s="528"/>
      <c r="K2" s="528"/>
      <c r="L2" s="528"/>
      <c r="M2" s="528"/>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64"/>
      <c r="AS2" s="91"/>
    </row>
    <row r="3" spans="1:45" ht="15" customHeight="1" x14ac:dyDescent="0.15">
      <c r="A3" s="91"/>
      <c r="B3" s="530" t="s">
        <v>380</v>
      </c>
      <c r="C3" s="531"/>
      <c r="D3" s="531"/>
      <c r="E3" s="531"/>
      <c r="F3" s="723"/>
      <c r="G3" s="536" t="s">
        <v>381</v>
      </c>
      <c r="H3" s="537"/>
      <c r="I3" s="537"/>
      <c r="J3" s="537"/>
      <c r="K3" s="542" t="s">
        <v>78</v>
      </c>
      <c r="L3" s="543"/>
      <c r="M3" s="544"/>
      <c r="N3" s="545" t="s">
        <v>450</v>
      </c>
      <c r="O3" s="546"/>
      <c r="P3" s="547" t="str">
        <f>IF(AND(OR(反映シート!$E$13="トラック事業者",反映シート!$E$13="荷主等"),反映シート!$C$130=TRUE),LEFT(反映シート!$E$41,3),IF(AND(OR(反映シート!$E$15="トラック事業者",反映シート!$E$15="荷主等"),反映シート!$C$130=TRUE),LEFT(反映シート!$E$80,3),""))</f>
        <v/>
      </c>
      <c r="Q3" s="548"/>
      <c r="R3" s="670"/>
      <c r="S3" s="97" t="s">
        <v>406</v>
      </c>
      <c r="T3" s="549" t="str">
        <f>IF(AND(OR(反映シート!$E$13="トラック事業者",反映シート!$E$13="荷主等"),反映シート!$C$130=TRUE),RIGHT(反映シート!$E$41,4),IF(AND(OR(反映シート!$E$15="トラック事業者",反映シート!$E$15="荷主等"),反映シート!$C$130=TRUE),RIGHT(反映シート!$E$80,4),""))</f>
        <v/>
      </c>
      <c r="U3" s="549"/>
      <c r="V3" s="549"/>
      <c r="W3" s="549"/>
      <c r="X3" s="717" t="str">
        <f>IF(AND(OR(反映シート!$E$13="トラック事業者",反映シート!$E$13="荷主等"),反映シート!$C$130=TRUE),"✓","")</f>
        <v/>
      </c>
      <c r="Y3" s="718"/>
      <c r="Z3" s="649" t="s">
        <v>454</v>
      </c>
      <c r="AA3" s="649"/>
      <c r="AB3" s="649"/>
      <c r="AC3" s="649"/>
      <c r="AD3" s="649"/>
      <c r="AE3" s="649"/>
      <c r="AF3" s="649"/>
      <c r="AG3" s="649"/>
      <c r="AH3" s="649"/>
      <c r="AI3" s="649"/>
      <c r="AJ3" s="649"/>
      <c r="AK3" s="649"/>
      <c r="AL3" s="649"/>
      <c r="AM3" s="649"/>
      <c r="AN3" s="649"/>
      <c r="AO3" s="649"/>
      <c r="AP3" s="649"/>
      <c r="AQ3" s="649"/>
      <c r="AR3" s="650"/>
      <c r="AS3" s="91"/>
    </row>
    <row r="4" spans="1:45" ht="15" customHeight="1" x14ac:dyDescent="0.15">
      <c r="A4" s="91"/>
      <c r="B4" s="532"/>
      <c r="C4" s="533"/>
      <c r="D4" s="533"/>
      <c r="E4" s="533"/>
      <c r="F4" s="629"/>
      <c r="G4" s="538"/>
      <c r="H4" s="539"/>
      <c r="I4" s="539"/>
      <c r="J4" s="539"/>
      <c r="K4" s="512" t="s">
        <v>79</v>
      </c>
      <c r="L4" s="513"/>
      <c r="M4" s="514"/>
      <c r="N4" s="518" t="str">
        <f>IF(AND(OR(反映シート!$E$13="トラック事業者",反映シート!$E$13="荷主等"),反映シート!$C$130=TRUE),反映シート!$E$43,IF(AND(OR(反映シート!$E$15="トラック事業者",反映シート!$E$15="荷主等"),反映シート!$C$130=TRUE),反映シート!$E$82,""))</f>
        <v/>
      </c>
      <c r="O4" s="519"/>
      <c r="P4" s="519"/>
      <c r="Q4" s="519"/>
      <c r="R4" s="519"/>
      <c r="S4" s="519"/>
      <c r="T4" s="519"/>
      <c r="U4" s="519"/>
      <c r="V4" s="519"/>
      <c r="W4" s="519"/>
      <c r="X4" s="657"/>
      <c r="Y4" s="658"/>
      <c r="Z4" s="651"/>
      <c r="AA4" s="651"/>
      <c r="AB4" s="651"/>
      <c r="AC4" s="651"/>
      <c r="AD4" s="651"/>
      <c r="AE4" s="651"/>
      <c r="AF4" s="651"/>
      <c r="AG4" s="651"/>
      <c r="AH4" s="651"/>
      <c r="AI4" s="651"/>
      <c r="AJ4" s="651"/>
      <c r="AK4" s="651"/>
      <c r="AL4" s="651"/>
      <c r="AM4" s="651"/>
      <c r="AN4" s="651"/>
      <c r="AO4" s="651"/>
      <c r="AP4" s="651"/>
      <c r="AQ4" s="651"/>
      <c r="AR4" s="652"/>
      <c r="AS4" s="91"/>
    </row>
    <row r="5" spans="1:45" ht="15" customHeight="1" x14ac:dyDescent="0.15">
      <c r="A5" s="91"/>
      <c r="B5" s="532"/>
      <c r="C5" s="533"/>
      <c r="D5" s="533"/>
      <c r="E5" s="533"/>
      <c r="F5" s="629"/>
      <c r="G5" s="538"/>
      <c r="H5" s="539"/>
      <c r="I5" s="539"/>
      <c r="J5" s="539"/>
      <c r="K5" s="512" t="s">
        <v>81</v>
      </c>
      <c r="L5" s="513"/>
      <c r="M5" s="514"/>
      <c r="N5" s="515" t="str">
        <f>IF(AND(OR(反映シート!$E$13="トラック事業者",反映シート!$E$13="荷主等"),反映シート!$C$130=TRUE),反映シート!$E$45,IF(AND(OR(反映シート!$E$15="トラック事業者",反映シート!$E$15="荷主等"),反映シート!$C$130=TRUE),反映シート!$E$84,""))</f>
        <v/>
      </c>
      <c r="O5" s="516"/>
      <c r="P5" s="516"/>
      <c r="Q5" s="516"/>
      <c r="R5" s="516"/>
      <c r="S5" s="516"/>
      <c r="T5" s="516"/>
      <c r="U5" s="516"/>
      <c r="V5" s="516"/>
      <c r="W5" s="516"/>
      <c r="X5" s="516"/>
      <c r="Y5" s="516"/>
      <c r="Z5" s="516"/>
      <c r="AA5" s="516"/>
      <c r="AB5" s="516"/>
      <c r="AC5" s="516"/>
      <c r="AD5" s="516"/>
      <c r="AE5" s="516"/>
      <c r="AF5" s="516"/>
      <c r="AG5" s="516"/>
      <c r="AH5" s="516"/>
      <c r="AI5" s="516"/>
      <c r="AJ5" s="516"/>
      <c r="AK5" s="516"/>
      <c r="AL5" s="516"/>
      <c r="AM5" s="516"/>
      <c r="AN5" s="516"/>
      <c r="AO5" s="516"/>
      <c r="AP5" s="516"/>
      <c r="AQ5" s="516"/>
      <c r="AR5" s="517"/>
      <c r="AS5" s="91"/>
    </row>
    <row r="6" spans="1:45" ht="15" customHeight="1" x14ac:dyDescent="0.15">
      <c r="A6" s="91"/>
      <c r="B6" s="532"/>
      <c r="C6" s="533"/>
      <c r="D6" s="533"/>
      <c r="E6" s="533"/>
      <c r="F6" s="629"/>
      <c r="G6" s="538"/>
      <c r="H6" s="539"/>
      <c r="I6" s="539"/>
      <c r="J6" s="539"/>
      <c r="K6" s="512" t="s">
        <v>82</v>
      </c>
      <c r="L6" s="513"/>
      <c r="M6" s="514"/>
      <c r="N6" s="518" t="str">
        <f>IF(AND(OR(反映シート!$E$13="トラック事業者",反映シート!$E$13="荷主等"),反映シート!$C$130=TRUE),反映シート!$E$47,IF(AND(OR(反映シート!$E$15="トラック事業者",反映シート!$E$15="荷主等"),反映シート!$C$130=TRUE),反映シート!$E$86,""))</f>
        <v/>
      </c>
      <c r="O6" s="519"/>
      <c r="P6" s="519"/>
      <c r="Q6" s="519"/>
      <c r="R6" s="519"/>
      <c r="S6" s="519"/>
      <c r="T6" s="519"/>
      <c r="U6" s="519"/>
      <c r="V6" s="519"/>
      <c r="W6" s="519"/>
      <c r="X6" s="519"/>
      <c r="Y6" s="519"/>
      <c r="Z6" s="519"/>
      <c r="AA6" s="519"/>
      <c r="AB6" s="519"/>
      <c r="AC6" s="519"/>
      <c r="AD6" s="519"/>
      <c r="AE6" s="519"/>
      <c r="AF6" s="519"/>
      <c r="AG6" s="519"/>
      <c r="AH6" s="519"/>
      <c r="AI6" s="519"/>
      <c r="AJ6" s="519"/>
      <c r="AK6" s="519"/>
      <c r="AL6" s="519"/>
      <c r="AM6" s="519"/>
      <c r="AN6" s="519"/>
      <c r="AO6" s="519"/>
      <c r="AP6" s="519"/>
      <c r="AQ6" s="519"/>
      <c r="AR6" s="520"/>
      <c r="AS6" s="91"/>
    </row>
    <row r="7" spans="1:45" ht="15" customHeight="1" x14ac:dyDescent="0.15">
      <c r="A7" s="91"/>
      <c r="B7" s="532"/>
      <c r="C7" s="533"/>
      <c r="D7" s="533"/>
      <c r="E7" s="533"/>
      <c r="F7" s="629"/>
      <c r="G7" s="540"/>
      <c r="H7" s="541"/>
      <c r="I7" s="541"/>
      <c r="J7" s="541"/>
      <c r="K7" s="521" t="s">
        <v>83</v>
      </c>
      <c r="L7" s="522"/>
      <c r="M7" s="523"/>
      <c r="N7" s="524" t="str">
        <f>IF(AND(OR(反映シート!$E$13="トラック事業者",反映シート!$E$13="荷主等"),反映シート!$C$130=TRUE),反映シート!$E$49,IF(AND(OR(反映シート!$E$15="トラック事業者",反映シート!$E$15="荷主等"),反映シート!$C$130=TRUE),反映シート!$E$88,""))</f>
        <v/>
      </c>
      <c r="O7" s="525"/>
      <c r="P7" s="525"/>
      <c r="Q7" s="525"/>
      <c r="R7" s="525"/>
      <c r="S7" s="525"/>
      <c r="T7" s="525"/>
      <c r="U7" s="525"/>
      <c r="V7" s="525"/>
      <c r="W7" s="525"/>
      <c r="X7" s="525"/>
      <c r="Y7" s="525"/>
      <c r="Z7" s="525"/>
      <c r="AA7" s="525"/>
      <c r="AB7" s="525"/>
      <c r="AC7" s="525"/>
      <c r="AD7" s="525"/>
      <c r="AE7" s="525"/>
      <c r="AF7" s="525"/>
      <c r="AG7" s="525"/>
      <c r="AH7" s="525"/>
      <c r="AI7" s="525"/>
      <c r="AJ7" s="525"/>
      <c r="AK7" s="525"/>
      <c r="AL7" s="525"/>
      <c r="AM7" s="525"/>
      <c r="AN7" s="525"/>
      <c r="AO7" s="525"/>
      <c r="AP7" s="525"/>
      <c r="AQ7" s="525"/>
      <c r="AR7" s="526"/>
      <c r="AS7" s="91"/>
    </row>
    <row r="8" spans="1:45" ht="19.5" customHeight="1" x14ac:dyDescent="0.15">
      <c r="A8" s="91"/>
      <c r="B8" s="532"/>
      <c r="C8" s="533"/>
      <c r="D8" s="533"/>
      <c r="E8" s="533"/>
      <c r="F8" s="629"/>
      <c r="G8" s="536" t="s">
        <v>382</v>
      </c>
      <c r="H8" s="537"/>
      <c r="I8" s="537"/>
      <c r="J8" s="537"/>
      <c r="K8" s="557"/>
      <c r="L8" s="559" t="s">
        <v>383</v>
      </c>
      <c r="M8" s="544"/>
      <c r="N8" s="560" t="str">
        <f>IF(AND(OR(反映シート!$E$13="トラック事業者",反映シート!$E$13="荷主等"),反映シート!$C$130=TRUE),反映シート!$E$53,IF(AND(OR(反映シート!$E$15="トラック事業者",反映シート!$E$15="荷主等"),反映シート!$C$130=TRUE),反映シート!$E$92,""))</f>
        <v/>
      </c>
      <c r="O8" s="561"/>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1"/>
      <c r="AP8" s="561"/>
      <c r="AQ8" s="561"/>
      <c r="AR8" s="562"/>
      <c r="AS8" s="91"/>
    </row>
    <row r="9" spans="1:45" ht="30" customHeight="1" x14ac:dyDescent="0.15">
      <c r="A9" s="91"/>
      <c r="B9" s="532"/>
      <c r="C9" s="533"/>
      <c r="D9" s="533"/>
      <c r="E9" s="533"/>
      <c r="F9" s="629"/>
      <c r="G9" s="540"/>
      <c r="H9" s="541"/>
      <c r="I9" s="541"/>
      <c r="J9" s="541"/>
      <c r="K9" s="558"/>
      <c r="L9" s="563" t="s">
        <v>384</v>
      </c>
      <c r="M9" s="523"/>
      <c r="N9" s="524" t="str">
        <f>IF(AND(OR(反映シート!$E$13="トラック事業者",反映シート!$E$13="荷主等"),反映シート!$C$130=TRUE),反映シート!$E$51,IF(AND(OR(反映シート!$E$15="トラック事業者",反映シート!$E$15="荷主等"),反映シート!$C$130=TRUE),反映シート!$E$90,""))</f>
        <v/>
      </c>
      <c r="O9" s="525"/>
      <c r="P9" s="525"/>
      <c r="Q9" s="525"/>
      <c r="R9" s="525"/>
      <c r="S9" s="525"/>
      <c r="T9" s="525"/>
      <c r="U9" s="525"/>
      <c r="V9" s="525"/>
      <c r="W9" s="525"/>
      <c r="X9" s="525"/>
      <c r="Y9" s="525"/>
      <c r="Z9" s="525"/>
      <c r="AA9" s="525"/>
      <c r="AB9" s="525"/>
      <c r="AC9" s="525"/>
      <c r="AD9" s="525"/>
      <c r="AE9" s="525"/>
      <c r="AF9" s="525"/>
      <c r="AG9" s="525"/>
      <c r="AH9" s="525"/>
      <c r="AI9" s="525"/>
      <c r="AJ9" s="525"/>
      <c r="AK9" s="525"/>
      <c r="AL9" s="525"/>
      <c r="AM9" s="525"/>
      <c r="AN9" s="525"/>
      <c r="AO9" s="525"/>
      <c r="AP9" s="525"/>
      <c r="AQ9" s="525"/>
      <c r="AR9" s="526"/>
      <c r="AS9" s="91"/>
    </row>
    <row r="10" spans="1:45" ht="19.5" customHeight="1" x14ac:dyDescent="0.15">
      <c r="A10" s="91"/>
      <c r="B10" s="532"/>
      <c r="C10" s="533"/>
      <c r="D10" s="533"/>
      <c r="E10" s="533"/>
      <c r="F10" s="629"/>
      <c r="G10" s="538" t="s">
        <v>410</v>
      </c>
      <c r="H10" s="539"/>
      <c r="I10" s="539"/>
      <c r="J10" s="539"/>
      <c r="K10" s="539"/>
      <c r="L10" s="539"/>
      <c r="M10" s="564"/>
      <c r="N10" s="565" t="s">
        <v>386</v>
      </c>
      <c r="O10" s="566"/>
      <c r="P10" s="566"/>
      <c r="Q10" s="566"/>
      <c r="R10" s="566"/>
      <c r="S10" s="566"/>
      <c r="T10" s="566"/>
      <c r="U10" s="566"/>
      <c r="V10" s="566"/>
      <c r="W10" s="566"/>
      <c r="X10" s="566"/>
      <c r="Y10" s="567"/>
      <c r="Z10" s="568" t="s">
        <v>190</v>
      </c>
      <c r="AA10" s="569"/>
      <c r="AB10" s="569"/>
      <c r="AC10" s="569"/>
      <c r="AD10" s="569"/>
      <c r="AE10" s="569"/>
      <c r="AF10" s="569"/>
      <c r="AG10" s="569"/>
      <c r="AH10" s="569"/>
      <c r="AI10" s="569"/>
      <c r="AJ10" s="569"/>
      <c r="AK10" s="569"/>
      <c r="AL10" s="569"/>
      <c r="AM10" s="569"/>
      <c r="AN10" s="569"/>
      <c r="AO10" s="569"/>
      <c r="AP10" s="569"/>
      <c r="AQ10" s="569"/>
      <c r="AR10" s="570"/>
      <c r="AS10" s="91"/>
    </row>
    <row r="11" spans="1:45" ht="30" customHeight="1" x14ac:dyDescent="0.15">
      <c r="A11" s="91"/>
      <c r="B11" s="532"/>
      <c r="C11" s="533"/>
      <c r="D11" s="533"/>
      <c r="E11" s="533"/>
      <c r="F11" s="629"/>
      <c r="G11" s="540"/>
      <c r="H11" s="541"/>
      <c r="I11" s="541"/>
      <c r="J11" s="541"/>
      <c r="K11" s="541"/>
      <c r="L11" s="541"/>
      <c r="M11" s="558"/>
      <c r="N11" s="555" t="str">
        <f>IF(AND(OR(反映シート!$E$13="トラック事業者",反映シート!$E$13="荷主等"),反映シート!$C$130=TRUE),反映シート!$E$57,IF(AND(OR(反映シート!$E$15="トラック事業者",反映シート!$E$15="荷主等"),反映シート!$C$130=TRUE),反映シート!$E$96,""))</f>
        <v/>
      </c>
      <c r="O11" s="550"/>
      <c r="P11" s="550"/>
      <c r="Q11" s="550"/>
      <c r="R11" s="550"/>
      <c r="S11" s="550"/>
      <c r="T11" s="550"/>
      <c r="U11" s="550"/>
      <c r="V11" s="550"/>
      <c r="W11" s="550"/>
      <c r="X11" s="550"/>
      <c r="Y11" s="556"/>
      <c r="Z11" s="571" t="s">
        <v>69</v>
      </c>
      <c r="AA11" s="552"/>
      <c r="AB11" s="550" t="str">
        <f>IF(AND(OR(反映シート!$E$13="トラック事業者",反映シート!$E$13="荷主等"),反映シート!$C$130=TRUE),反映シート!$E$59,IF(AND(OR(反映シート!$E$15="トラック事業者",反映シート!$E$15="荷主等"),反映シート!$C$130=TRUE),反映シート!$E$98,""))</f>
        <v/>
      </c>
      <c r="AC11" s="550"/>
      <c r="AD11" s="550"/>
      <c r="AE11" s="550"/>
      <c r="AF11" s="550"/>
      <c r="AG11" s="550"/>
      <c r="AH11" s="550"/>
      <c r="AI11" s="551" t="s">
        <v>70</v>
      </c>
      <c r="AJ11" s="552"/>
      <c r="AK11" s="550" t="str">
        <f>IF(AND(OR(反映シート!$E$13="トラック事業者",反映シート!$E$13="荷主等"),反映シート!$C$130=TRUE),反映シート!$E$61,IF(AND(OR(反映シート!$E$15="トラック事業者",反映シート!$E$15="荷主等"),反映シート!$C$130=TRUE),反映シート!$E$100,""))</f>
        <v/>
      </c>
      <c r="AL11" s="550"/>
      <c r="AM11" s="550"/>
      <c r="AN11" s="550"/>
      <c r="AO11" s="550"/>
      <c r="AP11" s="550"/>
      <c r="AQ11" s="550"/>
      <c r="AR11" s="553"/>
      <c r="AS11" s="91"/>
    </row>
    <row r="12" spans="1:45" ht="19.5" customHeight="1" x14ac:dyDescent="0.15">
      <c r="A12" s="91"/>
      <c r="B12" s="532"/>
      <c r="C12" s="533"/>
      <c r="D12" s="533"/>
      <c r="E12" s="533"/>
      <c r="F12" s="629"/>
      <c r="G12" s="554" t="s">
        <v>387</v>
      </c>
      <c r="H12" s="554"/>
      <c r="I12" s="554"/>
      <c r="J12" s="554"/>
      <c r="K12" s="554"/>
      <c r="L12" s="554"/>
      <c r="M12" s="554"/>
      <c r="N12" s="555" t="str">
        <f>IF(AND(OR(反映シート!$E$13="トラック事業者",反映シート!$E$13="荷主等"),反映シート!$C$130=TRUE),反映シート!$G$373,IF(AND(OR(反映シート!$E$15="トラック事業者",反映シート!$E$15="荷主等"),反映シート!$C$130=TRUE),反映シート!$G$387,""))</f>
        <v/>
      </c>
      <c r="O12" s="550"/>
      <c r="P12" s="550"/>
      <c r="Q12" s="550"/>
      <c r="R12" s="550"/>
      <c r="S12" s="550"/>
      <c r="T12" s="550"/>
      <c r="U12" s="550"/>
      <c r="V12" s="550"/>
      <c r="W12" s="550"/>
      <c r="X12" s="550"/>
      <c r="Y12" s="556"/>
      <c r="Z12" s="554" t="s">
        <v>388</v>
      </c>
      <c r="AA12" s="554"/>
      <c r="AB12" s="554"/>
      <c r="AC12" s="554"/>
      <c r="AD12" s="554"/>
      <c r="AE12" s="554"/>
      <c r="AF12" s="554"/>
      <c r="AG12" s="555" t="str">
        <f>IF(AND(OR(反映シート!$E$13="トラック事業者",反映シート!$E$13="荷主等"),反映シート!$C$130=TRUE),反映シート!$G$375,IF(AND(OR(反映シート!$E$15="トラック事業者",反映シート!$E$15="荷主等"),反映シート!$C$130=TRUE),反映シート!$G$389,""))</f>
        <v/>
      </c>
      <c r="AH12" s="550"/>
      <c r="AI12" s="550"/>
      <c r="AJ12" s="550"/>
      <c r="AK12" s="550"/>
      <c r="AL12" s="550"/>
      <c r="AM12" s="550"/>
      <c r="AN12" s="550"/>
      <c r="AO12" s="550"/>
      <c r="AP12" s="550"/>
      <c r="AQ12" s="550"/>
      <c r="AR12" s="553"/>
      <c r="AS12" s="91"/>
    </row>
    <row r="13" spans="1:45" ht="19.5" customHeight="1" x14ac:dyDescent="0.15">
      <c r="A13" s="91"/>
      <c r="B13" s="532"/>
      <c r="C13" s="533"/>
      <c r="D13" s="533"/>
      <c r="E13" s="533"/>
      <c r="F13" s="629"/>
      <c r="G13" s="724" t="s">
        <v>389</v>
      </c>
      <c r="H13" s="724"/>
      <c r="I13" s="724"/>
      <c r="J13" s="724"/>
      <c r="K13" s="724"/>
      <c r="L13" s="724"/>
      <c r="M13" s="724"/>
      <c r="N13" s="524" t="str">
        <f>IF(AND(OR(反映シート!$E$13="トラック事業者",反映シート!$E$13="荷主等"),反映シート!$C$130=TRUE),反映シート!$G$377,IF(AND(OR(反映シート!$E$15="トラック事業者",反映シート!$E$15="荷主等"),反映シート!$C$130=TRUE),反映シート!$G$391,""))</f>
        <v/>
      </c>
      <c r="O13" s="525"/>
      <c r="P13" s="525"/>
      <c r="Q13" s="525"/>
      <c r="R13" s="525"/>
      <c r="S13" s="525"/>
      <c r="T13" s="525"/>
      <c r="U13" s="525"/>
      <c r="V13" s="525"/>
      <c r="W13" s="525"/>
      <c r="X13" s="525"/>
      <c r="Y13" s="525"/>
      <c r="Z13" s="525"/>
      <c r="AA13" s="525"/>
      <c r="AB13" s="525"/>
      <c r="AC13" s="525"/>
      <c r="AD13" s="525"/>
      <c r="AE13" s="525"/>
      <c r="AF13" s="525"/>
      <c r="AG13" s="525"/>
      <c r="AH13" s="525"/>
      <c r="AI13" s="525"/>
      <c r="AJ13" s="525"/>
      <c r="AK13" s="525"/>
      <c r="AL13" s="525"/>
      <c r="AM13" s="525"/>
      <c r="AN13" s="525"/>
      <c r="AO13" s="525"/>
      <c r="AP13" s="525"/>
      <c r="AQ13" s="525"/>
      <c r="AR13" s="526"/>
      <c r="AS13" s="91"/>
    </row>
    <row r="14" spans="1:45" ht="19.5" customHeight="1" x14ac:dyDescent="0.15">
      <c r="A14" s="91"/>
      <c r="B14" s="532"/>
      <c r="C14" s="533"/>
      <c r="D14" s="533"/>
      <c r="E14" s="533"/>
      <c r="F14" s="629"/>
      <c r="G14" s="554" t="s">
        <v>390</v>
      </c>
      <c r="H14" s="554"/>
      <c r="I14" s="554"/>
      <c r="J14" s="554"/>
      <c r="K14" s="554"/>
      <c r="L14" s="554"/>
      <c r="M14" s="554"/>
      <c r="N14" s="555" t="str">
        <f>IF(AND(OR(反映シート!$E$13="トラック事業者",反映シート!$E$13="荷主等"),反映シート!$C$130=TRUE),反映シート!$G$379,IF(AND(OR(反映シート!$E$15="トラック事業者",反映シート!$E$15="荷主等"),反映シート!$C$130=TRUE),反映シート!$G$393,""))</f>
        <v/>
      </c>
      <c r="O14" s="550"/>
      <c r="P14" s="550"/>
      <c r="Q14" s="550"/>
      <c r="R14" s="550"/>
      <c r="S14" s="550"/>
      <c r="T14" s="550"/>
      <c r="U14" s="550"/>
      <c r="V14" s="550"/>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3"/>
      <c r="AS14" s="91"/>
    </row>
    <row r="15" spans="1:45" ht="24.75" customHeight="1" x14ac:dyDescent="0.15">
      <c r="A15" s="91"/>
      <c r="B15" s="532"/>
      <c r="C15" s="533"/>
      <c r="D15" s="533"/>
      <c r="E15" s="533"/>
      <c r="F15" s="629"/>
      <c r="G15" s="565" t="s">
        <v>411</v>
      </c>
      <c r="H15" s="566"/>
      <c r="I15" s="566"/>
      <c r="J15" s="566"/>
      <c r="K15" s="566"/>
      <c r="L15" s="566"/>
      <c r="M15" s="566"/>
      <c r="N15" s="566"/>
      <c r="O15" s="566"/>
      <c r="P15" s="566"/>
      <c r="Q15" s="566"/>
      <c r="R15" s="566"/>
      <c r="S15" s="566"/>
      <c r="T15" s="566"/>
      <c r="U15" s="566"/>
      <c r="V15" s="566"/>
      <c r="W15" s="566"/>
      <c r="X15" s="566"/>
      <c r="Y15" s="566"/>
      <c r="Z15" s="566"/>
      <c r="AA15" s="566"/>
      <c r="AB15" s="566"/>
      <c r="AC15" s="566"/>
      <c r="AD15" s="566"/>
      <c r="AE15" s="566"/>
      <c r="AF15" s="566"/>
      <c r="AG15" s="566"/>
      <c r="AH15" s="566"/>
      <c r="AI15" s="566"/>
      <c r="AJ15" s="566"/>
      <c r="AK15" s="566"/>
      <c r="AL15" s="567"/>
      <c r="AM15" s="727" t="str">
        <f>IF(AND(OR(反映シート!$E$13="トラック事業者",反映シート!$E$13="荷主等",反映シート!$E$15="トラック事業者",反映シート!$E$15="荷主等"),反映シート!$C$130=TRUE),反映シート!$I$203,"")</f>
        <v/>
      </c>
      <c r="AN15" s="728"/>
      <c r="AO15" s="728"/>
      <c r="AP15" s="728"/>
      <c r="AQ15" s="729" t="s">
        <v>392</v>
      </c>
      <c r="AR15" s="730"/>
      <c r="AS15" s="91"/>
    </row>
    <row r="16" spans="1:45" ht="24.75" customHeight="1" x14ac:dyDescent="0.15">
      <c r="A16" s="91"/>
      <c r="B16" s="532"/>
      <c r="C16" s="533"/>
      <c r="D16" s="533"/>
      <c r="E16" s="533"/>
      <c r="F16" s="629"/>
      <c r="G16" s="592" t="s">
        <v>393</v>
      </c>
      <c r="H16" s="592"/>
      <c r="I16" s="592"/>
      <c r="J16" s="592"/>
      <c r="K16" s="592"/>
      <c r="L16" s="592"/>
      <c r="M16" s="568"/>
      <c r="N16" s="591" t="s">
        <v>394</v>
      </c>
      <c r="O16" s="591"/>
      <c r="P16" s="591"/>
      <c r="Q16" s="591"/>
      <c r="R16" s="591"/>
      <c r="S16" s="591"/>
      <c r="T16" s="591"/>
      <c r="U16" s="591"/>
      <c r="V16" s="591"/>
      <c r="W16" s="591"/>
      <c r="X16" s="591"/>
      <c r="Y16" s="591"/>
      <c r="Z16" s="591"/>
      <c r="AA16" s="591"/>
      <c r="AB16" s="591"/>
      <c r="AC16" s="591"/>
      <c r="AD16" s="591"/>
      <c r="AE16" s="591"/>
      <c r="AF16" s="591"/>
      <c r="AG16" s="591"/>
      <c r="AH16" s="591"/>
      <c r="AI16" s="591"/>
      <c r="AJ16" s="591"/>
      <c r="AK16" s="591"/>
      <c r="AL16" s="591"/>
      <c r="AM16" s="591"/>
      <c r="AN16" s="591"/>
      <c r="AO16" s="591"/>
      <c r="AP16" s="591"/>
      <c r="AQ16" s="591"/>
      <c r="AR16" s="593"/>
      <c r="AS16" s="91"/>
    </row>
    <row r="17" spans="1:45" ht="24.75" customHeight="1" x14ac:dyDescent="0.15">
      <c r="A17" s="91"/>
      <c r="B17" s="532"/>
      <c r="C17" s="533"/>
      <c r="D17" s="533"/>
      <c r="E17" s="533"/>
      <c r="F17" s="629"/>
      <c r="G17" s="592"/>
      <c r="H17" s="592"/>
      <c r="I17" s="592"/>
      <c r="J17" s="592"/>
      <c r="K17" s="592"/>
      <c r="L17" s="592"/>
      <c r="M17" s="592"/>
      <c r="N17" s="565" t="s">
        <v>395</v>
      </c>
      <c r="O17" s="566"/>
      <c r="P17" s="567"/>
      <c r="Q17" s="725" t="s">
        <v>396</v>
      </c>
      <c r="R17" s="725"/>
      <c r="S17" s="725"/>
      <c r="T17" s="725"/>
      <c r="U17" s="725"/>
      <c r="V17" s="725"/>
      <c r="W17" s="725"/>
      <c r="X17" s="725"/>
      <c r="Y17" s="725"/>
      <c r="Z17" s="725"/>
      <c r="AA17" s="725"/>
      <c r="AB17" s="725"/>
      <c r="AC17" s="725"/>
      <c r="AD17" s="725"/>
      <c r="AE17" s="725"/>
      <c r="AF17" s="725"/>
      <c r="AG17" s="725"/>
      <c r="AH17" s="725"/>
      <c r="AI17" s="725"/>
      <c r="AJ17" s="725"/>
      <c r="AK17" s="725"/>
      <c r="AL17" s="725"/>
      <c r="AM17" s="594" t="str">
        <f>IF(AND(OR(反映シート!$E$13="トラック事業者",反映シート!$E$13="荷主等"),反映シート!$C$130=TRUE),反映シート!$M$71,IF(AND(OR(反映シート!$E$15="トラック事業者",反映シート!$E$15="荷主等"),反映シート!$C$130=TRUE),反映シート!$M$110,""))</f>
        <v/>
      </c>
      <c r="AN17" s="595"/>
      <c r="AO17" s="595"/>
      <c r="AP17" s="595"/>
      <c r="AQ17" s="595"/>
      <c r="AR17" s="596"/>
      <c r="AS17" s="91"/>
    </row>
    <row r="18" spans="1:45" ht="24.75" customHeight="1" x14ac:dyDescent="0.15">
      <c r="A18" s="91"/>
      <c r="B18" s="532"/>
      <c r="C18" s="533"/>
      <c r="D18" s="533"/>
      <c r="E18" s="533"/>
      <c r="F18" s="629"/>
      <c r="G18" s="592"/>
      <c r="H18" s="592"/>
      <c r="I18" s="592"/>
      <c r="J18" s="592"/>
      <c r="K18" s="592"/>
      <c r="L18" s="592"/>
      <c r="M18" s="592"/>
      <c r="N18" s="565" t="s">
        <v>397</v>
      </c>
      <c r="O18" s="566"/>
      <c r="P18" s="567"/>
      <c r="Q18" s="725" t="s">
        <v>398</v>
      </c>
      <c r="R18" s="725"/>
      <c r="S18" s="725"/>
      <c r="T18" s="725"/>
      <c r="U18" s="725"/>
      <c r="V18" s="725"/>
      <c r="W18" s="725"/>
      <c r="X18" s="725"/>
      <c r="Y18" s="725"/>
      <c r="Z18" s="725"/>
      <c r="AA18" s="725"/>
      <c r="AB18" s="725"/>
      <c r="AC18" s="725"/>
      <c r="AD18" s="725"/>
      <c r="AE18" s="725"/>
      <c r="AF18" s="725"/>
      <c r="AG18" s="725"/>
      <c r="AH18" s="725"/>
      <c r="AI18" s="725"/>
      <c r="AJ18" s="725"/>
      <c r="AK18" s="725"/>
      <c r="AL18" s="725"/>
      <c r="AM18" s="597"/>
      <c r="AN18" s="598"/>
      <c r="AO18" s="598"/>
      <c r="AP18" s="598"/>
      <c r="AQ18" s="598"/>
      <c r="AR18" s="599"/>
      <c r="AS18" s="91"/>
    </row>
    <row r="19" spans="1:45" ht="24.75" customHeight="1" x14ac:dyDescent="0.15">
      <c r="A19" s="91"/>
      <c r="B19" s="532"/>
      <c r="C19" s="533"/>
      <c r="D19" s="533"/>
      <c r="E19" s="533"/>
      <c r="F19" s="629"/>
      <c r="G19" s="592"/>
      <c r="H19" s="592"/>
      <c r="I19" s="592"/>
      <c r="J19" s="592"/>
      <c r="K19" s="592"/>
      <c r="L19" s="592"/>
      <c r="M19" s="592"/>
      <c r="N19" s="565" t="s">
        <v>399</v>
      </c>
      <c r="O19" s="566"/>
      <c r="P19" s="567"/>
      <c r="Q19" s="725" t="s">
        <v>400</v>
      </c>
      <c r="R19" s="725"/>
      <c r="S19" s="725"/>
      <c r="T19" s="725"/>
      <c r="U19" s="725"/>
      <c r="V19" s="725"/>
      <c r="W19" s="725"/>
      <c r="X19" s="725"/>
      <c r="Y19" s="725"/>
      <c r="Z19" s="725"/>
      <c r="AA19" s="725"/>
      <c r="AB19" s="725"/>
      <c r="AC19" s="725"/>
      <c r="AD19" s="725"/>
      <c r="AE19" s="725"/>
      <c r="AF19" s="725"/>
      <c r="AG19" s="725"/>
      <c r="AH19" s="725"/>
      <c r="AI19" s="725"/>
      <c r="AJ19" s="725"/>
      <c r="AK19" s="725"/>
      <c r="AL19" s="725"/>
      <c r="AM19" s="597"/>
      <c r="AN19" s="598"/>
      <c r="AO19" s="598"/>
      <c r="AP19" s="598"/>
      <c r="AQ19" s="598"/>
      <c r="AR19" s="599"/>
      <c r="AS19" s="91"/>
    </row>
    <row r="20" spans="1:45" ht="24.75" customHeight="1" x14ac:dyDescent="0.15">
      <c r="A20" s="91"/>
      <c r="B20" s="532"/>
      <c r="C20" s="533"/>
      <c r="D20" s="533"/>
      <c r="E20" s="533"/>
      <c r="F20" s="629"/>
      <c r="G20" s="592"/>
      <c r="H20" s="592"/>
      <c r="I20" s="592"/>
      <c r="J20" s="592"/>
      <c r="K20" s="592"/>
      <c r="L20" s="592"/>
      <c r="M20" s="592"/>
      <c r="N20" s="536" t="s">
        <v>401</v>
      </c>
      <c r="O20" s="537"/>
      <c r="P20" s="557"/>
      <c r="Q20" s="726" t="s">
        <v>402</v>
      </c>
      <c r="R20" s="726"/>
      <c r="S20" s="726"/>
      <c r="T20" s="726"/>
      <c r="U20" s="726"/>
      <c r="V20" s="726"/>
      <c r="W20" s="726"/>
      <c r="X20" s="726"/>
      <c r="Y20" s="726"/>
      <c r="Z20" s="726"/>
      <c r="AA20" s="726"/>
      <c r="AB20" s="726"/>
      <c r="AC20" s="726"/>
      <c r="AD20" s="726"/>
      <c r="AE20" s="726"/>
      <c r="AF20" s="726"/>
      <c r="AG20" s="726"/>
      <c r="AH20" s="726"/>
      <c r="AI20" s="726"/>
      <c r="AJ20" s="726"/>
      <c r="AK20" s="726"/>
      <c r="AL20" s="726"/>
      <c r="AM20" s="597"/>
      <c r="AN20" s="598"/>
      <c r="AO20" s="598"/>
      <c r="AP20" s="598"/>
      <c r="AQ20" s="598"/>
      <c r="AR20" s="599"/>
      <c r="AS20" s="91"/>
    </row>
    <row r="21" spans="1:45" ht="24.75" customHeight="1" x14ac:dyDescent="0.15">
      <c r="A21" s="91"/>
      <c r="B21" s="532"/>
      <c r="C21" s="533"/>
      <c r="D21" s="533"/>
      <c r="E21" s="533"/>
      <c r="F21" s="629"/>
      <c r="G21" s="731"/>
      <c r="H21" s="731"/>
      <c r="I21" s="731"/>
      <c r="J21" s="731"/>
      <c r="K21" s="731"/>
      <c r="L21" s="731"/>
      <c r="M21" s="731"/>
      <c r="N21" s="540"/>
      <c r="O21" s="541"/>
      <c r="P21" s="558"/>
      <c r="Q21" s="726"/>
      <c r="R21" s="726"/>
      <c r="S21" s="726"/>
      <c r="T21" s="726"/>
      <c r="U21" s="726"/>
      <c r="V21" s="726"/>
      <c r="W21" s="726"/>
      <c r="X21" s="726"/>
      <c r="Y21" s="726"/>
      <c r="Z21" s="726"/>
      <c r="AA21" s="726"/>
      <c r="AB21" s="726"/>
      <c r="AC21" s="726"/>
      <c r="AD21" s="726"/>
      <c r="AE21" s="726"/>
      <c r="AF21" s="726"/>
      <c r="AG21" s="726"/>
      <c r="AH21" s="726"/>
      <c r="AI21" s="726"/>
      <c r="AJ21" s="726"/>
      <c r="AK21" s="726"/>
      <c r="AL21" s="726"/>
      <c r="AM21" s="597"/>
      <c r="AN21" s="598"/>
      <c r="AO21" s="598"/>
      <c r="AP21" s="598"/>
      <c r="AQ21" s="598"/>
      <c r="AR21" s="599"/>
      <c r="AS21" s="91"/>
    </row>
    <row r="22" spans="1:45" ht="24.75" customHeight="1" x14ac:dyDescent="0.15">
      <c r="A22" s="91"/>
      <c r="B22" s="532"/>
      <c r="C22" s="533"/>
      <c r="D22" s="533"/>
      <c r="E22" s="533"/>
      <c r="F22" s="629"/>
      <c r="G22" s="731"/>
      <c r="H22" s="731"/>
      <c r="I22" s="731"/>
      <c r="J22" s="731"/>
      <c r="K22" s="731"/>
      <c r="L22" s="731"/>
      <c r="M22" s="731"/>
      <c r="N22" s="536" t="s">
        <v>403</v>
      </c>
      <c r="O22" s="537"/>
      <c r="P22" s="557"/>
      <c r="Q22" s="726" t="s">
        <v>404</v>
      </c>
      <c r="R22" s="726"/>
      <c r="S22" s="726"/>
      <c r="T22" s="726"/>
      <c r="U22" s="726"/>
      <c r="V22" s="726"/>
      <c r="W22" s="726"/>
      <c r="X22" s="726"/>
      <c r="Y22" s="726"/>
      <c r="Z22" s="726"/>
      <c r="AA22" s="726"/>
      <c r="AB22" s="726"/>
      <c r="AC22" s="726"/>
      <c r="AD22" s="726"/>
      <c r="AE22" s="726"/>
      <c r="AF22" s="726"/>
      <c r="AG22" s="726"/>
      <c r="AH22" s="726"/>
      <c r="AI22" s="726"/>
      <c r="AJ22" s="726"/>
      <c r="AK22" s="726"/>
      <c r="AL22" s="726"/>
      <c r="AM22" s="597"/>
      <c r="AN22" s="598"/>
      <c r="AO22" s="598"/>
      <c r="AP22" s="598"/>
      <c r="AQ22" s="598"/>
      <c r="AR22" s="599"/>
      <c r="AS22" s="91"/>
    </row>
    <row r="23" spans="1:45" ht="24.75" customHeight="1" x14ac:dyDescent="0.15">
      <c r="A23" s="91"/>
      <c r="B23" s="532"/>
      <c r="C23" s="533"/>
      <c r="D23" s="533"/>
      <c r="E23" s="533"/>
      <c r="F23" s="629"/>
      <c r="G23" s="592" t="s">
        <v>412</v>
      </c>
      <c r="H23" s="592"/>
      <c r="I23" s="592"/>
      <c r="J23" s="592"/>
      <c r="K23" s="592"/>
      <c r="L23" s="592"/>
      <c r="M23" s="592"/>
      <c r="N23" s="738" t="s">
        <v>413</v>
      </c>
      <c r="O23" s="739"/>
      <c r="P23" s="739"/>
      <c r="Q23" s="739"/>
      <c r="R23" s="739"/>
      <c r="S23" s="739"/>
      <c r="T23" s="739"/>
      <c r="U23" s="739"/>
      <c r="V23" s="739"/>
      <c r="W23" s="739"/>
      <c r="X23" s="739"/>
      <c r="Y23" s="739"/>
      <c r="Z23" s="739"/>
      <c r="AA23" s="739"/>
      <c r="AB23" s="739"/>
      <c r="AC23" s="739"/>
      <c r="AD23" s="739"/>
      <c r="AE23" s="739"/>
      <c r="AF23" s="739"/>
      <c r="AG23" s="739"/>
      <c r="AH23" s="739"/>
      <c r="AI23" s="739"/>
      <c r="AJ23" s="739"/>
      <c r="AK23" s="739"/>
      <c r="AL23" s="740"/>
      <c r="AM23" s="741" t="str">
        <f>IF(AND(OR(反映シート!$E$13="トラック事業者",反映シート!$E$13="荷主等",反映シート!$E$15="トラック事業者",反映シート!$E$15="荷主等"),反映シート!$C$130=TRUE),反映シート!$I$211,"")</f>
        <v/>
      </c>
      <c r="AN23" s="742"/>
      <c r="AO23" s="742"/>
      <c r="AP23" s="742"/>
      <c r="AQ23" s="685" t="s">
        <v>321</v>
      </c>
      <c r="AR23" s="686"/>
      <c r="AS23" s="91"/>
    </row>
    <row r="24" spans="1:45" ht="24.75" customHeight="1" x14ac:dyDescent="0.15">
      <c r="A24" s="91"/>
      <c r="B24" s="532"/>
      <c r="C24" s="533"/>
      <c r="D24" s="533"/>
      <c r="E24" s="533"/>
      <c r="F24" s="629"/>
      <c r="G24" s="592"/>
      <c r="H24" s="592"/>
      <c r="I24" s="592"/>
      <c r="J24" s="592"/>
      <c r="K24" s="592"/>
      <c r="L24" s="592"/>
      <c r="M24" s="592"/>
      <c r="N24" s="687" t="s">
        <v>414</v>
      </c>
      <c r="O24" s="688"/>
      <c r="P24" s="688"/>
      <c r="Q24" s="688"/>
      <c r="R24" s="688"/>
      <c r="S24" s="688"/>
      <c r="T24" s="688"/>
      <c r="U24" s="688"/>
      <c r="V24" s="688"/>
      <c r="W24" s="688"/>
      <c r="X24" s="688"/>
      <c r="Y24" s="688"/>
      <c r="Z24" s="691" t="s">
        <v>415</v>
      </c>
      <c r="AA24" s="691"/>
      <c r="AB24" s="691"/>
      <c r="AC24" s="691"/>
      <c r="AD24" s="691"/>
      <c r="AE24" s="691"/>
      <c r="AF24" s="691"/>
      <c r="AG24" s="691"/>
      <c r="AH24" s="691"/>
      <c r="AI24" s="691"/>
      <c r="AJ24" s="691"/>
      <c r="AK24" s="691"/>
      <c r="AL24" s="692"/>
      <c r="AM24" s="693" t="str">
        <f>IF(AND(OR(反映シート!$E$13="トラック事業者",反映シート!$E$13="荷主等",反映シート!$E$15="トラック事業者",反映シート!$E$15="荷主等"),反映シート!$C$130=TRUE),反映シート!$I$219,"")</f>
        <v/>
      </c>
      <c r="AN24" s="694"/>
      <c r="AO24" s="694"/>
      <c r="AP24" s="694"/>
      <c r="AQ24" s="695" t="s">
        <v>315</v>
      </c>
      <c r="AR24" s="696"/>
      <c r="AS24" s="91"/>
    </row>
    <row r="25" spans="1:45" ht="24.75" customHeight="1" x14ac:dyDescent="0.15">
      <c r="A25" s="91"/>
      <c r="B25" s="532"/>
      <c r="C25" s="533"/>
      <c r="D25" s="533"/>
      <c r="E25" s="533"/>
      <c r="F25" s="629"/>
      <c r="G25" s="592"/>
      <c r="H25" s="592"/>
      <c r="I25" s="592"/>
      <c r="J25" s="592"/>
      <c r="K25" s="592"/>
      <c r="L25" s="592"/>
      <c r="M25" s="592"/>
      <c r="N25" s="689"/>
      <c r="O25" s="690"/>
      <c r="P25" s="690"/>
      <c r="Q25" s="690"/>
      <c r="R25" s="690"/>
      <c r="S25" s="690"/>
      <c r="T25" s="690"/>
      <c r="U25" s="690"/>
      <c r="V25" s="690"/>
      <c r="W25" s="690"/>
      <c r="X25" s="690"/>
      <c r="Y25" s="690"/>
      <c r="Z25" s="732" t="s">
        <v>416</v>
      </c>
      <c r="AA25" s="691"/>
      <c r="AB25" s="691"/>
      <c r="AC25" s="691"/>
      <c r="AD25" s="691"/>
      <c r="AE25" s="691"/>
      <c r="AF25" s="691"/>
      <c r="AG25" s="691"/>
      <c r="AH25" s="691"/>
      <c r="AI25" s="691"/>
      <c r="AJ25" s="691"/>
      <c r="AK25" s="691"/>
      <c r="AL25" s="692"/>
      <c r="AM25" s="700" t="str">
        <f>IF(AND(OR(反映シート!$E$13="トラック事業者",反映シート!$E$13="荷主等",反映シート!$E$15="トラック事業者",反映シート!$E$15="荷主等"),反映シート!$C$130=TRUE),反映シート!$I$215,"")</f>
        <v/>
      </c>
      <c r="AN25" s="701"/>
      <c r="AO25" s="701"/>
      <c r="AP25" s="701"/>
      <c r="AQ25" s="702" t="s">
        <v>315</v>
      </c>
      <c r="AR25" s="703"/>
      <c r="AS25" s="91"/>
    </row>
    <row r="26" spans="1:45" ht="24.75" customHeight="1" x14ac:dyDescent="0.15">
      <c r="A26" s="91"/>
      <c r="B26" s="532"/>
      <c r="C26" s="533"/>
      <c r="D26" s="533"/>
      <c r="E26" s="533"/>
      <c r="F26" s="629"/>
      <c r="G26" s="592"/>
      <c r="H26" s="592"/>
      <c r="I26" s="592"/>
      <c r="J26" s="592"/>
      <c r="K26" s="592"/>
      <c r="L26" s="592"/>
      <c r="M26" s="592"/>
      <c r="N26" s="587"/>
      <c r="O26" s="588"/>
      <c r="P26" s="588"/>
      <c r="Q26" s="588"/>
      <c r="R26" s="588"/>
      <c r="S26" s="588"/>
      <c r="T26" s="588"/>
      <c r="U26" s="588"/>
      <c r="V26" s="588"/>
      <c r="W26" s="588"/>
      <c r="X26" s="588"/>
      <c r="Y26" s="588"/>
      <c r="Z26" s="733" t="s">
        <v>417</v>
      </c>
      <c r="AA26" s="734"/>
      <c r="AB26" s="734"/>
      <c r="AC26" s="734"/>
      <c r="AD26" s="734"/>
      <c r="AE26" s="734"/>
      <c r="AF26" s="734"/>
      <c r="AG26" s="734"/>
      <c r="AH26" s="734"/>
      <c r="AI26" s="734"/>
      <c r="AJ26" s="734"/>
      <c r="AK26" s="734"/>
      <c r="AL26" s="735"/>
      <c r="AM26" s="707" t="str">
        <f>IF(AND(OR(反映シート!$E$13="トラック事業者",反映シート!$E$13="荷主等",反映シート!$E$15="トラック事業者",反映シート!$E$15="荷主等"),反映シート!$C$130=TRUE),反映シート!$I$217,"")</f>
        <v/>
      </c>
      <c r="AN26" s="708"/>
      <c r="AO26" s="708"/>
      <c r="AP26" s="708"/>
      <c r="AQ26" s="736" t="s">
        <v>315</v>
      </c>
      <c r="AR26" s="737"/>
      <c r="AS26" s="91"/>
    </row>
    <row r="27" spans="1:45" ht="39" customHeight="1" thickBot="1" x14ac:dyDescent="0.2">
      <c r="A27" s="91"/>
      <c r="B27" s="534"/>
      <c r="C27" s="535"/>
      <c r="D27" s="535"/>
      <c r="E27" s="535"/>
      <c r="F27" s="630"/>
      <c r="G27" s="719" t="s">
        <v>418</v>
      </c>
      <c r="H27" s="535"/>
      <c r="I27" s="535"/>
      <c r="J27" s="535"/>
      <c r="K27" s="535"/>
      <c r="L27" s="535"/>
      <c r="M27" s="630"/>
      <c r="N27" s="720" t="s">
        <v>419</v>
      </c>
      <c r="O27" s="721"/>
      <c r="P27" s="721"/>
      <c r="Q27" s="721"/>
      <c r="R27" s="721"/>
      <c r="S27" s="721"/>
      <c r="T27" s="721"/>
      <c r="U27" s="721"/>
      <c r="V27" s="721"/>
      <c r="W27" s="721"/>
      <c r="X27" s="721"/>
      <c r="Y27" s="721"/>
      <c r="Z27" s="721"/>
      <c r="AA27" s="721"/>
      <c r="AB27" s="721"/>
      <c r="AC27" s="721"/>
      <c r="AD27" s="721"/>
      <c r="AE27" s="721"/>
      <c r="AF27" s="721"/>
      <c r="AG27" s="721"/>
      <c r="AH27" s="721"/>
      <c r="AI27" s="721"/>
      <c r="AJ27" s="721"/>
      <c r="AK27" s="721"/>
      <c r="AL27" s="722"/>
      <c r="AM27" s="711" t="str">
        <f>IF(AND(OR(反映シート!$E$13="トラック事業者",反映シート!$E$13="荷主等",反映シート!$E$15="トラック事業者",反映シート!$E$15="荷主等"),反映シート!$C$130=TRUE),反映シート!I223,"")</f>
        <v/>
      </c>
      <c r="AN27" s="712"/>
      <c r="AO27" s="712"/>
      <c r="AP27" s="712"/>
      <c r="AQ27" s="743" t="s">
        <v>315</v>
      </c>
      <c r="AR27" s="744"/>
      <c r="AS27" s="91"/>
    </row>
    <row r="28" spans="1:45" ht="9.75" customHeight="1" thickBot="1" x14ac:dyDescent="0.2">
      <c r="A28" s="91"/>
      <c r="B28" s="161"/>
      <c r="C28" s="161"/>
      <c r="D28" s="161"/>
      <c r="E28" s="161"/>
      <c r="F28" s="161"/>
      <c r="G28" s="162"/>
      <c r="H28" s="162"/>
      <c r="I28" s="162"/>
      <c r="J28" s="162"/>
      <c r="K28" s="162"/>
      <c r="L28" s="162"/>
      <c r="M28" s="162"/>
      <c r="N28" s="625"/>
      <c r="O28" s="625"/>
      <c r="P28" s="625"/>
      <c r="Q28" s="91"/>
      <c r="R28" s="91"/>
      <c r="S28" s="91"/>
      <c r="T28" s="91"/>
      <c r="U28" s="91"/>
      <c r="V28" s="91"/>
      <c r="W28" s="91"/>
      <c r="X28" s="91"/>
      <c r="Y28" s="91"/>
      <c r="Z28" s="91"/>
      <c r="AA28" s="91"/>
      <c r="AB28" s="91"/>
      <c r="AC28" s="91"/>
      <c r="AD28" s="91"/>
      <c r="AE28" s="91"/>
      <c r="AF28" s="91"/>
      <c r="AG28" s="91"/>
      <c r="AH28" s="91"/>
      <c r="AI28" s="91"/>
      <c r="AJ28" s="91"/>
      <c r="AK28" s="91"/>
      <c r="AL28" s="91"/>
      <c r="AM28" s="161"/>
      <c r="AN28" s="161"/>
      <c r="AO28" s="161"/>
      <c r="AP28" s="161"/>
      <c r="AQ28" s="161"/>
      <c r="AR28" s="161"/>
      <c r="AS28" s="91"/>
    </row>
    <row r="29" spans="1:45" ht="15" customHeight="1" x14ac:dyDescent="0.15">
      <c r="A29" s="91"/>
      <c r="B29" s="626" t="s">
        <v>405</v>
      </c>
      <c r="C29" s="627"/>
      <c r="D29" s="627"/>
      <c r="E29" s="627"/>
      <c r="F29" s="627"/>
      <c r="G29" s="715" t="s">
        <v>381</v>
      </c>
      <c r="H29" s="631"/>
      <c r="I29" s="631"/>
      <c r="J29" s="716"/>
      <c r="K29" s="632" t="s">
        <v>78</v>
      </c>
      <c r="L29" s="633"/>
      <c r="M29" s="634"/>
      <c r="N29" s="635" t="s">
        <v>450</v>
      </c>
      <c r="O29" s="636"/>
      <c r="P29" s="637" t="str">
        <f>IF(AND(反映シート!$E$13="リース事業者",反映シート!$C$130=TRUE),LEFT(反映シート!$E$41,3),IF(AND(反映シート!$E$15="リース事業者",反映シート!$C$130=TRUE),LEFT(反映シート!$E$80,3),""))</f>
        <v/>
      </c>
      <c r="Q29" s="638"/>
      <c r="R29" s="639"/>
      <c r="S29" s="90" t="s">
        <v>406</v>
      </c>
      <c r="T29" s="660" t="str">
        <f>IF(AND(反映シート!$E$13="リース事業者",反映シート!$C$130=TRUE),RIGHT(反映シート!$E$41,4),IF(AND(反映シート!$E$15="リース事業者",反映シート!$C$130=TRUE),RIGHT(反映シート!$E$80,4),""))</f>
        <v/>
      </c>
      <c r="U29" s="660"/>
      <c r="V29" s="660"/>
      <c r="W29" s="660"/>
      <c r="X29" s="655" t="str">
        <f>IF(AND(反映シート!$E$13="リース事業者",反映シート!$C$130=TRUE),"✓","")</f>
        <v/>
      </c>
      <c r="Y29" s="656"/>
      <c r="Z29" s="653" t="s">
        <v>452</v>
      </c>
      <c r="AA29" s="653"/>
      <c r="AB29" s="653"/>
      <c r="AC29" s="653"/>
      <c r="AD29" s="653"/>
      <c r="AE29" s="653"/>
      <c r="AF29" s="653"/>
      <c r="AG29" s="653"/>
      <c r="AH29" s="653"/>
      <c r="AI29" s="653"/>
      <c r="AJ29" s="653"/>
      <c r="AK29" s="653"/>
      <c r="AL29" s="653"/>
      <c r="AM29" s="653"/>
      <c r="AN29" s="653"/>
      <c r="AO29" s="653"/>
      <c r="AP29" s="653"/>
      <c r="AQ29" s="653"/>
      <c r="AR29" s="654"/>
      <c r="AS29" s="91"/>
    </row>
    <row r="30" spans="1:45" ht="15" customHeight="1" x14ac:dyDescent="0.15">
      <c r="A30" s="91"/>
      <c r="B30" s="532"/>
      <c r="C30" s="533"/>
      <c r="D30" s="533"/>
      <c r="E30" s="533"/>
      <c r="F30" s="533"/>
      <c r="G30" s="538"/>
      <c r="H30" s="539"/>
      <c r="I30" s="539"/>
      <c r="J30" s="666"/>
      <c r="K30" s="512" t="s">
        <v>79</v>
      </c>
      <c r="L30" s="513"/>
      <c r="M30" s="514"/>
      <c r="N30" s="518" t="str">
        <f>IF(AND(反映シート!$E$13="リース事業者",反映シート!$C$130=TRUE),反映シート!$E$43,IF(AND(反映シート!$E$15="リース事業者",反映シート!$C$130=TRUE),反映シート!$E$82,""))</f>
        <v/>
      </c>
      <c r="O30" s="519"/>
      <c r="P30" s="519"/>
      <c r="Q30" s="519"/>
      <c r="R30" s="519"/>
      <c r="S30" s="519"/>
      <c r="T30" s="519"/>
      <c r="U30" s="519"/>
      <c r="V30" s="519"/>
      <c r="W30" s="519"/>
      <c r="X30" s="657"/>
      <c r="Y30" s="658"/>
      <c r="Z30" s="651"/>
      <c r="AA30" s="651"/>
      <c r="AB30" s="651"/>
      <c r="AC30" s="651"/>
      <c r="AD30" s="651"/>
      <c r="AE30" s="651"/>
      <c r="AF30" s="651"/>
      <c r="AG30" s="651"/>
      <c r="AH30" s="651"/>
      <c r="AI30" s="651"/>
      <c r="AJ30" s="651"/>
      <c r="AK30" s="651"/>
      <c r="AL30" s="651"/>
      <c r="AM30" s="651"/>
      <c r="AN30" s="651"/>
      <c r="AO30" s="651"/>
      <c r="AP30" s="651"/>
      <c r="AQ30" s="651"/>
      <c r="AR30" s="652"/>
      <c r="AS30" s="91"/>
    </row>
    <row r="31" spans="1:45" ht="15" customHeight="1" x14ac:dyDescent="0.15">
      <c r="A31" s="91"/>
      <c r="B31" s="532"/>
      <c r="C31" s="533"/>
      <c r="D31" s="533"/>
      <c r="E31" s="533"/>
      <c r="F31" s="533"/>
      <c r="G31" s="538"/>
      <c r="H31" s="539"/>
      <c r="I31" s="539"/>
      <c r="J31" s="666"/>
      <c r="K31" s="512" t="s">
        <v>81</v>
      </c>
      <c r="L31" s="513"/>
      <c r="M31" s="514"/>
      <c r="N31" s="515" t="str">
        <f>IF(AND(反映シート!$E$13="リース事業者",反映シート!$C$130=TRUE),反映シート!$E$45,IF(AND(反映シート!$E$15="リース事業者",反映シート!$C$130=TRUE),反映シート!$E$84,""))</f>
        <v/>
      </c>
      <c r="O31" s="516"/>
      <c r="P31" s="516"/>
      <c r="Q31" s="516"/>
      <c r="R31" s="516"/>
      <c r="S31" s="516"/>
      <c r="T31" s="516"/>
      <c r="U31" s="516"/>
      <c r="V31" s="516"/>
      <c r="W31" s="516"/>
      <c r="X31" s="516"/>
      <c r="Y31" s="516"/>
      <c r="Z31" s="516"/>
      <c r="AA31" s="516"/>
      <c r="AB31" s="516"/>
      <c r="AC31" s="516"/>
      <c r="AD31" s="516"/>
      <c r="AE31" s="516"/>
      <c r="AF31" s="516"/>
      <c r="AG31" s="516"/>
      <c r="AH31" s="516"/>
      <c r="AI31" s="516"/>
      <c r="AJ31" s="516"/>
      <c r="AK31" s="516"/>
      <c r="AL31" s="516"/>
      <c r="AM31" s="516"/>
      <c r="AN31" s="516"/>
      <c r="AO31" s="516"/>
      <c r="AP31" s="516"/>
      <c r="AQ31" s="516"/>
      <c r="AR31" s="517"/>
      <c r="AS31" s="91"/>
    </row>
    <row r="32" spans="1:45" ht="15" customHeight="1" x14ac:dyDescent="0.15">
      <c r="A32" s="91"/>
      <c r="B32" s="532"/>
      <c r="C32" s="533"/>
      <c r="D32" s="533"/>
      <c r="E32" s="533"/>
      <c r="F32" s="533"/>
      <c r="G32" s="538"/>
      <c r="H32" s="539"/>
      <c r="I32" s="539"/>
      <c r="J32" s="666"/>
      <c r="K32" s="512" t="s">
        <v>82</v>
      </c>
      <c r="L32" s="513"/>
      <c r="M32" s="514"/>
      <c r="N32" s="518" t="str">
        <f>IF(AND(反映シート!$E$13="リース事業者",反映シート!$C$130=TRUE),反映シート!$E$47,IF(AND(反映シート!$E$15="リース事業者",反映シート!$C$130=TRUE),反映シート!$E$86,""))</f>
        <v/>
      </c>
      <c r="O32" s="519"/>
      <c r="P32" s="519"/>
      <c r="Q32" s="519"/>
      <c r="R32" s="519"/>
      <c r="S32" s="519"/>
      <c r="T32" s="519"/>
      <c r="U32" s="519"/>
      <c r="V32" s="519"/>
      <c r="W32" s="519"/>
      <c r="X32" s="519"/>
      <c r="Y32" s="519"/>
      <c r="Z32" s="519"/>
      <c r="AA32" s="519"/>
      <c r="AB32" s="519"/>
      <c r="AC32" s="519"/>
      <c r="AD32" s="519"/>
      <c r="AE32" s="519"/>
      <c r="AF32" s="519"/>
      <c r="AG32" s="519"/>
      <c r="AH32" s="519"/>
      <c r="AI32" s="519"/>
      <c r="AJ32" s="519"/>
      <c r="AK32" s="519"/>
      <c r="AL32" s="519"/>
      <c r="AM32" s="519"/>
      <c r="AN32" s="519"/>
      <c r="AO32" s="519"/>
      <c r="AP32" s="519"/>
      <c r="AQ32" s="519"/>
      <c r="AR32" s="520"/>
      <c r="AS32" s="91"/>
    </row>
    <row r="33" spans="1:45" ht="15" customHeight="1" x14ac:dyDescent="0.15">
      <c r="A33" s="91"/>
      <c r="B33" s="532"/>
      <c r="C33" s="533"/>
      <c r="D33" s="533"/>
      <c r="E33" s="533"/>
      <c r="F33" s="533"/>
      <c r="G33" s="540"/>
      <c r="H33" s="541"/>
      <c r="I33" s="541"/>
      <c r="J33" s="667"/>
      <c r="K33" s="521" t="s">
        <v>83</v>
      </c>
      <c r="L33" s="522"/>
      <c r="M33" s="523"/>
      <c r="N33" s="524" t="str">
        <f>IF(AND(反映シート!$E$13="リース事業者",反映シート!$C$130=TRUE),反映シート!$E$49,IF(AND(反映シート!$E$15="リース事業者",反映シート!$C$130=TRUE),反映シート!$E$88,""))</f>
        <v/>
      </c>
      <c r="O33" s="525"/>
      <c r="P33" s="525"/>
      <c r="Q33" s="525"/>
      <c r="R33" s="525"/>
      <c r="S33" s="525"/>
      <c r="T33" s="525"/>
      <c r="U33" s="525"/>
      <c r="V33" s="525"/>
      <c r="W33" s="525"/>
      <c r="X33" s="525"/>
      <c r="Y33" s="525"/>
      <c r="Z33" s="525"/>
      <c r="AA33" s="525"/>
      <c r="AB33" s="525"/>
      <c r="AC33" s="525"/>
      <c r="AD33" s="525"/>
      <c r="AE33" s="525"/>
      <c r="AF33" s="525"/>
      <c r="AG33" s="525"/>
      <c r="AH33" s="525"/>
      <c r="AI33" s="525"/>
      <c r="AJ33" s="525"/>
      <c r="AK33" s="525"/>
      <c r="AL33" s="525"/>
      <c r="AM33" s="525"/>
      <c r="AN33" s="525"/>
      <c r="AO33" s="525"/>
      <c r="AP33" s="525"/>
      <c r="AQ33" s="525"/>
      <c r="AR33" s="526"/>
      <c r="AS33" s="91"/>
    </row>
    <row r="34" spans="1:45" ht="19.5" customHeight="1" x14ac:dyDescent="0.15">
      <c r="A34" s="91"/>
      <c r="B34" s="532"/>
      <c r="C34" s="533"/>
      <c r="D34" s="533"/>
      <c r="E34" s="533"/>
      <c r="F34" s="533"/>
      <c r="G34" s="536" t="s">
        <v>382</v>
      </c>
      <c r="H34" s="537"/>
      <c r="I34" s="537"/>
      <c r="J34" s="537"/>
      <c r="K34" s="557"/>
      <c r="L34" s="559" t="s">
        <v>383</v>
      </c>
      <c r="M34" s="544"/>
      <c r="N34" s="560" t="str">
        <f>IF(AND(反映シート!$E$13="リース事業者",反映シート!$C$130=TRUE),反映シート!$E$53,IF(AND(反映シート!$E$15="リース事業者",反映シート!$C$130=TRUE),反映シート!$E$92,""))</f>
        <v/>
      </c>
      <c r="O34" s="561"/>
      <c r="P34" s="561"/>
      <c r="Q34" s="561"/>
      <c r="R34" s="561"/>
      <c r="S34" s="561"/>
      <c r="T34" s="561"/>
      <c r="U34" s="561"/>
      <c r="V34" s="561"/>
      <c r="W34" s="561"/>
      <c r="X34" s="561"/>
      <c r="Y34" s="561"/>
      <c r="Z34" s="561"/>
      <c r="AA34" s="561"/>
      <c r="AB34" s="561"/>
      <c r="AC34" s="561"/>
      <c r="AD34" s="561"/>
      <c r="AE34" s="561"/>
      <c r="AF34" s="561"/>
      <c r="AG34" s="561"/>
      <c r="AH34" s="561"/>
      <c r="AI34" s="561"/>
      <c r="AJ34" s="561"/>
      <c r="AK34" s="561"/>
      <c r="AL34" s="561"/>
      <c r="AM34" s="561"/>
      <c r="AN34" s="561"/>
      <c r="AO34" s="561"/>
      <c r="AP34" s="561"/>
      <c r="AQ34" s="561"/>
      <c r="AR34" s="562"/>
      <c r="AS34" s="91"/>
    </row>
    <row r="35" spans="1:45" ht="30" customHeight="1" x14ac:dyDescent="0.15">
      <c r="A35" s="91"/>
      <c r="B35" s="532"/>
      <c r="C35" s="533"/>
      <c r="D35" s="533"/>
      <c r="E35" s="533"/>
      <c r="F35" s="533"/>
      <c r="G35" s="540"/>
      <c r="H35" s="541"/>
      <c r="I35" s="541"/>
      <c r="J35" s="541"/>
      <c r="K35" s="558"/>
      <c r="L35" s="563" t="s">
        <v>384</v>
      </c>
      <c r="M35" s="523"/>
      <c r="N35" s="524" t="str">
        <f>IF(AND(反映シート!$E$13="リース事業者",反映シート!$C$130=TRUE),反映シート!$E$51,IF(AND(反映シート!$E$15="リース事業者",反映シート!$C$130=TRUE),反映シート!$E$90,""))</f>
        <v/>
      </c>
      <c r="O35" s="525"/>
      <c r="P35" s="525"/>
      <c r="Q35" s="525"/>
      <c r="R35" s="525"/>
      <c r="S35" s="525"/>
      <c r="T35" s="525"/>
      <c r="U35" s="525"/>
      <c r="V35" s="525"/>
      <c r="W35" s="525"/>
      <c r="X35" s="525"/>
      <c r="Y35" s="525"/>
      <c r="Z35" s="525"/>
      <c r="AA35" s="525"/>
      <c r="AB35" s="525"/>
      <c r="AC35" s="525"/>
      <c r="AD35" s="525"/>
      <c r="AE35" s="525"/>
      <c r="AF35" s="525"/>
      <c r="AG35" s="525"/>
      <c r="AH35" s="525"/>
      <c r="AI35" s="525"/>
      <c r="AJ35" s="525"/>
      <c r="AK35" s="525"/>
      <c r="AL35" s="525"/>
      <c r="AM35" s="525"/>
      <c r="AN35" s="525"/>
      <c r="AO35" s="525"/>
      <c r="AP35" s="525"/>
      <c r="AQ35" s="525"/>
      <c r="AR35" s="526"/>
      <c r="AS35" s="91"/>
    </row>
    <row r="36" spans="1:45" ht="19.5" customHeight="1" x14ac:dyDescent="0.15">
      <c r="A36" s="91"/>
      <c r="B36" s="532"/>
      <c r="C36" s="533"/>
      <c r="D36" s="533"/>
      <c r="E36" s="533"/>
      <c r="F36" s="533"/>
      <c r="G36" s="536" t="s">
        <v>407</v>
      </c>
      <c r="H36" s="537"/>
      <c r="I36" s="537"/>
      <c r="J36" s="537"/>
      <c r="K36" s="537"/>
      <c r="L36" s="537"/>
      <c r="M36" s="557"/>
      <c r="N36" s="565" t="s">
        <v>386</v>
      </c>
      <c r="O36" s="566"/>
      <c r="P36" s="566"/>
      <c r="Q36" s="566"/>
      <c r="R36" s="566"/>
      <c r="S36" s="566"/>
      <c r="T36" s="566"/>
      <c r="U36" s="566"/>
      <c r="V36" s="566"/>
      <c r="W36" s="566"/>
      <c r="X36" s="566"/>
      <c r="Y36" s="567"/>
      <c r="Z36" s="568" t="s">
        <v>190</v>
      </c>
      <c r="AA36" s="569"/>
      <c r="AB36" s="569"/>
      <c r="AC36" s="569"/>
      <c r="AD36" s="569"/>
      <c r="AE36" s="569"/>
      <c r="AF36" s="569"/>
      <c r="AG36" s="569"/>
      <c r="AH36" s="569"/>
      <c r="AI36" s="569"/>
      <c r="AJ36" s="569"/>
      <c r="AK36" s="569"/>
      <c r="AL36" s="569"/>
      <c r="AM36" s="569"/>
      <c r="AN36" s="569"/>
      <c r="AO36" s="569"/>
      <c r="AP36" s="569"/>
      <c r="AQ36" s="569"/>
      <c r="AR36" s="570"/>
      <c r="AS36" s="91"/>
    </row>
    <row r="37" spans="1:45" ht="30" customHeight="1" x14ac:dyDescent="0.15">
      <c r="A37" s="91"/>
      <c r="B37" s="532"/>
      <c r="C37" s="533"/>
      <c r="D37" s="533"/>
      <c r="E37" s="533"/>
      <c r="F37" s="533"/>
      <c r="G37" s="538"/>
      <c r="H37" s="539"/>
      <c r="I37" s="539"/>
      <c r="J37" s="539"/>
      <c r="K37" s="539"/>
      <c r="L37" s="539"/>
      <c r="M37" s="564"/>
      <c r="N37" s="555" t="str">
        <f>IF(AND(反映シート!$E$13="リース事業者",反映シート!$C$130=TRUE),反映シート!$E$57,IF(AND(反映シート!$E$15="リース事業者",反映シート!$C$130=TRUE),反映シート!$E$96,""))</f>
        <v/>
      </c>
      <c r="O37" s="550"/>
      <c r="P37" s="550"/>
      <c r="Q37" s="550"/>
      <c r="R37" s="550"/>
      <c r="S37" s="550"/>
      <c r="T37" s="550"/>
      <c r="U37" s="550"/>
      <c r="V37" s="550"/>
      <c r="W37" s="550"/>
      <c r="X37" s="550"/>
      <c r="Y37" s="556"/>
      <c r="Z37" s="571" t="s">
        <v>69</v>
      </c>
      <c r="AA37" s="552"/>
      <c r="AB37" s="550" t="str">
        <f>IF(AND(反映シート!$E$13="リース事業者",反映シート!$C$130=TRUE),反映シート!$E$59,IF(AND(反映シート!$E$15="リース事業者",反映シート!$C$130=TRUE),反映シート!$E$98,""))</f>
        <v/>
      </c>
      <c r="AC37" s="550"/>
      <c r="AD37" s="550"/>
      <c r="AE37" s="550"/>
      <c r="AF37" s="550"/>
      <c r="AG37" s="550"/>
      <c r="AH37" s="550"/>
      <c r="AI37" s="551" t="s">
        <v>70</v>
      </c>
      <c r="AJ37" s="552"/>
      <c r="AK37" s="550" t="str">
        <f>IF(AND(反映シート!$E$13="リース事業者",反映シート!$C$130=TRUE),反映シート!$E$61,IF(AND(反映シート!$E$15="リース事業者",反映シート!$C$130=TRUE),反映シート!$E$100,""))</f>
        <v/>
      </c>
      <c r="AL37" s="550"/>
      <c r="AM37" s="550"/>
      <c r="AN37" s="550"/>
      <c r="AO37" s="550"/>
      <c r="AP37" s="550"/>
      <c r="AQ37" s="550"/>
      <c r="AR37" s="553"/>
      <c r="AS37" s="91"/>
    </row>
    <row r="38" spans="1:45" ht="19.5" customHeight="1" x14ac:dyDescent="0.15">
      <c r="A38" s="91"/>
      <c r="B38" s="532"/>
      <c r="C38" s="533"/>
      <c r="D38" s="533"/>
      <c r="E38" s="533"/>
      <c r="F38" s="533"/>
      <c r="G38" s="536" t="s">
        <v>408</v>
      </c>
      <c r="H38" s="537"/>
      <c r="I38" s="537"/>
      <c r="J38" s="537"/>
      <c r="K38" s="537"/>
      <c r="L38" s="537"/>
      <c r="M38" s="557"/>
      <c r="N38" s="555" t="str">
        <f>IF(AND(反映シート!$E$13="リース事業者",反映シート!$C$130=TRUE),反映シート!$G$373,IF(AND(反映シート!$E$15="リース事業者",反映シート!$C$130=TRUE),反映シート!$G$387,""))</f>
        <v/>
      </c>
      <c r="O38" s="550"/>
      <c r="P38" s="550"/>
      <c r="Q38" s="550"/>
      <c r="R38" s="550"/>
      <c r="S38" s="550"/>
      <c r="T38" s="550"/>
      <c r="U38" s="550"/>
      <c r="V38" s="550"/>
      <c r="W38" s="550"/>
      <c r="X38" s="550"/>
      <c r="Y38" s="556"/>
      <c r="Z38" s="554" t="s">
        <v>388</v>
      </c>
      <c r="AA38" s="554"/>
      <c r="AB38" s="554"/>
      <c r="AC38" s="554"/>
      <c r="AD38" s="554"/>
      <c r="AE38" s="554"/>
      <c r="AF38" s="554"/>
      <c r="AG38" s="555" t="str">
        <f>IF(AND(反映シート!$E$13="リース事業者",反映シート!$C$130=TRUE),反映シート!$G$375,IF(AND(反映シート!$E$15="リース事業者",反映シート!$C$130=TRUE),反映シート!$G$389,""))</f>
        <v/>
      </c>
      <c r="AH38" s="550"/>
      <c r="AI38" s="550"/>
      <c r="AJ38" s="550"/>
      <c r="AK38" s="550"/>
      <c r="AL38" s="550"/>
      <c r="AM38" s="550"/>
      <c r="AN38" s="550"/>
      <c r="AO38" s="550"/>
      <c r="AP38" s="550"/>
      <c r="AQ38" s="550"/>
      <c r="AR38" s="553"/>
      <c r="AS38" s="91"/>
    </row>
    <row r="39" spans="1:45" ht="19.5" customHeight="1" x14ac:dyDescent="0.15">
      <c r="A39" s="91"/>
      <c r="B39" s="532"/>
      <c r="C39" s="533"/>
      <c r="D39" s="533"/>
      <c r="E39" s="533"/>
      <c r="F39" s="533"/>
      <c r="G39" s="536" t="s">
        <v>389</v>
      </c>
      <c r="H39" s="537"/>
      <c r="I39" s="537"/>
      <c r="J39" s="537"/>
      <c r="K39" s="537"/>
      <c r="L39" s="537"/>
      <c r="M39" s="557"/>
      <c r="N39" s="524" t="str">
        <f>IF(AND(反映シート!$E$13="リース事業者",反映シート!$C$130=TRUE),反映シート!$G$377,IF(AND(反映シート!$E$15="リース事業者",反映シート!$C$130=TRUE),反映シート!$G$391,""))</f>
        <v/>
      </c>
      <c r="O39" s="525"/>
      <c r="P39" s="525"/>
      <c r="Q39" s="525"/>
      <c r="R39" s="525"/>
      <c r="S39" s="525"/>
      <c r="T39" s="525"/>
      <c r="U39" s="525"/>
      <c r="V39" s="525"/>
      <c r="W39" s="525"/>
      <c r="X39" s="525"/>
      <c r="Y39" s="525"/>
      <c r="Z39" s="525"/>
      <c r="AA39" s="525"/>
      <c r="AB39" s="525"/>
      <c r="AC39" s="525"/>
      <c r="AD39" s="525"/>
      <c r="AE39" s="525"/>
      <c r="AF39" s="525"/>
      <c r="AG39" s="525"/>
      <c r="AH39" s="525"/>
      <c r="AI39" s="525"/>
      <c r="AJ39" s="525"/>
      <c r="AK39" s="525"/>
      <c r="AL39" s="525"/>
      <c r="AM39" s="525"/>
      <c r="AN39" s="525"/>
      <c r="AO39" s="525"/>
      <c r="AP39" s="525"/>
      <c r="AQ39" s="525"/>
      <c r="AR39" s="526"/>
      <c r="AS39" s="91"/>
    </row>
    <row r="40" spans="1:45" ht="16.5" customHeight="1" thickBot="1" x14ac:dyDescent="0.2">
      <c r="A40" s="160"/>
      <c r="B40" s="534"/>
      <c r="C40" s="535"/>
      <c r="D40" s="535"/>
      <c r="E40" s="535"/>
      <c r="F40" s="535"/>
      <c r="G40" s="641" t="s">
        <v>390</v>
      </c>
      <c r="H40" s="641"/>
      <c r="I40" s="641"/>
      <c r="J40" s="641"/>
      <c r="K40" s="641"/>
      <c r="L40" s="641"/>
      <c r="M40" s="641"/>
      <c r="N40" s="642" t="str">
        <f>IF(AND(反映シート!$E$13="リース事業者",反映シート!$C$130=TRUE),反映シート!$G$379,IF(AND(反映シート!$E$15="リース事業者",反映シート!$C$130=TRUE),反映シート!$G$393,""))</f>
        <v/>
      </c>
      <c r="O40" s="643"/>
      <c r="P40" s="643"/>
      <c r="Q40" s="643"/>
      <c r="R40" s="643"/>
      <c r="S40" s="643"/>
      <c r="T40" s="643"/>
      <c r="U40" s="643"/>
      <c r="V40" s="643"/>
      <c r="W40" s="643"/>
      <c r="X40" s="643"/>
      <c r="Y40" s="643"/>
      <c r="Z40" s="643"/>
      <c r="AA40" s="643"/>
      <c r="AB40" s="643"/>
      <c r="AC40" s="643"/>
      <c r="AD40" s="643"/>
      <c r="AE40" s="643"/>
      <c r="AF40" s="643"/>
      <c r="AG40" s="643"/>
      <c r="AH40" s="643"/>
      <c r="AI40" s="643"/>
      <c r="AJ40" s="643"/>
      <c r="AK40" s="643"/>
      <c r="AL40" s="643"/>
      <c r="AM40" s="643"/>
      <c r="AN40" s="643"/>
      <c r="AO40" s="643"/>
      <c r="AP40" s="643"/>
      <c r="AQ40" s="643"/>
      <c r="AR40" s="644"/>
      <c r="AS40" s="91"/>
    </row>
    <row r="41" spans="1:45" ht="16.5" customHeight="1" x14ac:dyDescent="0.15">
      <c r="A41" s="91"/>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row>
    <row r="44" spans="1:45" ht="16.5" customHeight="1" x14ac:dyDescent="0.15">
      <c r="AD44" s="164"/>
      <c r="AE44" s="164"/>
      <c r="AF44" s="164"/>
      <c r="AG44" s="164"/>
    </row>
  </sheetData>
  <sheetProtection algorithmName="SHA-512" hashValue="OohylmwjPdMD+vqM/eOBMpa6X+aJ8XhUqwaBwr6A4SL/9D+k8mXPJ9bVdszKZ4hOZriYvqj/1cQTrY43IqMviw==" saltValue="xTdyuVLU7VXCyMFAbjyBiA==" spinCount="100000" sheet="1" objects="1" scenarios="1" selectLockedCells="1"/>
  <protectedRanges>
    <protectedRange sqref="AM15 AM17" name="範囲1_1"/>
    <protectedRange sqref="AM27" name="範囲1_7_10"/>
    <protectedRange sqref="P3" name="範囲1_7_1"/>
    <protectedRange sqref="N4" name="範囲1_7_2"/>
    <protectedRange sqref="N5:N7" name="範囲1_7_1_2"/>
    <protectedRange sqref="N8:N9" name="範囲1"/>
    <protectedRange sqref="Z11" name="範囲1_7_1_3"/>
    <protectedRange sqref="N11" name="範囲1_5"/>
    <protectedRange sqref="N13:N14" name="範囲1_1_1"/>
    <protectedRange sqref="N12 AG12" name="範囲1_3_1"/>
    <protectedRange sqref="Z37 P29 N31:N33" name="範囲1_7"/>
    <protectedRange sqref="N34:N35" name="範囲1_6"/>
    <protectedRange sqref="N37" name="範囲1_5_3"/>
    <protectedRange sqref="N39:N40" name="範囲1_1_3"/>
    <protectedRange sqref="N38 AG38" name="範囲1_3_2"/>
    <protectedRange sqref="N30" name="範囲1_7_2_3"/>
  </protectedRanges>
  <mergeCells count="112">
    <mergeCell ref="X3:Y4"/>
    <mergeCell ref="Z3:AR4"/>
    <mergeCell ref="G38:M38"/>
    <mergeCell ref="N38:Y38"/>
    <mergeCell ref="Z38:AF38"/>
    <mergeCell ref="AG38:AR38"/>
    <mergeCell ref="G39:M39"/>
    <mergeCell ref="N39:AR39"/>
    <mergeCell ref="G36:M37"/>
    <mergeCell ref="N36:Y36"/>
    <mergeCell ref="Z36:AR36"/>
    <mergeCell ref="N37:Y37"/>
    <mergeCell ref="Z37:AA37"/>
    <mergeCell ref="AB37:AH37"/>
    <mergeCell ref="AI37:AJ37"/>
    <mergeCell ref="AK37:AR37"/>
    <mergeCell ref="K32:M32"/>
    <mergeCell ref="N32:AR32"/>
    <mergeCell ref="K33:M33"/>
    <mergeCell ref="N33:AR33"/>
    <mergeCell ref="G27:M27"/>
    <mergeCell ref="N27:AL27"/>
    <mergeCell ref="AM27:AP27"/>
    <mergeCell ref="AQ27:AR27"/>
    <mergeCell ref="N28:P28"/>
    <mergeCell ref="B29:F40"/>
    <mergeCell ref="G29:J33"/>
    <mergeCell ref="K29:M29"/>
    <mergeCell ref="N29:O29"/>
    <mergeCell ref="P29:R29"/>
    <mergeCell ref="G34:K35"/>
    <mergeCell ref="L34:M34"/>
    <mergeCell ref="N34:AR34"/>
    <mergeCell ref="L35:M35"/>
    <mergeCell ref="N35:AR35"/>
    <mergeCell ref="T29:W29"/>
    <mergeCell ref="K30:M30"/>
    <mergeCell ref="N30:W30"/>
    <mergeCell ref="K31:M31"/>
    <mergeCell ref="N31:AR31"/>
    <mergeCell ref="G40:M40"/>
    <mergeCell ref="N40:AR40"/>
    <mergeCell ref="X29:Y30"/>
    <mergeCell ref="Z29:AR30"/>
    <mergeCell ref="Z25:AL25"/>
    <mergeCell ref="AM25:AP25"/>
    <mergeCell ref="AQ25:AR25"/>
    <mergeCell ref="Z26:AL26"/>
    <mergeCell ref="AM26:AP26"/>
    <mergeCell ref="AQ26:AR26"/>
    <mergeCell ref="N22:P22"/>
    <mergeCell ref="Q22:AL22"/>
    <mergeCell ref="G23:M26"/>
    <mergeCell ref="N23:AL23"/>
    <mergeCell ref="AM23:AP23"/>
    <mergeCell ref="AQ23:AR23"/>
    <mergeCell ref="N24:Y26"/>
    <mergeCell ref="Z24:AL24"/>
    <mergeCell ref="AM24:AP24"/>
    <mergeCell ref="AQ24:AR24"/>
    <mergeCell ref="N18:P18"/>
    <mergeCell ref="Q18:AL18"/>
    <mergeCell ref="N19:P19"/>
    <mergeCell ref="Q19:AL19"/>
    <mergeCell ref="N20:P21"/>
    <mergeCell ref="Q20:AL21"/>
    <mergeCell ref="G14:M14"/>
    <mergeCell ref="N14:AR14"/>
    <mergeCell ref="G15:AL15"/>
    <mergeCell ref="AM15:AP15"/>
    <mergeCell ref="AQ15:AR15"/>
    <mergeCell ref="G16:M22"/>
    <mergeCell ref="N16:AR16"/>
    <mergeCell ref="N17:P17"/>
    <mergeCell ref="Q17:AL17"/>
    <mergeCell ref="AM17:AR22"/>
    <mergeCell ref="Z12:AF12"/>
    <mergeCell ref="AG12:AR12"/>
    <mergeCell ref="G13:M13"/>
    <mergeCell ref="N13:AR13"/>
    <mergeCell ref="G10:M11"/>
    <mergeCell ref="N10:Y10"/>
    <mergeCell ref="Z10:AR10"/>
    <mergeCell ref="N11:Y11"/>
    <mergeCell ref="Z11:AA11"/>
    <mergeCell ref="AB11:AH11"/>
    <mergeCell ref="AI11:AJ11"/>
    <mergeCell ref="AK11:AR11"/>
    <mergeCell ref="P1:R1"/>
    <mergeCell ref="S1:V1"/>
    <mergeCell ref="B2:AR2"/>
    <mergeCell ref="B3:F27"/>
    <mergeCell ref="G3:J7"/>
    <mergeCell ref="K3:M3"/>
    <mergeCell ref="N3:O3"/>
    <mergeCell ref="P3:R3"/>
    <mergeCell ref="T3:W3"/>
    <mergeCell ref="K7:M7"/>
    <mergeCell ref="N7:AR7"/>
    <mergeCell ref="G8:K9"/>
    <mergeCell ref="L8:M8"/>
    <mergeCell ref="N8:AR8"/>
    <mergeCell ref="L9:M9"/>
    <mergeCell ref="N9:AR9"/>
    <mergeCell ref="K4:M4"/>
    <mergeCell ref="N4:W4"/>
    <mergeCell ref="K5:M5"/>
    <mergeCell ref="N5:AR5"/>
    <mergeCell ref="K6:M6"/>
    <mergeCell ref="N6:AR6"/>
    <mergeCell ref="G12:M12"/>
    <mergeCell ref="N12:Y12"/>
  </mergeCells>
  <phoneticPr fontId="5"/>
  <conditionalFormatting sqref="AM27:AP27">
    <cfRule type="expression" dxfId="0" priority="1">
      <formula>$AM$16="ウ"</formula>
    </cfRule>
  </conditionalFormatting>
  <printOptions horizontalCentered="1" verticalCentered="1"/>
  <pageMargins left="0.23622047244094491" right="0.23622047244094491"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47</xdr:col>
                    <xdr:colOff>0</xdr:colOff>
                    <xdr:row>26</xdr:row>
                    <xdr:rowOff>0</xdr:rowOff>
                  </from>
                  <to>
                    <xdr:col>47</xdr:col>
                    <xdr:colOff>0</xdr:colOff>
                    <xdr:row>26</xdr:row>
                    <xdr:rowOff>200025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47</xdr:col>
                    <xdr:colOff>0</xdr:colOff>
                    <xdr:row>26</xdr:row>
                    <xdr:rowOff>0</xdr:rowOff>
                  </from>
                  <to>
                    <xdr:col>47</xdr:col>
                    <xdr:colOff>0</xdr:colOff>
                    <xdr:row>26</xdr:row>
                    <xdr:rowOff>200025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47</xdr:col>
                    <xdr:colOff>0</xdr:colOff>
                    <xdr:row>26</xdr:row>
                    <xdr:rowOff>0</xdr:rowOff>
                  </from>
                  <to>
                    <xdr:col>47</xdr:col>
                    <xdr:colOff>0</xdr:colOff>
                    <xdr:row>26</xdr:row>
                    <xdr:rowOff>200025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47</xdr:col>
                    <xdr:colOff>0</xdr:colOff>
                    <xdr:row>26</xdr:row>
                    <xdr:rowOff>0</xdr:rowOff>
                  </from>
                  <to>
                    <xdr:col>47</xdr:col>
                    <xdr:colOff>0</xdr:colOff>
                    <xdr:row>26</xdr:row>
                    <xdr:rowOff>200025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47</xdr:col>
                    <xdr:colOff>0</xdr:colOff>
                    <xdr:row>34</xdr:row>
                    <xdr:rowOff>0</xdr:rowOff>
                  </from>
                  <to>
                    <xdr:col>47</xdr:col>
                    <xdr:colOff>0</xdr:colOff>
                    <xdr:row>34</xdr:row>
                    <xdr:rowOff>200025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47</xdr:col>
                    <xdr:colOff>0</xdr:colOff>
                    <xdr:row>34</xdr:row>
                    <xdr:rowOff>0</xdr:rowOff>
                  </from>
                  <to>
                    <xdr:col>47</xdr:col>
                    <xdr:colOff>0</xdr:colOff>
                    <xdr:row>34</xdr:row>
                    <xdr:rowOff>200025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47</xdr:col>
                    <xdr:colOff>0</xdr:colOff>
                    <xdr:row>26</xdr:row>
                    <xdr:rowOff>0</xdr:rowOff>
                  </from>
                  <to>
                    <xdr:col>47</xdr:col>
                    <xdr:colOff>0</xdr:colOff>
                    <xdr:row>26</xdr:row>
                    <xdr:rowOff>200025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47</xdr:col>
                    <xdr:colOff>0</xdr:colOff>
                    <xdr:row>26</xdr:row>
                    <xdr:rowOff>0</xdr:rowOff>
                  </from>
                  <to>
                    <xdr:col>47</xdr:col>
                    <xdr:colOff>0</xdr:colOff>
                    <xdr:row>26</xdr:row>
                    <xdr:rowOff>200025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47</xdr:col>
                    <xdr:colOff>0</xdr:colOff>
                    <xdr:row>26</xdr:row>
                    <xdr:rowOff>0</xdr:rowOff>
                  </from>
                  <to>
                    <xdr:col>47</xdr:col>
                    <xdr:colOff>0</xdr:colOff>
                    <xdr:row>26</xdr:row>
                    <xdr:rowOff>200025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47</xdr:col>
                    <xdr:colOff>0</xdr:colOff>
                    <xdr:row>26</xdr:row>
                    <xdr:rowOff>0</xdr:rowOff>
                  </from>
                  <to>
                    <xdr:col>47</xdr:col>
                    <xdr:colOff>0</xdr:colOff>
                    <xdr:row>26</xdr:row>
                    <xdr:rowOff>200025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47</xdr:col>
                    <xdr:colOff>0</xdr:colOff>
                    <xdr:row>26</xdr:row>
                    <xdr:rowOff>0</xdr:rowOff>
                  </from>
                  <to>
                    <xdr:col>47</xdr:col>
                    <xdr:colOff>0</xdr:colOff>
                    <xdr:row>28</xdr:row>
                    <xdr:rowOff>57150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47</xdr:col>
                    <xdr:colOff>0</xdr:colOff>
                    <xdr:row>26</xdr:row>
                    <xdr:rowOff>0</xdr:rowOff>
                  </from>
                  <to>
                    <xdr:col>47</xdr:col>
                    <xdr:colOff>0</xdr:colOff>
                    <xdr:row>26</xdr:row>
                    <xdr:rowOff>333375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47</xdr:col>
                    <xdr:colOff>0</xdr:colOff>
                    <xdr:row>26</xdr:row>
                    <xdr:rowOff>0</xdr:rowOff>
                  </from>
                  <to>
                    <xdr:col>47</xdr:col>
                    <xdr:colOff>0</xdr:colOff>
                    <xdr:row>28</xdr:row>
                    <xdr:rowOff>57150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47</xdr:col>
                    <xdr:colOff>0</xdr:colOff>
                    <xdr:row>26</xdr:row>
                    <xdr:rowOff>0</xdr:rowOff>
                  </from>
                  <to>
                    <xdr:col>47</xdr:col>
                    <xdr:colOff>0</xdr:colOff>
                    <xdr:row>26</xdr:row>
                    <xdr:rowOff>333375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47</xdr:col>
                    <xdr:colOff>0</xdr:colOff>
                    <xdr:row>27</xdr:row>
                    <xdr:rowOff>0</xdr:rowOff>
                  </from>
                  <to>
                    <xdr:col>47</xdr:col>
                    <xdr:colOff>0</xdr:colOff>
                    <xdr:row>32</xdr:row>
                    <xdr:rowOff>47625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47</xdr:col>
                    <xdr:colOff>0</xdr:colOff>
                    <xdr:row>27</xdr:row>
                    <xdr:rowOff>0</xdr:rowOff>
                  </from>
                  <to>
                    <xdr:col>47</xdr:col>
                    <xdr:colOff>0</xdr:colOff>
                    <xdr:row>32</xdr:row>
                    <xdr:rowOff>47625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47</xdr:col>
                    <xdr:colOff>0</xdr:colOff>
                    <xdr:row>27</xdr:row>
                    <xdr:rowOff>0</xdr:rowOff>
                  </from>
                  <to>
                    <xdr:col>47</xdr:col>
                    <xdr:colOff>0</xdr:colOff>
                    <xdr:row>28</xdr:row>
                    <xdr:rowOff>76200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47</xdr:col>
                    <xdr:colOff>0</xdr:colOff>
                    <xdr:row>27</xdr:row>
                    <xdr:rowOff>0</xdr:rowOff>
                  </from>
                  <to>
                    <xdr:col>47</xdr:col>
                    <xdr:colOff>0</xdr:colOff>
                    <xdr:row>28</xdr:row>
                    <xdr:rowOff>76200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47</xdr:col>
                    <xdr:colOff>0</xdr:colOff>
                    <xdr:row>27</xdr:row>
                    <xdr:rowOff>0</xdr:rowOff>
                  </from>
                  <to>
                    <xdr:col>47</xdr:col>
                    <xdr:colOff>0</xdr:colOff>
                    <xdr:row>28</xdr:row>
                    <xdr:rowOff>76200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47</xdr:col>
                    <xdr:colOff>0</xdr:colOff>
                    <xdr:row>27</xdr:row>
                    <xdr:rowOff>0</xdr:rowOff>
                  </from>
                  <to>
                    <xdr:col>47</xdr:col>
                    <xdr:colOff>0</xdr:colOff>
                    <xdr:row>28</xdr:row>
                    <xdr:rowOff>76200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S37"/>
  <sheetViews>
    <sheetView workbookViewId="0">
      <selection activeCell="ZZ1" sqref="ZZ1"/>
    </sheetView>
  </sheetViews>
  <sheetFormatPr defaultColWidth="2.5" defaultRowHeight="16.5" customHeight="1" x14ac:dyDescent="0.15"/>
  <cols>
    <col min="1" max="12" width="2.5" style="163"/>
    <col min="13" max="13" width="6.125" style="163" customWidth="1"/>
    <col min="14" max="14" width="2.5" style="163"/>
    <col min="15" max="16" width="2.5" style="163" customWidth="1"/>
    <col min="17" max="37" width="2.5" style="163"/>
    <col min="38" max="38" width="6.125" style="163" customWidth="1"/>
    <col min="39" max="16384" width="2.5" style="163"/>
  </cols>
  <sheetData>
    <row r="1" spans="1:45" ht="20.100000000000001" customHeight="1" thickBot="1" x14ac:dyDescent="0.2">
      <c r="A1" s="91"/>
      <c r="B1" s="157" t="s">
        <v>378</v>
      </c>
      <c r="C1" s="157"/>
      <c r="D1" s="157"/>
      <c r="E1" s="157"/>
      <c r="F1" s="157"/>
      <c r="G1" s="157"/>
      <c r="H1" s="157"/>
      <c r="I1" s="157"/>
      <c r="J1" s="157"/>
      <c r="K1" s="157"/>
      <c r="L1" s="157"/>
      <c r="M1" s="157"/>
      <c r="N1" s="157"/>
      <c r="O1" s="157"/>
      <c r="P1" s="157"/>
      <c r="Q1" s="157"/>
      <c r="R1" s="157"/>
      <c r="S1" s="157"/>
      <c r="T1" s="157"/>
      <c r="U1" s="157"/>
      <c r="V1" s="157"/>
      <c r="W1" s="93"/>
      <c r="X1" s="158"/>
      <c r="Y1" s="93"/>
      <c r="Z1" s="93"/>
      <c r="AA1" s="93"/>
      <c r="AB1" s="91"/>
      <c r="AC1" s="91"/>
      <c r="AD1" s="91"/>
      <c r="AE1" s="91"/>
      <c r="AF1" s="91"/>
      <c r="AG1" s="91"/>
      <c r="AH1" s="93"/>
      <c r="AI1" s="93"/>
      <c r="AJ1" s="93"/>
      <c r="AK1" s="93"/>
      <c r="AL1" s="153"/>
      <c r="AM1" s="91"/>
      <c r="AN1" s="91"/>
      <c r="AO1" s="93"/>
      <c r="AP1" s="93"/>
      <c r="AQ1" s="93"/>
      <c r="AR1" s="93"/>
      <c r="AS1" s="159"/>
    </row>
    <row r="2" spans="1:45" ht="20.100000000000001" customHeight="1" x14ac:dyDescent="0.15">
      <c r="A2" s="91"/>
      <c r="B2" s="527" t="s">
        <v>379</v>
      </c>
      <c r="C2" s="528"/>
      <c r="D2" s="528"/>
      <c r="E2" s="528"/>
      <c r="F2" s="528"/>
      <c r="G2" s="528"/>
      <c r="H2" s="528"/>
      <c r="I2" s="528"/>
      <c r="J2" s="528"/>
      <c r="K2" s="528"/>
      <c r="L2" s="528"/>
      <c r="M2" s="528"/>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64"/>
      <c r="AS2" s="91"/>
    </row>
    <row r="3" spans="1:45" ht="15" customHeight="1" x14ac:dyDescent="0.15">
      <c r="A3" s="91"/>
      <c r="B3" s="530" t="s">
        <v>380</v>
      </c>
      <c r="C3" s="531"/>
      <c r="D3" s="531"/>
      <c r="E3" s="531"/>
      <c r="F3" s="723"/>
      <c r="G3" s="536" t="s">
        <v>381</v>
      </c>
      <c r="H3" s="537"/>
      <c r="I3" s="537"/>
      <c r="J3" s="537"/>
      <c r="K3" s="542" t="s">
        <v>78</v>
      </c>
      <c r="L3" s="543"/>
      <c r="M3" s="544"/>
      <c r="N3" s="545" t="s">
        <v>450</v>
      </c>
      <c r="O3" s="546"/>
      <c r="P3" s="547" t="str">
        <f>IF(AND(OR(反映シート!$E$13="トラック事業者",反映シート!$E$13="荷主等"),反映シート!$C$132=TRUE),LEFT(反映シート!$E$41,3),IF(AND(OR(反映シート!$E$15="トラック事業者",反映シート!$E$15="荷主等"),反映シート!$C$132=TRUE),LEFT(反映シート!$E$80,3),""))</f>
        <v/>
      </c>
      <c r="Q3" s="548"/>
      <c r="R3" s="670"/>
      <c r="S3" s="97" t="s">
        <v>406</v>
      </c>
      <c r="T3" s="549" t="str">
        <f>IF(AND(OR(反映シート!$E$13="トラック事業者",反映シート!$E$13="荷主等"),反映シート!$C$132=TRUE),RIGHT(反映シート!$E$41,4),IF(AND(OR(反映シート!$E$15="トラック事業者",反映シート!$E$15="荷主等"),反映シート!$C$132=TRUE),RIGHT(反映シート!$E$80,4),""))</f>
        <v/>
      </c>
      <c r="U3" s="549"/>
      <c r="V3" s="549"/>
      <c r="W3" s="549"/>
      <c r="X3" s="717" t="str">
        <f>IF(AND(OR(反映シート!$E$13="トラック事業者",反映シート!$E$13="荷主等"),反映シート!$C$132=TRUE),"✓","")</f>
        <v/>
      </c>
      <c r="Y3" s="718"/>
      <c r="Z3" s="649" t="s">
        <v>454</v>
      </c>
      <c r="AA3" s="649"/>
      <c r="AB3" s="649"/>
      <c r="AC3" s="649"/>
      <c r="AD3" s="649"/>
      <c r="AE3" s="649"/>
      <c r="AF3" s="649"/>
      <c r="AG3" s="649"/>
      <c r="AH3" s="649"/>
      <c r="AI3" s="649"/>
      <c r="AJ3" s="649"/>
      <c r="AK3" s="649"/>
      <c r="AL3" s="649"/>
      <c r="AM3" s="649"/>
      <c r="AN3" s="649"/>
      <c r="AO3" s="649"/>
      <c r="AP3" s="649"/>
      <c r="AQ3" s="649"/>
      <c r="AR3" s="650"/>
      <c r="AS3" s="91"/>
    </row>
    <row r="4" spans="1:45" ht="15" customHeight="1" x14ac:dyDescent="0.15">
      <c r="A4" s="91"/>
      <c r="B4" s="532"/>
      <c r="C4" s="533"/>
      <c r="D4" s="533"/>
      <c r="E4" s="533"/>
      <c r="F4" s="629"/>
      <c r="G4" s="538"/>
      <c r="H4" s="539"/>
      <c r="I4" s="539"/>
      <c r="J4" s="539"/>
      <c r="K4" s="512" t="s">
        <v>79</v>
      </c>
      <c r="L4" s="513"/>
      <c r="M4" s="514"/>
      <c r="N4" s="518" t="str">
        <f>IF(AND(OR(反映シート!$E$13="トラック事業者",反映シート!$E$13="荷主等"),反映シート!$C$132=TRUE),反映シート!$E$43,IF(AND(OR(反映シート!$E$15="トラック事業者",反映シート!$E$15="荷主等"),反映シート!$C$132=TRUE),反映シート!$E$82,""))</f>
        <v/>
      </c>
      <c r="O4" s="519"/>
      <c r="P4" s="519"/>
      <c r="Q4" s="519"/>
      <c r="R4" s="519"/>
      <c r="S4" s="519"/>
      <c r="T4" s="519"/>
      <c r="U4" s="519"/>
      <c r="V4" s="519"/>
      <c r="W4" s="519"/>
      <c r="X4" s="657"/>
      <c r="Y4" s="658"/>
      <c r="Z4" s="651"/>
      <c r="AA4" s="651"/>
      <c r="AB4" s="651"/>
      <c r="AC4" s="651"/>
      <c r="AD4" s="651"/>
      <c r="AE4" s="651"/>
      <c r="AF4" s="651"/>
      <c r="AG4" s="651"/>
      <c r="AH4" s="651"/>
      <c r="AI4" s="651"/>
      <c r="AJ4" s="651"/>
      <c r="AK4" s="651"/>
      <c r="AL4" s="651"/>
      <c r="AM4" s="651"/>
      <c r="AN4" s="651"/>
      <c r="AO4" s="651"/>
      <c r="AP4" s="651"/>
      <c r="AQ4" s="651"/>
      <c r="AR4" s="652"/>
      <c r="AS4" s="91"/>
    </row>
    <row r="5" spans="1:45" ht="15" customHeight="1" x14ac:dyDescent="0.15">
      <c r="A5" s="91"/>
      <c r="B5" s="532"/>
      <c r="C5" s="533"/>
      <c r="D5" s="533"/>
      <c r="E5" s="533"/>
      <c r="F5" s="629"/>
      <c r="G5" s="538"/>
      <c r="H5" s="539"/>
      <c r="I5" s="539"/>
      <c r="J5" s="539"/>
      <c r="K5" s="512" t="s">
        <v>81</v>
      </c>
      <c r="L5" s="513"/>
      <c r="M5" s="514"/>
      <c r="N5" s="515" t="str">
        <f>IF(AND(OR(反映シート!$E$13="トラック事業者",反映シート!$E$13="荷主等"),反映シート!$C$132=TRUE),反映シート!$E$45,IF(AND(OR(反映シート!$E$15="トラック事業者",反映シート!$E$15="荷主等"),反映シート!$C$132=TRUE),反映シート!$E$84,""))</f>
        <v/>
      </c>
      <c r="O5" s="516"/>
      <c r="P5" s="516"/>
      <c r="Q5" s="516"/>
      <c r="R5" s="516"/>
      <c r="S5" s="516"/>
      <c r="T5" s="516"/>
      <c r="U5" s="516"/>
      <c r="V5" s="516"/>
      <c r="W5" s="516"/>
      <c r="X5" s="516"/>
      <c r="Y5" s="516"/>
      <c r="Z5" s="516"/>
      <c r="AA5" s="516"/>
      <c r="AB5" s="516"/>
      <c r="AC5" s="516"/>
      <c r="AD5" s="516"/>
      <c r="AE5" s="516"/>
      <c r="AF5" s="516"/>
      <c r="AG5" s="516"/>
      <c r="AH5" s="516"/>
      <c r="AI5" s="516"/>
      <c r="AJ5" s="516"/>
      <c r="AK5" s="516"/>
      <c r="AL5" s="516"/>
      <c r="AM5" s="516"/>
      <c r="AN5" s="516"/>
      <c r="AO5" s="516"/>
      <c r="AP5" s="516"/>
      <c r="AQ5" s="516"/>
      <c r="AR5" s="517"/>
      <c r="AS5" s="91"/>
    </row>
    <row r="6" spans="1:45" ht="15" customHeight="1" x14ac:dyDescent="0.15">
      <c r="A6" s="91"/>
      <c r="B6" s="532"/>
      <c r="C6" s="533"/>
      <c r="D6" s="533"/>
      <c r="E6" s="533"/>
      <c r="F6" s="629"/>
      <c r="G6" s="538"/>
      <c r="H6" s="539"/>
      <c r="I6" s="539"/>
      <c r="J6" s="539"/>
      <c r="K6" s="512" t="s">
        <v>82</v>
      </c>
      <c r="L6" s="513"/>
      <c r="M6" s="514"/>
      <c r="N6" s="518" t="str">
        <f>IF(AND(OR(反映シート!$E$13="トラック事業者",反映シート!$E$13="荷主等"),反映シート!$C$132=TRUE),反映シート!$E$47,IF(AND(OR(反映シート!$E$15="トラック事業者",反映シート!$E$15="荷主等"),反映シート!$C$132=TRUE),反映シート!$E$86,""))</f>
        <v/>
      </c>
      <c r="O6" s="519"/>
      <c r="P6" s="519"/>
      <c r="Q6" s="519"/>
      <c r="R6" s="519"/>
      <c r="S6" s="519"/>
      <c r="T6" s="519"/>
      <c r="U6" s="519"/>
      <c r="V6" s="519"/>
      <c r="W6" s="519"/>
      <c r="X6" s="519"/>
      <c r="Y6" s="519"/>
      <c r="Z6" s="519"/>
      <c r="AA6" s="519"/>
      <c r="AB6" s="519"/>
      <c r="AC6" s="519"/>
      <c r="AD6" s="519"/>
      <c r="AE6" s="519"/>
      <c r="AF6" s="519"/>
      <c r="AG6" s="519"/>
      <c r="AH6" s="519"/>
      <c r="AI6" s="519"/>
      <c r="AJ6" s="519"/>
      <c r="AK6" s="519"/>
      <c r="AL6" s="519"/>
      <c r="AM6" s="519"/>
      <c r="AN6" s="519"/>
      <c r="AO6" s="519"/>
      <c r="AP6" s="519"/>
      <c r="AQ6" s="519"/>
      <c r="AR6" s="520"/>
      <c r="AS6" s="91"/>
    </row>
    <row r="7" spans="1:45" ht="15" customHeight="1" x14ac:dyDescent="0.15">
      <c r="A7" s="91"/>
      <c r="B7" s="532"/>
      <c r="C7" s="533"/>
      <c r="D7" s="533"/>
      <c r="E7" s="533"/>
      <c r="F7" s="629"/>
      <c r="G7" s="540"/>
      <c r="H7" s="541"/>
      <c r="I7" s="541"/>
      <c r="J7" s="541"/>
      <c r="K7" s="521" t="s">
        <v>83</v>
      </c>
      <c r="L7" s="522"/>
      <c r="M7" s="523"/>
      <c r="N7" s="524" t="str">
        <f>IF(AND(OR(反映シート!$E$13="トラック事業者",反映シート!$E$13="荷主等"),反映シート!$C$132=TRUE),反映シート!$E$49,IF(AND(OR(反映シート!$E$15="トラック事業者",反映シート!$E$15="荷主等"),反映シート!$C$132=TRUE),反映シート!$E$88,""))</f>
        <v/>
      </c>
      <c r="O7" s="525"/>
      <c r="P7" s="525"/>
      <c r="Q7" s="525"/>
      <c r="R7" s="525"/>
      <c r="S7" s="525"/>
      <c r="T7" s="525"/>
      <c r="U7" s="525"/>
      <c r="V7" s="525"/>
      <c r="W7" s="525"/>
      <c r="X7" s="525"/>
      <c r="Y7" s="525"/>
      <c r="Z7" s="525"/>
      <c r="AA7" s="525"/>
      <c r="AB7" s="525"/>
      <c r="AC7" s="525"/>
      <c r="AD7" s="525"/>
      <c r="AE7" s="525"/>
      <c r="AF7" s="525"/>
      <c r="AG7" s="525"/>
      <c r="AH7" s="525"/>
      <c r="AI7" s="525"/>
      <c r="AJ7" s="525"/>
      <c r="AK7" s="525"/>
      <c r="AL7" s="525"/>
      <c r="AM7" s="525"/>
      <c r="AN7" s="525"/>
      <c r="AO7" s="525"/>
      <c r="AP7" s="525"/>
      <c r="AQ7" s="525"/>
      <c r="AR7" s="526"/>
      <c r="AS7" s="91"/>
    </row>
    <row r="8" spans="1:45" ht="20.100000000000001" customHeight="1" x14ac:dyDescent="0.15">
      <c r="A8" s="91"/>
      <c r="B8" s="532"/>
      <c r="C8" s="533"/>
      <c r="D8" s="533"/>
      <c r="E8" s="533"/>
      <c r="F8" s="629"/>
      <c r="G8" s="536" t="s">
        <v>382</v>
      </c>
      <c r="H8" s="537"/>
      <c r="I8" s="537"/>
      <c r="J8" s="537"/>
      <c r="K8" s="557"/>
      <c r="L8" s="559" t="s">
        <v>383</v>
      </c>
      <c r="M8" s="544"/>
      <c r="N8" s="560" t="str">
        <f>IF(AND(OR(反映シート!$E$13="トラック事業者",反映シート!$E$13="荷主等"),反映シート!$C$132=TRUE),反映シート!$E$53,IF(AND(OR(反映シート!$E$15="トラック事業者",反映シート!$E$15="荷主等"),反映シート!$C$132=TRUE),反映シート!$E$92,""))</f>
        <v/>
      </c>
      <c r="O8" s="561"/>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1"/>
      <c r="AP8" s="561"/>
      <c r="AQ8" s="561"/>
      <c r="AR8" s="562"/>
      <c r="AS8" s="91"/>
    </row>
    <row r="9" spans="1:45" ht="30" customHeight="1" x14ac:dyDescent="0.15">
      <c r="A9" s="91"/>
      <c r="B9" s="532"/>
      <c r="C9" s="533"/>
      <c r="D9" s="533"/>
      <c r="E9" s="533"/>
      <c r="F9" s="629"/>
      <c r="G9" s="540"/>
      <c r="H9" s="541"/>
      <c r="I9" s="541"/>
      <c r="J9" s="541"/>
      <c r="K9" s="558"/>
      <c r="L9" s="563" t="s">
        <v>384</v>
      </c>
      <c r="M9" s="523"/>
      <c r="N9" s="524" t="str">
        <f>IF(AND(OR(反映シート!$E$13="トラック事業者",反映シート!$E$13="荷主等"),反映シート!$C$132=TRUE),反映シート!$E$51,IF(AND(OR(反映シート!$E$15="トラック事業者",反映シート!$E$15="荷主等"),反映シート!$C$132=TRUE),反映シート!$E$90,""))</f>
        <v/>
      </c>
      <c r="O9" s="525"/>
      <c r="P9" s="525"/>
      <c r="Q9" s="525"/>
      <c r="R9" s="525"/>
      <c r="S9" s="525"/>
      <c r="T9" s="525"/>
      <c r="U9" s="525"/>
      <c r="V9" s="525"/>
      <c r="W9" s="525"/>
      <c r="X9" s="525"/>
      <c r="Y9" s="525"/>
      <c r="Z9" s="525"/>
      <c r="AA9" s="525"/>
      <c r="AB9" s="525"/>
      <c r="AC9" s="525"/>
      <c r="AD9" s="525"/>
      <c r="AE9" s="525"/>
      <c r="AF9" s="525"/>
      <c r="AG9" s="525"/>
      <c r="AH9" s="525"/>
      <c r="AI9" s="525"/>
      <c r="AJ9" s="525"/>
      <c r="AK9" s="525"/>
      <c r="AL9" s="525"/>
      <c r="AM9" s="525"/>
      <c r="AN9" s="525"/>
      <c r="AO9" s="525"/>
      <c r="AP9" s="525"/>
      <c r="AQ9" s="525"/>
      <c r="AR9" s="526"/>
      <c r="AS9" s="91"/>
    </row>
    <row r="10" spans="1:45" ht="19.5" customHeight="1" x14ac:dyDescent="0.15">
      <c r="A10" s="91"/>
      <c r="B10" s="532"/>
      <c r="C10" s="533"/>
      <c r="D10" s="533"/>
      <c r="E10" s="533"/>
      <c r="F10" s="629"/>
      <c r="G10" s="538" t="s">
        <v>385</v>
      </c>
      <c r="H10" s="539"/>
      <c r="I10" s="539"/>
      <c r="J10" s="539"/>
      <c r="K10" s="539"/>
      <c r="L10" s="539"/>
      <c r="M10" s="564"/>
      <c r="N10" s="565" t="s">
        <v>386</v>
      </c>
      <c r="O10" s="566"/>
      <c r="P10" s="566"/>
      <c r="Q10" s="566"/>
      <c r="R10" s="566"/>
      <c r="S10" s="566"/>
      <c r="T10" s="566"/>
      <c r="U10" s="566"/>
      <c r="V10" s="566"/>
      <c r="W10" s="566"/>
      <c r="X10" s="566"/>
      <c r="Y10" s="567"/>
      <c r="Z10" s="568" t="s">
        <v>190</v>
      </c>
      <c r="AA10" s="569"/>
      <c r="AB10" s="569"/>
      <c r="AC10" s="569"/>
      <c r="AD10" s="569"/>
      <c r="AE10" s="569"/>
      <c r="AF10" s="569"/>
      <c r="AG10" s="569"/>
      <c r="AH10" s="569"/>
      <c r="AI10" s="569"/>
      <c r="AJ10" s="569"/>
      <c r="AK10" s="569"/>
      <c r="AL10" s="569"/>
      <c r="AM10" s="569"/>
      <c r="AN10" s="569"/>
      <c r="AO10" s="569"/>
      <c r="AP10" s="569"/>
      <c r="AQ10" s="569"/>
      <c r="AR10" s="570"/>
      <c r="AS10" s="91"/>
    </row>
    <row r="11" spans="1:45" ht="30" customHeight="1" x14ac:dyDescent="0.15">
      <c r="A11" s="91"/>
      <c r="B11" s="532"/>
      <c r="C11" s="533"/>
      <c r="D11" s="533"/>
      <c r="E11" s="533"/>
      <c r="F11" s="629"/>
      <c r="G11" s="540"/>
      <c r="H11" s="541"/>
      <c r="I11" s="541"/>
      <c r="J11" s="541"/>
      <c r="K11" s="541"/>
      <c r="L11" s="541"/>
      <c r="M11" s="558"/>
      <c r="N11" s="555" t="str">
        <f>IF(AND(OR(反映シート!$E$13="トラック事業者",反映シート!$E$13="荷主等"),反映シート!$C$132=TRUE),反映シート!$E$57,IF(AND(OR(反映シート!$E$15="トラック事業者",反映シート!$E$15="荷主等"),反映シート!$C$132=TRUE),反映シート!$E$96,""))</f>
        <v/>
      </c>
      <c r="O11" s="550"/>
      <c r="P11" s="550"/>
      <c r="Q11" s="550"/>
      <c r="R11" s="550"/>
      <c r="S11" s="550"/>
      <c r="T11" s="550"/>
      <c r="U11" s="550"/>
      <c r="V11" s="550"/>
      <c r="W11" s="550"/>
      <c r="X11" s="550"/>
      <c r="Y11" s="556"/>
      <c r="Z11" s="571" t="s">
        <v>69</v>
      </c>
      <c r="AA11" s="552"/>
      <c r="AB11" s="550" t="str">
        <f>IF(AND(OR(反映シート!$E$13="トラック事業者",反映シート!$E$13="荷主等"),反映シート!$C$132=TRUE),反映シート!$E$59,IF(AND(OR(反映シート!$E$15="トラック事業者",反映シート!$E$15="荷主等"),反映シート!$C$132=TRUE),反映シート!$E$98,""))</f>
        <v/>
      </c>
      <c r="AC11" s="550"/>
      <c r="AD11" s="550"/>
      <c r="AE11" s="550"/>
      <c r="AF11" s="550"/>
      <c r="AG11" s="550"/>
      <c r="AH11" s="550"/>
      <c r="AI11" s="551" t="s">
        <v>70</v>
      </c>
      <c r="AJ11" s="552"/>
      <c r="AK11" s="550" t="str">
        <f>IF(AND(OR(反映シート!$E$13="トラック事業者",反映シート!$E$13="荷主等"),反映シート!$C$132=TRUE),反映シート!$E$61,IF(AND(OR(反映シート!$E$15="トラック事業者",反映シート!$E$15="荷主等"),反映シート!$C$132=TRUE),反映シート!$E$100,""))</f>
        <v/>
      </c>
      <c r="AL11" s="550"/>
      <c r="AM11" s="550"/>
      <c r="AN11" s="550"/>
      <c r="AO11" s="550"/>
      <c r="AP11" s="550"/>
      <c r="AQ11" s="550"/>
      <c r="AR11" s="553"/>
      <c r="AS11" s="91"/>
    </row>
    <row r="12" spans="1:45" ht="19.5" customHeight="1" x14ac:dyDescent="0.15">
      <c r="A12" s="91"/>
      <c r="B12" s="532"/>
      <c r="C12" s="533"/>
      <c r="D12" s="533"/>
      <c r="E12" s="533"/>
      <c r="F12" s="629"/>
      <c r="G12" s="554" t="s">
        <v>387</v>
      </c>
      <c r="H12" s="554"/>
      <c r="I12" s="554"/>
      <c r="J12" s="554"/>
      <c r="K12" s="554"/>
      <c r="L12" s="554"/>
      <c r="M12" s="554"/>
      <c r="N12" s="555" t="str">
        <f>IF(AND(OR(反映シート!$E$13="トラック事業者",反映シート!$E$13="荷主等"),反映シート!$C$132=TRUE),反映シート!$G$373,IF(AND(OR(反映シート!$E$15="トラック事業者",反映シート!$E$15="荷主等"),反映シート!$C$132=TRUE),反映シート!$G$387,""))</f>
        <v/>
      </c>
      <c r="O12" s="550"/>
      <c r="P12" s="550"/>
      <c r="Q12" s="550"/>
      <c r="R12" s="550"/>
      <c r="S12" s="550"/>
      <c r="T12" s="550"/>
      <c r="U12" s="550"/>
      <c r="V12" s="550"/>
      <c r="W12" s="550"/>
      <c r="X12" s="550"/>
      <c r="Y12" s="556"/>
      <c r="Z12" s="554" t="s">
        <v>388</v>
      </c>
      <c r="AA12" s="554"/>
      <c r="AB12" s="554"/>
      <c r="AC12" s="554"/>
      <c r="AD12" s="554"/>
      <c r="AE12" s="554"/>
      <c r="AF12" s="554"/>
      <c r="AG12" s="555" t="str">
        <f>IF(AND(OR(反映シート!$E$13="トラック事業者",反映シート!$E$13="荷主等"),反映シート!$C$132=TRUE),反映シート!$G$375,IF(AND(OR(反映シート!$E$15="トラック事業者",反映シート!$E$15="荷主等"),反映シート!$C$132=TRUE),反映シート!$G$389,""))</f>
        <v/>
      </c>
      <c r="AH12" s="550"/>
      <c r="AI12" s="550"/>
      <c r="AJ12" s="550"/>
      <c r="AK12" s="550"/>
      <c r="AL12" s="550"/>
      <c r="AM12" s="550"/>
      <c r="AN12" s="550"/>
      <c r="AO12" s="550"/>
      <c r="AP12" s="550"/>
      <c r="AQ12" s="550"/>
      <c r="AR12" s="553"/>
      <c r="AS12" s="91"/>
    </row>
    <row r="13" spans="1:45" ht="19.5" customHeight="1" x14ac:dyDescent="0.15">
      <c r="A13" s="91"/>
      <c r="B13" s="532"/>
      <c r="C13" s="533"/>
      <c r="D13" s="533"/>
      <c r="E13" s="533"/>
      <c r="F13" s="629"/>
      <c r="G13" s="724" t="s">
        <v>389</v>
      </c>
      <c r="H13" s="724"/>
      <c r="I13" s="724"/>
      <c r="J13" s="724"/>
      <c r="K13" s="724"/>
      <c r="L13" s="724"/>
      <c r="M13" s="724"/>
      <c r="N13" s="524" t="str">
        <f>IF(AND(OR(反映シート!$E$13="トラック事業者",反映シート!$E$13="荷主等"),反映シート!$C$132=TRUE),反映シート!$G$377,IF(AND(OR(反映シート!$E$15="トラック事業者",反映シート!$E$15="荷主等"),反映シート!$C$132=TRUE),反映シート!$G$391,""))</f>
        <v/>
      </c>
      <c r="O13" s="525"/>
      <c r="P13" s="525"/>
      <c r="Q13" s="525"/>
      <c r="R13" s="525"/>
      <c r="S13" s="525"/>
      <c r="T13" s="525"/>
      <c r="U13" s="525"/>
      <c r="V13" s="525"/>
      <c r="W13" s="525"/>
      <c r="X13" s="525"/>
      <c r="Y13" s="525"/>
      <c r="Z13" s="525"/>
      <c r="AA13" s="525"/>
      <c r="AB13" s="525"/>
      <c r="AC13" s="525"/>
      <c r="AD13" s="525"/>
      <c r="AE13" s="525"/>
      <c r="AF13" s="525"/>
      <c r="AG13" s="525"/>
      <c r="AH13" s="525"/>
      <c r="AI13" s="525"/>
      <c r="AJ13" s="525"/>
      <c r="AK13" s="525"/>
      <c r="AL13" s="525"/>
      <c r="AM13" s="525"/>
      <c r="AN13" s="525"/>
      <c r="AO13" s="525"/>
      <c r="AP13" s="525"/>
      <c r="AQ13" s="525"/>
      <c r="AR13" s="526"/>
      <c r="AS13" s="91"/>
    </row>
    <row r="14" spans="1:45" ht="19.5" customHeight="1" x14ac:dyDescent="0.15">
      <c r="A14" s="91"/>
      <c r="B14" s="532"/>
      <c r="C14" s="533"/>
      <c r="D14" s="533"/>
      <c r="E14" s="533"/>
      <c r="F14" s="629"/>
      <c r="G14" s="554" t="s">
        <v>390</v>
      </c>
      <c r="H14" s="554"/>
      <c r="I14" s="554"/>
      <c r="J14" s="554"/>
      <c r="K14" s="554"/>
      <c r="L14" s="554"/>
      <c r="M14" s="554"/>
      <c r="N14" s="555" t="str">
        <f>IF(AND(OR(反映シート!$E$13="トラック事業者",反映シート!$E$13="荷主等"),反映シート!$C$132=TRUE),反映シート!$G$379,IF(AND(OR(反映シート!$E$15="トラック事業者",反映シート!$E$15="荷主等"),反映シート!$C$132=TRUE),反映シート!$G$393,""))</f>
        <v/>
      </c>
      <c r="O14" s="550"/>
      <c r="P14" s="550"/>
      <c r="Q14" s="550"/>
      <c r="R14" s="550"/>
      <c r="S14" s="550"/>
      <c r="T14" s="550"/>
      <c r="U14" s="550"/>
      <c r="V14" s="550"/>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3"/>
      <c r="AS14" s="91"/>
    </row>
    <row r="15" spans="1:45" ht="24.75" customHeight="1" x14ac:dyDescent="0.15">
      <c r="A15" s="91"/>
      <c r="B15" s="532"/>
      <c r="C15" s="533"/>
      <c r="D15" s="533"/>
      <c r="E15" s="533"/>
      <c r="F15" s="629"/>
      <c r="G15" s="575" t="s">
        <v>391</v>
      </c>
      <c r="H15" s="576"/>
      <c r="I15" s="576"/>
      <c r="J15" s="576"/>
      <c r="K15" s="576"/>
      <c r="L15" s="576"/>
      <c r="M15" s="576"/>
      <c r="N15" s="576"/>
      <c r="O15" s="576"/>
      <c r="P15" s="576"/>
      <c r="Q15" s="576"/>
      <c r="R15" s="576"/>
      <c r="S15" s="576"/>
      <c r="T15" s="576"/>
      <c r="U15" s="576"/>
      <c r="V15" s="576"/>
      <c r="W15" s="576"/>
      <c r="X15" s="576"/>
      <c r="Y15" s="576"/>
      <c r="Z15" s="576"/>
      <c r="AA15" s="576"/>
      <c r="AB15" s="576"/>
      <c r="AC15" s="576"/>
      <c r="AD15" s="576"/>
      <c r="AE15" s="576"/>
      <c r="AF15" s="576"/>
      <c r="AG15" s="576"/>
      <c r="AH15" s="576"/>
      <c r="AI15" s="576"/>
      <c r="AJ15" s="576"/>
      <c r="AK15" s="576"/>
      <c r="AL15" s="577"/>
      <c r="AM15" s="607" t="str">
        <f>IF(AND(OR(反映シート!$E$13="トラック事業者",反映シート!$E$13="荷主等",反映シート!$E$15="トラック事業者",反映シート!$E$15="荷主等"),反映シート!$C$132=TRUE),反映シート!$I$230,"")</f>
        <v/>
      </c>
      <c r="AN15" s="608"/>
      <c r="AO15" s="608"/>
      <c r="AP15" s="608"/>
      <c r="AQ15" s="609" t="s">
        <v>392</v>
      </c>
      <c r="AR15" s="610"/>
      <c r="AS15" s="91"/>
    </row>
    <row r="16" spans="1:45" ht="24.75" customHeight="1" x14ac:dyDescent="0.15">
      <c r="A16" s="91"/>
      <c r="B16" s="532"/>
      <c r="C16" s="533"/>
      <c r="D16" s="533"/>
      <c r="E16" s="533"/>
      <c r="F16" s="629"/>
      <c r="G16" s="592" t="s">
        <v>393</v>
      </c>
      <c r="H16" s="592"/>
      <c r="I16" s="592"/>
      <c r="J16" s="592"/>
      <c r="K16" s="592"/>
      <c r="L16" s="592"/>
      <c r="M16" s="568"/>
      <c r="N16" s="591" t="s">
        <v>394</v>
      </c>
      <c r="O16" s="591"/>
      <c r="P16" s="591"/>
      <c r="Q16" s="591"/>
      <c r="R16" s="591"/>
      <c r="S16" s="591"/>
      <c r="T16" s="591"/>
      <c r="U16" s="591"/>
      <c r="V16" s="591"/>
      <c r="W16" s="591"/>
      <c r="X16" s="591"/>
      <c r="Y16" s="591"/>
      <c r="Z16" s="591"/>
      <c r="AA16" s="591"/>
      <c r="AB16" s="591"/>
      <c r="AC16" s="591"/>
      <c r="AD16" s="591"/>
      <c r="AE16" s="591"/>
      <c r="AF16" s="591"/>
      <c r="AG16" s="591"/>
      <c r="AH16" s="591"/>
      <c r="AI16" s="591"/>
      <c r="AJ16" s="591"/>
      <c r="AK16" s="591"/>
      <c r="AL16" s="591"/>
      <c r="AM16" s="591"/>
      <c r="AN16" s="591"/>
      <c r="AO16" s="591"/>
      <c r="AP16" s="591"/>
      <c r="AQ16" s="591"/>
      <c r="AR16" s="593"/>
      <c r="AS16" s="91"/>
    </row>
    <row r="17" spans="1:45" ht="24.75" customHeight="1" x14ac:dyDescent="0.15">
      <c r="A17" s="91"/>
      <c r="B17" s="532"/>
      <c r="C17" s="533"/>
      <c r="D17" s="533"/>
      <c r="E17" s="533"/>
      <c r="F17" s="629"/>
      <c r="G17" s="592"/>
      <c r="H17" s="592"/>
      <c r="I17" s="592"/>
      <c r="J17" s="592"/>
      <c r="K17" s="592"/>
      <c r="L17" s="592"/>
      <c r="M17" s="592"/>
      <c r="N17" s="565" t="s">
        <v>395</v>
      </c>
      <c r="O17" s="566"/>
      <c r="P17" s="567"/>
      <c r="Q17" s="575" t="s">
        <v>396</v>
      </c>
      <c r="R17" s="576"/>
      <c r="S17" s="576"/>
      <c r="T17" s="576"/>
      <c r="U17" s="576"/>
      <c r="V17" s="576"/>
      <c r="W17" s="576"/>
      <c r="X17" s="576"/>
      <c r="Y17" s="576"/>
      <c r="Z17" s="576"/>
      <c r="AA17" s="576"/>
      <c r="AB17" s="576"/>
      <c r="AC17" s="576"/>
      <c r="AD17" s="576"/>
      <c r="AE17" s="576"/>
      <c r="AF17" s="576"/>
      <c r="AG17" s="576"/>
      <c r="AH17" s="576"/>
      <c r="AI17" s="576"/>
      <c r="AJ17" s="576"/>
      <c r="AK17" s="576"/>
      <c r="AL17" s="577"/>
      <c r="AM17" s="594" t="str">
        <f>IF(AND(OR(反映シート!$E$13="トラック事業者",反映シート!$E$13="荷主等"),反映シート!$C$132=TRUE),反映シート!$M$71,IF(AND(OR(反映シート!$E$15="トラック事業者",反映シート!$E$15="荷主等"),反映シート!$C$132=TRUE),反映シート!$M$110,""))</f>
        <v/>
      </c>
      <c r="AN17" s="595"/>
      <c r="AO17" s="595"/>
      <c r="AP17" s="595"/>
      <c r="AQ17" s="595"/>
      <c r="AR17" s="596"/>
      <c r="AS17" s="91"/>
    </row>
    <row r="18" spans="1:45" ht="24.75" customHeight="1" x14ac:dyDescent="0.15">
      <c r="A18" s="91"/>
      <c r="B18" s="532"/>
      <c r="C18" s="533"/>
      <c r="D18" s="533"/>
      <c r="E18" s="533"/>
      <c r="F18" s="629"/>
      <c r="G18" s="592"/>
      <c r="H18" s="592"/>
      <c r="I18" s="592"/>
      <c r="J18" s="592"/>
      <c r="K18" s="592"/>
      <c r="L18" s="592"/>
      <c r="M18" s="592"/>
      <c r="N18" s="565" t="s">
        <v>397</v>
      </c>
      <c r="O18" s="566"/>
      <c r="P18" s="567"/>
      <c r="Q18" s="575" t="s">
        <v>398</v>
      </c>
      <c r="R18" s="576"/>
      <c r="S18" s="576"/>
      <c r="T18" s="576"/>
      <c r="U18" s="576"/>
      <c r="V18" s="576"/>
      <c r="W18" s="576"/>
      <c r="X18" s="576"/>
      <c r="Y18" s="576"/>
      <c r="Z18" s="576"/>
      <c r="AA18" s="576"/>
      <c r="AB18" s="576"/>
      <c r="AC18" s="576"/>
      <c r="AD18" s="576"/>
      <c r="AE18" s="576"/>
      <c r="AF18" s="576"/>
      <c r="AG18" s="576"/>
      <c r="AH18" s="576"/>
      <c r="AI18" s="576"/>
      <c r="AJ18" s="576"/>
      <c r="AK18" s="576"/>
      <c r="AL18" s="577"/>
      <c r="AM18" s="597"/>
      <c r="AN18" s="598"/>
      <c r="AO18" s="598"/>
      <c r="AP18" s="598"/>
      <c r="AQ18" s="598"/>
      <c r="AR18" s="599"/>
      <c r="AS18" s="91"/>
    </row>
    <row r="19" spans="1:45" ht="24.75" customHeight="1" x14ac:dyDescent="0.15">
      <c r="A19" s="91"/>
      <c r="B19" s="532"/>
      <c r="C19" s="533"/>
      <c r="D19" s="533"/>
      <c r="E19" s="533"/>
      <c r="F19" s="629"/>
      <c r="G19" s="592"/>
      <c r="H19" s="592"/>
      <c r="I19" s="592"/>
      <c r="J19" s="592"/>
      <c r="K19" s="592"/>
      <c r="L19" s="592"/>
      <c r="M19" s="592"/>
      <c r="N19" s="565" t="s">
        <v>399</v>
      </c>
      <c r="O19" s="566"/>
      <c r="P19" s="567"/>
      <c r="Q19" s="575" t="s">
        <v>400</v>
      </c>
      <c r="R19" s="576"/>
      <c r="S19" s="576"/>
      <c r="T19" s="576"/>
      <c r="U19" s="576"/>
      <c r="V19" s="576"/>
      <c r="W19" s="576"/>
      <c r="X19" s="576"/>
      <c r="Y19" s="576"/>
      <c r="Z19" s="576"/>
      <c r="AA19" s="576"/>
      <c r="AB19" s="576"/>
      <c r="AC19" s="576"/>
      <c r="AD19" s="576"/>
      <c r="AE19" s="576"/>
      <c r="AF19" s="576"/>
      <c r="AG19" s="576"/>
      <c r="AH19" s="576"/>
      <c r="AI19" s="576"/>
      <c r="AJ19" s="576"/>
      <c r="AK19" s="576"/>
      <c r="AL19" s="577"/>
      <c r="AM19" s="597"/>
      <c r="AN19" s="598"/>
      <c r="AO19" s="598"/>
      <c r="AP19" s="598"/>
      <c r="AQ19" s="598"/>
      <c r="AR19" s="599"/>
      <c r="AS19" s="91"/>
    </row>
    <row r="20" spans="1:45" ht="24.75" customHeight="1" x14ac:dyDescent="0.15">
      <c r="A20" s="91"/>
      <c r="B20" s="532"/>
      <c r="C20" s="533"/>
      <c r="D20" s="533"/>
      <c r="E20" s="533"/>
      <c r="F20" s="629"/>
      <c r="G20" s="592"/>
      <c r="H20" s="592"/>
      <c r="I20" s="592"/>
      <c r="J20" s="592"/>
      <c r="K20" s="592"/>
      <c r="L20" s="592"/>
      <c r="M20" s="592"/>
      <c r="N20" s="536" t="s">
        <v>401</v>
      </c>
      <c r="O20" s="537"/>
      <c r="P20" s="557"/>
      <c r="Q20" s="584" t="s">
        <v>402</v>
      </c>
      <c r="R20" s="749"/>
      <c r="S20" s="749"/>
      <c r="T20" s="749"/>
      <c r="U20" s="749"/>
      <c r="V20" s="749"/>
      <c r="W20" s="749"/>
      <c r="X20" s="749"/>
      <c r="Y20" s="749"/>
      <c r="Z20" s="749"/>
      <c r="AA20" s="749"/>
      <c r="AB20" s="749"/>
      <c r="AC20" s="749"/>
      <c r="AD20" s="749"/>
      <c r="AE20" s="749"/>
      <c r="AF20" s="749"/>
      <c r="AG20" s="749"/>
      <c r="AH20" s="749"/>
      <c r="AI20" s="749"/>
      <c r="AJ20" s="749"/>
      <c r="AK20" s="749"/>
      <c r="AL20" s="750"/>
      <c r="AM20" s="597"/>
      <c r="AN20" s="598"/>
      <c r="AO20" s="598"/>
      <c r="AP20" s="598"/>
      <c r="AQ20" s="598"/>
      <c r="AR20" s="599"/>
      <c r="AS20" s="91"/>
    </row>
    <row r="21" spans="1:45" ht="24.75" customHeight="1" x14ac:dyDescent="0.15">
      <c r="A21" s="91"/>
      <c r="B21" s="532"/>
      <c r="C21" s="533"/>
      <c r="D21" s="533"/>
      <c r="E21" s="533"/>
      <c r="F21" s="629"/>
      <c r="G21" s="731"/>
      <c r="H21" s="731"/>
      <c r="I21" s="731"/>
      <c r="J21" s="731"/>
      <c r="K21" s="731"/>
      <c r="L21" s="731"/>
      <c r="M21" s="731"/>
      <c r="N21" s="540"/>
      <c r="O21" s="541"/>
      <c r="P21" s="558"/>
      <c r="Q21" s="751"/>
      <c r="R21" s="752"/>
      <c r="S21" s="752"/>
      <c r="T21" s="752"/>
      <c r="U21" s="752"/>
      <c r="V21" s="752"/>
      <c r="W21" s="752"/>
      <c r="X21" s="752"/>
      <c r="Y21" s="752"/>
      <c r="Z21" s="752"/>
      <c r="AA21" s="752"/>
      <c r="AB21" s="752"/>
      <c r="AC21" s="752"/>
      <c r="AD21" s="752"/>
      <c r="AE21" s="752"/>
      <c r="AF21" s="752"/>
      <c r="AG21" s="752"/>
      <c r="AH21" s="752"/>
      <c r="AI21" s="752"/>
      <c r="AJ21" s="752"/>
      <c r="AK21" s="752"/>
      <c r="AL21" s="753"/>
      <c r="AM21" s="597"/>
      <c r="AN21" s="598"/>
      <c r="AO21" s="598"/>
      <c r="AP21" s="598"/>
      <c r="AQ21" s="598"/>
      <c r="AR21" s="599"/>
      <c r="AS21" s="91"/>
    </row>
    <row r="22" spans="1:45" ht="24.75" customHeight="1" thickBot="1" x14ac:dyDescent="0.2">
      <c r="A22" s="91"/>
      <c r="B22" s="534"/>
      <c r="C22" s="535"/>
      <c r="D22" s="535"/>
      <c r="E22" s="535"/>
      <c r="F22" s="630"/>
      <c r="G22" s="745"/>
      <c r="H22" s="745"/>
      <c r="I22" s="745"/>
      <c r="J22" s="745"/>
      <c r="K22" s="745"/>
      <c r="L22" s="745"/>
      <c r="M22" s="745"/>
      <c r="N22" s="754" t="s">
        <v>403</v>
      </c>
      <c r="O22" s="755"/>
      <c r="P22" s="640"/>
      <c r="Q22" s="756" t="s">
        <v>404</v>
      </c>
      <c r="R22" s="757"/>
      <c r="S22" s="757"/>
      <c r="T22" s="757"/>
      <c r="U22" s="757"/>
      <c r="V22" s="757"/>
      <c r="W22" s="757"/>
      <c r="X22" s="757"/>
      <c r="Y22" s="757"/>
      <c r="Z22" s="757"/>
      <c r="AA22" s="757"/>
      <c r="AB22" s="757"/>
      <c r="AC22" s="757"/>
      <c r="AD22" s="757"/>
      <c r="AE22" s="757"/>
      <c r="AF22" s="757"/>
      <c r="AG22" s="757"/>
      <c r="AH22" s="757"/>
      <c r="AI22" s="757"/>
      <c r="AJ22" s="757"/>
      <c r="AK22" s="757"/>
      <c r="AL22" s="758"/>
      <c r="AM22" s="746"/>
      <c r="AN22" s="747"/>
      <c r="AO22" s="747"/>
      <c r="AP22" s="747"/>
      <c r="AQ22" s="747"/>
      <c r="AR22" s="748"/>
      <c r="AS22" s="91"/>
    </row>
    <row r="23" spans="1:45" ht="4.5" customHeight="1" x14ac:dyDescent="0.15">
      <c r="A23" s="91"/>
      <c r="B23" s="161"/>
      <c r="C23" s="161"/>
      <c r="D23" s="161"/>
      <c r="E23" s="161"/>
      <c r="F23" s="161"/>
      <c r="G23" s="162"/>
      <c r="H23" s="162"/>
      <c r="I23" s="162"/>
      <c r="J23" s="162"/>
      <c r="K23" s="162"/>
      <c r="L23" s="162"/>
      <c r="M23" s="162"/>
      <c r="N23" s="625"/>
      <c r="O23" s="625"/>
      <c r="P23" s="625"/>
      <c r="Q23" s="91"/>
      <c r="R23" s="91"/>
      <c r="S23" s="91"/>
      <c r="T23" s="91"/>
      <c r="U23" s="91"/>
      <c r="V23" s="91"/>
      <c r="W23" s="91"/>
      <c r="X23" s="91"/>
      <c r="Y23" s="91"/>
      <c r="Z23" s="91"/>
      <c r="AA23" s="91"/>
      <c r="AB23" s="91"/>
      <c r="AC23" s="91"/>
      <c r="AD23" s="91"/>
      <c r="AE23" s="91"/>
      <c r="AF23" s="91"/>
      <c r="AG23" s="91"/>
      <c r="AH23" s="91"/>
      <c r="AI23" s="91"/>
      <c r="AJ23" s="91"/>
      <c r="AK23" s="91"/>
      <c r="AL23" s="91"/>
      <c r="AM23" s="161"/>
      <c r="AN23" s="161"/>
      <c r="AO23" s="161"/>
      <c r="AP23" s="161"/>
      <c r="AQ23" s="161"/>
      <c r="AR23" s="161"/>
      <c r="AS23" s="91"/>
    </row>
    <row r="24" spans="1:45" ht="4.5" customHeight="1" thickBot="1" x14ac:dyDescent="0.2">
      <c r="A24" s="91"/>
      <c r="B24" s="161"/>
      <c r="C24" s="161"/>
      <c r="D24" s="161"/>
      <c r="E24" s="161"/>
      <c r="F24" s="161"/>
      <c r="G24" s="162"/>
      <c r="H24" s="162"/>
      <c r="I24" s="162"/>
      <c r="J24" s="162"/>
      <c r="K24" s="162"/>
      <c r="L24" s="162"/>
      <c r="M24" s="162"/>
      <c r="N24" s="625"/>
      <c r="O24" s="625"/>
      <c r="P24" s="625"/>
      <c r="Q24" s="91"/>
      <c r="R24" s="91"/>
      <c r="S24" s="91"/>
      <c r="T24" s="91"/>
      <c r="U24" s="91"/>
      <c r="V24" s="91"/>
      <c r="W24" s="91"/>
      <c r="X24" s="91"/>
      <c r="Y24" s="91"/>
      <c r="Z24" s="91"/>
      <c r="AA24" s="91"/>
      <c r="AB24" s="91"/>
      <c r="AC24" s="91"/>
      <c r="AD24" s="91"/>
      <c r="AE24" s="91"/>
      <c r="AF24" s="91"/>
      <c r="AG24" s="91"/>
      <c r="AH24" s="91"/>
      <c r="AI24" s="91"/>
      <c r="AJ24" s="91"/>
      <c r="AK24" s="91"/>
      <c r="AL24" s="91"/>
      <c r="AM24" s="161"/>
      <c r="AN24" s="161"/>
      <c r="AO24" s="161"/>
      <c r="AP24" s="161"/>
      <c r="AQ24" s="161"/>
      <c r="AR24" s="161"/>
      <c r="AS24" s="91"/>
    </row>
    <row r="25" spans="1:45" ht="15" customHeight="1" x14ac:dyDescent="0.15">
      <c r="A25" s="91"/>
      <c r="B25" s="626" t="s">
        <v>405</v>
      </c>
      <c r="C25" s="627"/>
      <c r="D25" s="627"/>
      <c r="E25" s="627"/>
      <c r="F25" s="627"/>
      <c r="G25" s="715" t="s">
        <v>381</v>
      </c>
      <c r="H25" s="631"/>
      <c r="I25" s="631"/>
      <c r="J25" s="716"/>
      <c r="K25" s="632" t="s">
        <v>78</v>
      </c>
      <c r="L25" s="633"/>
      <c r="M25" s="634"/>
      <c r="N25" s="635" t="s">
        <v>450</v>
      </c>
      <c r="O25" s="636"/>
      <c r="P25" s="637" t="str">
        <f>IF(AND(反映シート!$E$13="リース事業者",反映シート!$C$132=TRUE),LEFT(反映シート!$E$41,3),IF(AND(反映シート!$E$15="リース事業者",反映シート!$C$132=TRUE),LEFT(反映シート!$E$80,3),""))</f>
        <v/>
      </c>
      <c r="Q25" s="638"/>
      <c r="R25" s="639"/>
      <c r="S25" s="90" t="s">
        <v>406</v>
      </c>
      <c r="T25" s="660" t="str">
        <f>IF(AND(反映シート!$E$13="リース事業者",反映シート!$C$132=TRUE),RIGHT(反映シート!$E$41,4),IF(AND(反映シート!$E$15="リース事業者",反映シート!$C$132=TRUE),RIGHT(反映シート!$E$80,4),""))</f>
        <v/>
      </c>
      <c r="U25" s="660"/>
      <c r="V25" s="660"/>
      <c r="W25" s="660"/>
      <c r="X25" s="655" t="str">
        <f>IF(AND(反映シート!$E$13="リース事業者",反映シート!$C$132=TRUE),"✓","")</f>
        <v/>
      </c>
      <c r="Y25" s="656"/>
      <c r="Z25" s="653" t="s">
        <v>452</v>
      </c>
      <c r="AA25" s="653"/>
      <c r="AB25" s="653"/>
      <c r="AC25" s="653"/>
      <c r="AD25" s="653"/>
      <c r="AE25" s="653"/>
      <c r="AF25" s="653"/>
      <c r="AG25" s="653"/>
      <c r="AH25" s="653"/>
      <c r="AI25" s="653"/>
      <c r="AJ25" s="653"/>
      <c r="AK25" s="653"/>
      <c r="AL25" s="653"/>
      <c r="AM25" s="653"/>
      <c r="AN25" s="653"/>
      <c r="AO25" s="653"/>
      <c r="AP25" s="653"/>
      <c r="AQ25" s="653"/>
      <c r="AR25" s="654"/>
      <c r="AS25" s="91"/>
    </row>
    <row r="26" spans="1:45" ht="15" customHeight="1" x14ac:dyDescent="0.15">
      <c r="A26" s="91"/>
      <c r="B26" s="532"/>
      <c r="C26" s="533"/>
      <c r="D26" s="533"/>
      <c r="E26" s="533"/>
      <c r="F26" s="533"/>
      <c r="G26" s="538"/>
      <c r="H26" s="539"/>
      <c r="I26" s="539"/>
      <c r="J26" s="666"/>
      <c r="K26" s="512" t="s">
        <v>79</v>
      </c>
      <c r="L26" s="513"/>
      <c r="M26" s="514"/>
      <c r="N26" s="518" t="str">
        <f>IF(AND(反映シート!$E$13="リース事業者",反映シート!$C$132=TRUE),反映シート!$E$43,IF(AND(反映シート!$E$15="リース事業者",反映シート!$C$132=TRUE),反映シート!$E$82,""))</f>
        <v/>
      </c>
      <c r="O26" s="519"/>
      <c r="P26" s="519"/>
      <c r="Q26" s="519"/>
      <c r="R26" s="519"/>
      <c r="S26" s="519"/>
      <c r="T26" s="519"/>
      <c r="U26" s="519"/>
      <c r="V26" s="519"/>
      <c r="W26" s="519"/>
      <c r="X26" s="657"/>
      <c r="Y26" s="658"/>
      <c r="Z26" s="651"/>
      <c r="AA26" s="651"/>
      <c r="AB26" s="651"/>
      <c r="AC26" s="651"/>
      <c r="AD26" s="651"/>
      <c r="AE26" s="651"/>
      <c r="AF26" s="651"/>
      <c r="AG26" s="651"/>
      <c r="AH26" s="651"/>
      <c r="AI26" s="651"/>
      <c r="AJ26" s="651"/>
      <c r="AK26" s="651"/>
      <c r="AL26" s="651"/>
      <c r="AM26" s="651"/>
      <c r="AN26" s="651"/>
      <c r="AO26" s="651"/>
      <c r="AP26" s="651"/>
      <c r="AQ26" s="651"/>
      <c r="AR26" s="652"/>
      <c r="AS26" s="91"/>
    </row>
    <row r="27" spans="1:45" ht="15" customHeight="1" x14ac:dyDescent="0.15">
      <c r="A27" s="91"/>
      <c r="B27" s="532"/>
      <c r="C27" s="533"/>
      <c r="D27" s="533"/>
      <c r="E27" s="533"/>
      <c r="F27" s="533"/>
      <c r="G27" s="538"/>
      <c r="H27" s="539"/>
      <c r="I27" s="539"/>
      <c r="J27" s="666"/>
      <c r="K27" s="512" t="s">
        <v>81</v>
      </c>
      <c r="L27" s="513"/>
      <c r="M27" s="514"/>
      <c r="N27" s="515" t="str">
        <f>IF(AND(反映シート!$E$13="リース事業者",反映シート!$C$132=TRUE),反映シート!$E$45,IF(AND(反映シート!$E$15="リース事業者",反映シート!$C$132=TRUE),反映シート!$E$84,""))</f>
        <v/>
      </c>
      <c r="O27" s="516"/>
      <c r="P27" s="516"/>
      <c r="Q27" s="516"/>
      <c r="R27" s="516"/>
      <c r="S27" s="516"/>
      <c r="T27" s="516"/>
      <c r="U27" s="516"/>
      <c r="V27" s="516"/>
      <c r="W27" s="516"/>
      <c r="X27" s="516"/>
      <c r="Y27" s="516"/>
      <c r="Z27" s="516"/>
      <c r="AA27" s="516"/>
      <c r="AB27" s="516"/>
      <c r="AC27" s="516"/>
      <c r="AD27" s="516"/>
      <c r="AE27" s="516"/>
      <c r="AF27" s="516"/>
      <c r="AG27" s="516"/>
      <c r="AH27" s="516"/>
      <c r="AI27" s="516"/>
      <c r="AJ27" s="516"/>
      <c r="AK27" s="516"/>
      <c r="AL27" s="516"/>
      <c r="AM27" s="516"/>
      <c r="AN27" s="516"/>
      <c r="AO27" s="516"/>
      <c r="AP27" s="516"/>
      <c r="AQ27" s="516"/>
      <c r="AR27" s="517"/>
      <c r="AS27" s="91"/>
    </row>
    <row r="28" spans="1:45" ht="15" customHeight="1" x14ac:dyDescent="0.15">
      <c r="A28" s="91"/>
      <c r="B28" s="532"/>
      <c r="C28" s="533"/>
      <c r="D28" s="533"/>
      <c r="E28" s="533"/>
      <c r="F28" s="533"/>
      <c r="G28" s="538"/>
      <c r="H28" s="539"/>
      <c r="I28" s="539"/>
      <c r="J28" s="666"/>
      <c r="K28" s="512" t="s">
        <v>82</v>
      </c>
      <c r="L28" s="513"/>
      <c r="M28" s="514"/>
      <c r="N28" s="518" t="str">
        <f>IF(AND(反映シート!$E$13="リース事業者",反映シート!$C$132=TRUE),反映シート!$E$47,IF(AND(反映シート!$E$15="リース事業者",反映シート!$C$132=TRUE),反映シート!$E$86,""))</f>
        <v/>
      </c>
      <c r="O28" s="519"/>
      <c r="P28" s="519"/>
      <c r="Q28" s="519"/>
      <c r="R28" s="519"/>
      <c r="S28" s="519"/>
      <c r="T28" s="519"/>
      <c r="U28" s="519"/>
      <c r="V28" s="519"/>
      <c r="W28" s="519"/>
      <c r="X28" s="519"/>
      <c r="Y28" s="519"/>
      <c r="Z28" s="519"/>
      <c r="AA28" s="519"/>
      <c r="AB28" s="519"/>
      <c r="AC28" s="519"/>
      <c r="AD28" s="519"/>
      <c r="AE28" s="519"/>
      <c r="AF28" s="519"/>
      <c r="AG28" s="519"/>
      <c r="AH28" s="519"/>
      <c r="AI28" s="519"/>
      <c r="AJ28" s="519"/>
      <c r="AK28" s="519"/>
      <c r="AL28" s="519"/>
      <c r="AM28" s="519"/>
      <c r="AN28" s="519"/>
      <c r="AO28" s="519"/>
      <c r="AP28" s="519"/>
      <c r="AQ28" s="519"/>
      <c r="AR28" s="520"/>
      <c r="AS28" s="91"/>
    </row>
    <row r="29" spans="1:45" ht="15" customHeight="1" x14ac:dyDescent="0.15">
      <c r="A29" s="91"/>
      <c r="B29" s="532"/>
      <c r="C29" s="533"/>
      <c r="D29" s="533"/>
      <c r="E29" s="533"/>
      <c r="F29" s="533"/>
      <c r="G29" s="540"/>
      <c r="H29" s="541"/>
      <c r="I29" s="541"/>
      <c r="J29" s="667"/>
      <c r="K29" s="521" t="s">
        <v>83</v>
      </c>
      <c r="L29" s="522"/>
      <c r="M29" s="523"/>
      <c r="N29" s="524" t="str">
        <f>IF(AND(反映シート!$E$13="リース事業者",反映シート!$C$132=TRUE),反映シート!$E$49,IF(AND(反映シート!$E$15="リース事業者",反映シート!$C$132=TRUE),反映シート!$E$88,""))</f>
        <v/>
      </c>
      <c r="O29" s="525"/>
      <c r="P29" s="525"/>
      <c r="Q29" s="525"/>
      <c r="R29" s="525"/>
      <c r="S29" s="525"/>
      <c r="T29" s="525"/>
      <c r="U29" s="525"/>
      <c r="V29" s="525"/>
      <c r="W29" s="525"/>
      <c r="X29" s="525"/>
      <c r="Y29" s="525"/>
      <c r="Z29" s="525"/>
      <c r="AA29" s="525"/>
      <c r="AB29" s="525"/>
      <c r="AC29" s="525"/>
      <c r="AD29" s="525"/>
      <c r="AE29" s="525"/>
      <c r="AF29" s="525"/>
      <c r="AG29" s="525"/>
      <c r="AH29" s="525"/>
      <c r="AI29" s="525"/>
      <c r="AJ29" s="525"/>
      <c r="AK29" s="525"/>
      <c r="AL29" s="525"/>
      <c r="AM29" s="525"/>
      <c r="AN29" s="525"/>
      <c r="AO29" s="525"/>
      <c r="AP29" s="525"/>
      <c r="AQ29" s="525"/>
      <c r="AR29" s="526"/>
      <c r="AS29" s="91"/>
    </row>
    <row r="30" spans="1:45" ht="19.5" customHeight="1" x14ac:dyDescent="0.15">
      <c r="A30" s="91"/>
      <c r="B30" s="532"/>
      <c r="C30" s="533"/>
      <c r="D30" s="533"/>
      <c r="E30" s="533"/>
      <c r="F30" s="533"/>
      <c r="G30" s="536" t="s">
        <v>382</v>
      </c>
      <c r="H30" s="537"/>
      <c r="I30" s="537"/>
      <c r="J30" s="537"/>
      <c r="K30" s="557"/>
      <c r="L30" s="559" t="s">
        <v>383</v>
      </c>
      <c r="M30" s="544"/>
      <c r="N30" s="560" t="str">
        <f>IF(AND(反映シート!$E$13="リース事業者",反映シート!$C$132=TRUE),反映シート!$E$53,IF(AND(反映シート!$E$15="リース事業者",反映シート!$C$132=TRUE),反映シート!$E$92,""))</f>
        <v/>
      </c>
      <c r="O30" s="561"/>
      <c r="P30" s="561"/>
      <c r="Q30" s="561"/>
      <c r="R30" s="561"/>
      <c r="S30" s="561"/>
      <c r="T30" s="561"/>
      <c r="U30" s="561"/>
      <c r="V30" s="561"/>
      <c r="W30" s="561"/>
      <c r="X30" s="561"/>
      <c r="Y30" s="561"/>
      <c r="Z30" s="561"/>
      <c r="AA30" s="561"/>
      <c r="AB30" s="561"/>
      <c r="AC30" s="561"/>
      <c r="AD30" s="561"/>
      <c r="AE30" s="561"/>
      <c r="AF30" s="561"/>
      <c r="AG30" s="561"/>
      <c r="AH30" s="561"/>
      <c r="AI30" s="561"/>
      <c r="AJ30" s="561"/>
      <c r="AK30" s="561"/>
      <c r="AL30" s="561"/>
      <c r="AM30" s="561"/>
      <c r="AN30" s="561"/>
      <c r="AO30" s="561"/>
      <c r="AP30" s="561"/>
      <c r="AQ30" s="561"/>
      <c r="AR30" s="562"/>
      <c r="AS30" s="91"/>
    </row>
    <row r="31" spans="1:45" ht="30" customHeight="1" x14ac:dyDescent="0.15">
      <c r="A31" s="91"/>
      <c r="B31" s="532"/>
      <c r="C31" s="533"/>
      <c r="D31" s="533"/>
      <c r="E31" s="533"/>
      <c r="F31" s="533"/>
      <c r="G31" s="540"/>
      <c r="H31" s="541"/>
      <c r="I31" s="541"/>
      <c r="J31" s="541"/>
      <c r="K31" s="558"/>
      <c r="L31" s="563" t="s">
        <v>384</v>
      </c>
      <c r="M31" s="523"/>
      <c r="N31" s="524" t="str">
        <f>IF(AND(反映シート!$E$13="リース事業者",反映シート!$C$132=TRUE),反映シート!$E$51,IF(AND(反映シート!$E$15="リース事業者",反映シート!$C$132=TRUE),反映シート!$E$90,""))</f>
        <v/>
      </c>
      <c r="O31" s="525"/>
      <c r="P31" s="525"/>
      <c r="Q31" s="525"/>
      <c r="R31" s="525"/>
      <c r="S31" s="525"/>
      <c r="T31" s="525"/>
      <c r="U31" s="525"/>
      <c r="V31" s="525"/>
      <c r="W31" s="525"/>
      <c r="X31" s="525"/>
      <c r="Y31" s="525"/>
      <c r="Z31" s="525"/>
      <c r="AA31" s="525"/>
      <c r="AB31" s="525"/>
      <c r="AC31" s="525"/>
      <c r="AD31" s="525"/>
      <c r="AE31" s="525"/>
      <c r="AF31" s="525"/>
      <c r="AG31" s="525"/>
      <c r="AH31" s="525"/>
      <c r="AI31" s="525"/>
      <c r="AJ31" s="525"/>
      <c r="AK31" s="525"/>
      <c r="AL31" s="525"/>
      <c r="AM31" s="525"/>
      <c r="AN31" s="525"/>
      <c r="AO31" s="525"/>
      <c r="AP31" s="525"/>
      <c r="AQ31" s="525"/>
      <c r="AR31" s="526"/>
      <c r="AS31" s="91"/>
    </row>
    <row r="32" spans="1:45" ht="19.5" customHeight="1" x14ac:dyDescent="0.15">
      <c r="A32" s="91"/>
      <c r="B32" s="532"/>
      <c r="C32" s="533"/>
      <c r="D32" s="533"/>
      <c r="E32" s="533"/>
      <c r="F32" s="533"/>
      <c r="G32" s="536" t="s">
        <v>407</v>
      </c>
      <c r="H32" s="537"/>
      <c r="I32" s="537"/>
      <c r="J32" s="537"/>
      <c r="K32" s="537"/>
      <c r="L32" s="537"/>
      <c r="M32" s="557"/>
      <c r="N32" s="565" t="s">
        <v>386</v>
      </c>
      <c r="O32" s="566"/>
      <c r="P32" s="566"/>
      <c r="Q32" s="566"/>
      <c r="R32" s="566"/>
      <c r="S32" s="566"/>
      <c r="T32" s="566"/>
      <c r="U32" s="566"/>
      <c r="V32" s="566"/>
      <c r="W32" s="566"/>
      <c r="X32" s="566"/>
      <c r="Y32" s="567"/>
      <c r="Z32" s="568" t="s">
        <v>190</v>
      </c>
      <c r="AA32" s="569"/>
      <c r="AB32" s="569"/>
      <c r="AC32" s="569"/>
      <c r="AD32" s="569"/>
      <c r="AE32" s="569"/>
      <c r="AF32" s="569"/>
      <c r="AG32" s="569"/>
      <c r="AH32" s="569"/>
      <c r="AI32" s="569"/>
      <c r="AJ32" s="569"/>
      <c r="AK32" s="569"/>
      <c r="AL32" s="569"/>
      <c r="AM32" s="569"/>
      <c r="AN32" s="569"/>
      <c r="AO32" s="569"/>
      <c r="AP32" s="569"/>
      <c r="AQ32" s="569"/>
      <c r="AR32" s="570"/>
      <c r="AS32" s="91"/>
    </row>
    <row r="33" spans="1:45" ht="30" customHeight="1" x14ac:dyDescent="0.15">
      <c r="A33" s="91"/>
      <c r="B33" s="532"/>
      <c r="C33" s="533"/>
      <c r="D33" s="533"/>
      <c r="E33" s="533"/>
      <c r="F33" s="533"/>
      <c r="G33" s="538"/>
      <c r="H33" s="539"/>
      <c r="I33" s="539"/>
      <c r="J33" s="539"/>
      <c r="K33" s="539"/>
      <c r="L33" s="539"/>
      <c r="M33" s="564"/>
      <c r="N33" s="555" t="str">
        <f>IF(AND(反映シート!$E$13="リース事業者",反映シート!$C$132=TRUE),反映シート!$E$57,IF(AND(反映シート!$E$15="リース事業者",反映シート!$C$132=TRUE),反映シート!$E$96,""))</f>
        <v/>
      </c>
      <c r="O33" s="550"/>
      <c r="P33" s="550"/>
      <c r="Q33" s="550"/>
      <c r="R33" s="550"/>
      <c r="S33" s="550"/>
      <c r="T33" s="550"/>
      <c r="U33" s="550"/>
      <c r="V33" s="550"/>
      <c r="W33" s="550"/>
      <c r="X33" s="550"/>
      <c r="Y33" s="556"/>
      <c r="Z33" s="571" t="s">
        <v>69</v>
      </c>
      <c r="AA33" s="552"/>
      <c r="AB33" s="550" t="str">
        <f>IF(AND(反映シート!$E$13="リース事業者",反映シート!$C$132=TRUE),反映シート!$E$59,IF(AND(反映シート!$E$15="リース事業者",反映シート!$C$132=TRUE),反映シート!$E$98,""))</f>
        <v/>
      </c>
      <c r="AC33" s="550"/>
      <c r="AD33" s="550"/>
      <c r="AE33" s="550"/>
      <c r="AF33" s="550"/>
      <c r="AG33" s="550"/>
      <c r="AH33" s="550"/>
      <c r="AI33" s="551" t="s">
        <v>70</v>
      </c>
      <c r="AJ33" s="552"/>
      <c r="AK33" s="550" t="str">
        <f>IF(AND(反映シート!$E$13="リース事業者",反映シート!$C$132=TRUE),反映シート!$E$61,IF(AND(反映シート!$E$15="リース事業者",反映シート!$C$132=TRUE),反映シート!$E$100,""))</f>
        <v/>
      </c>
      <c r="AL33" s="550"/>
      <c r="AM33" s="550"/>
      <c r="AN33" s="550"/>
      <c r="AO33" s="550"/>
      <c r="AP33" s="550"/>
      <c r="AQ33" s="550"/>
      <c r="AR33" s="553"/>
      <c r="AS33" s="91"/>
    </row>
    <row r="34" spans="1:45" ht="19.5" customHeight="1" x14ac:dyDescent="0.15">
      <c r="A34" s="91"/>
      <c r="B34" s="532"/>
      <c r="C34" s="533"/>
      <c r="D34" s="533"/>
      <c r="E34" s="533"/>
      <c r="F34" s="533"/>
      <c r="G34" s="536" t="s">
        <v>408</v>
      </c>
      <c r="H34" s="537"/>
      <c r="I34" s="537"/>
      <c r="J34" s="537"/>
      <c r="K34" s="537"/>
      <c r="L34" s="537"/>
      <c r="M34" s="557"/>
      <c r="N34" s="555" t="str">
        <f>IF(AND(反映シート!$E$13="リース事業者",反映シート!$C$132=TRUE),反映シート!$G$373,IF(AND(反映シート!$E$15="リース事業者",反映シート!$C$132=TRUE),反映シート!$G$387,""))</f>
        <v/>
      </c>
      <c r="O34" s="550"/>
      <c r="P34" s="550"/>
      <c r="Q34" s="550"/>
      <c r="R34" s="550"/>
      <c r="S34" s="550"/>
      <c r="T34" s="550"/>
      <c r="U34" s="550"/>
      <c r="V34" s="550"/>
      <c r="W34" s="550"/>
      <c r="X34" s="550"/>
      <c r="Y34" s="556"/>
      <c r="Z34" s="554" t="s">
        <v>388</v>
      </c>
      <c r="AA34" s="554"/>
      <c r="AB34" s="554"/>
      <c r="AC34" s="554"/>
      <c r="AD34" s="554"/>
      <c r="AE34" s="554"/>
      <c r="AF34" s="554"/>
      <c r="AG34" s="555" t="str">
        <f>IF(AND(反映シート!$E$13="リース事業者",反映シート!$C$132=TRUE),反映シート!$G$375,IF(AND(反映シート!$E$15="リース事業者",反映シート!$C$132=TRUE),反映シート!$G$389,""))</f>
        <v/>
      </c>
      <c r="AH34" s="550"/>
      <c r="AI34" s="550"/>
      <c r="AJ34" s="550"/>
      <c r="AK34" s="550"/>
      <c r="AL34" s="550"/>
      <c r="AM34" s="550"/>
      <c r="AN34" s="550"/>
      <c r="AO34" s="550"/>
      <c r="AP34" s="550"/>
      <c r="AQ34" s="550"/>
      <c r="AR34" s="553"/>
      <c r="AS34" s="91"/>
    </row>
    <row r="35" spans="1:45" ht="19.5" customHeight="1" x14ac:dyDescent="0.15">
      <c r="A35" s="91"/>
      <c r="B35" s="532"/>
      <c r="C35" s="533"/>
      <c r="D35" s="533"/>
      <c r="E35" s="533"/>
      <c r="F35" s="533"/>
      <c r="G35" s="536" t="s">
        <v>389</v>
      </c>
      <c r="H35" s="537"/>
      <c r="I35" s="537"/>
      <c r="J35" s="537"/>
      <c r="K35" s="537"/>
      <c r="L35" s="537"/>
      <c r="M35" s="557"/>
      <c r="N35" s="524" t="str">
        <f>IF(AND(反映シート!$E$13="リース事業者",反映シート!$C$132=TRUE),反映シート!$G$377,IF(AND(反映シート!$E$15="リース事業者",反映シート!$C$132=TRUE),反映シート!$G$391,""))</f>
        <v/>
      </c>
      <c r="O35" s="525"/>
      <c r="P35" s="525"/>
      <c r="Q35" s="525"/>
      <c r="R35" s="525"/>
      <c r="S35" s="525"/>
      <c r="T35" s="525"/>
      <c r="U35" s="525"/>
      <c r="V35" s="525"/>
      <c r="W35" s="525"/>
      <c r="X35" s="525"/>
      <c r="Y35" s="525"/>
      <c r="Z35" s="525"/>
      <c r="AA35" s="525"/>
      <c r="AB35" s="525"/>
      <c r="AC35" s="525"/>
      <c r="AD35" s="525"/>
      <c r="AE35" s="525"/>
      <c r="AF35" s="525"/>
      <c r="AG35" s="525"/>
      <c r="AH35" s="525"/>
      <c r="AI35" s="525"/>
      <c r="AJ35" s="525"/>
      <c r="AK35" s="525"/>
      <c r="AL35" s="525"/>
      <c r="AM35" s="525"/>
      <c r="AN35" s="525"/>
      <c r="AO35" s="525"/>
      <c r="AP35" s="525"/>
      <c r="AQ35" s="525"/>
      <c r="AR35" s="526"/>
      <c r="AS35" s="91"/>
    </row>
    <row r="36" spans="1:45" ht="16.5" customHeight="1" thickBot="1" x14ac:dyDescent="0.2">
      <c r="A36" s="160"/>
      <c r="B36" s="534"/>
      <c r="C36" s="535"/>
      <c r="D36" s="535"/>
      <c r="E36" s="535"/>
      <c r="F36" s="535"/>
      <c r="G36" s="641" t="s">
        <v>390</v>
      </c>
      <c r="H36" s="641"/>
      <c r="I36" s="641"/>
      <c r="J36" s="641"/>
      <c r="K36" s="641"/>
      <c r="L36" s="641"/>
      <c r="M36" s="641"/>
      <c r="N36" s="642" t="str">
        <f>IF(AND(反映シート!$E$13="リース事業者",反映シート!$C$132=TRUE),反映シート!$G$379,IF(AND(反映シート!$E$15="リース事業者",反映シート!$C$132=TRUE),反映シート!$G$393,""))</f>
        <v/>
      </c>
      <c r="O36" s="643"/>
      <c r="P36" s="643"/>
      <c r="Q36" s="643"/>
      <c r="R36" s="643"/>
      <c r="S36" s="643"/>
      <c r="T36" s="643"/>
      <c r="U36" s="643"/>
      <c r="V36" s="643"/>
      <c r="W36" s="643"/>
      <c r="X36" s="643"/>
      <c r="Y36" s="643"/>
      <c r="Z36" s="643"/>
      <c r="AA36" s="643"/>
      <c r="AB36" s="643"/>
      <c r="AC36" s="643"/>
      <c r="AD36" s="643"/>
      <c r="AE36" s="643"/>
      <c r="AF36" s="643"/>
      <c r="AG36" s="643"/>
      <c r="AH36" s="643"/>
      <c r="AI36" s="643"/>
      <c r="AJ36" s="643"/>
      <c r="AK36" s="643"/>
      <c r="AL36" s="643"/>
      <c r="AM36" s="643"/>
      <c r="AN36" s="643"/>
      <c r="AO36" s="643"/>
      <c r="AP36" s="643"/>
      <c r="AQ36" s="643"/>
      <c r="AR36" s="644"/>
      <c r="AS36" s="91"/>
    </row>
    <row r="37" spans="1:45" ht="16.5" customHeight="1" x14ac:dyDescent="0.15">
      <c r="A37" s="91"/>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row>
  </sheetData>
  <sheetProtection algorithmName="SHA-512" hashValue="/8X1ldkoRZI1ROp6VbZoMKAZlI59diKRNRUTGK0KgHVRBTdIF8SW6jsXueLYcZKMmnc+SPNyDQIcpP2Zac9Baw==" saltValue="osuevSxbID3NO14k6Mb/8w==" spinCount="100000" sheet="1" objects="1" scenarios="1" selectLockedCells="1"/>
  <protectedRanges>
    <protectedRange sqref="AM17" name="範囲1"/>
    <protectedRange sqref="AM15" name="範囲1_1_1"/>
    <protectedRange sqref="P3" name="範囲1_7_1_4"/>
    <protectedRange sqref="N4" name="範囲1_7_2_1"/>
    <protectedRange sqref="N5:N7" name="範囲1_7_1_2_1"/>
    <protectedRange sqref="N8:N9" name="範囲1_2"/>
    <protectedRange sqref="Z11" name="範囲1_7_1_3_1"/>
    <protectedRange sqref="N11" name="範囲1_5_1"/>
    <protectedRange sqref="N13:N14" name="範囲1_1_1_2"/>
    <protectedRange sqref="N12 AG12" name="範囲1_3_1_1"/>
    <protectedRange sqref="Z33 P25 N27:N29" name="範囲1_7"/>
    <protectedRange sqref="N30:N31" name="範囲1_6"/>
    <protectedRange sqref="N33" name="範囲1_5_3"/>
    <protectedRange sqref="N35:N36" name="範囲1_1_3"/>
    <protectedRange sqref="N34 AG34" name="範囲1_3_2"/>
    <protectedRange sqref="N26" name="範囲1_7_2_3"/>
  </protectedRanges>
  <mergeCells count="93">
    <mergeCell ref="X3:Y4"/>
    <mergeCell ref="Z3:AR4"/>
    <mergeCell ref="X25:Y26"/>
    <mergeCell ref="Z25:AR26"/>
    <mergeCell ref="G34:M34"/>
    <mergeCell ref="N34:Y34"/>
    <mergeCell ref="Z34:AF34"/>
    <mergeCell ref="AG34:AR34"/>
    <mergeCell ref="G32:M33"/>
    <mergeCell ref="N32:Y32"/>
    <mergeCell ref="Z32:AR32"/>
    <mergeCell ref="N33:Y33"/>
    <mergeCell ref="L30:M30"/>
    <mergeCell ref="N30:AR30"/>
    <mergeCell ref="L31:M31"/>
    <mergeCell ref="N31:AR31"/>
    <mergeCell ref="G36:M36"/>
    <mergeCell ref="N36:AR36"/>
    <mergeCell ref="G35:M35"/>
    <mergeCell ref="N35:AR35"/>
    <mergeCell ref="N23:P23"/>
    <mergeCell ref="N24:P24"/>
    <mergeCell ref="T25:W25"/>
    <mergeCell ref="K26:M26"/>
    <mergeCell ref="N26:W26"/>
    <mergeCell ref="B25:F36"/>
    <mergeCell ref="G25:J29"/>
    <mergeCell ref="K25:M25"/>
    <mergeCell ref="N25:O25"/>
    <mergeCell ref="P25:R25"/>
    <mergeCell ref="K27:M27"/>
    <mergeCell ref="N27:AR27"/>
    <mergeCell ref="Z33:AA33"/>
    <mergeCell ref="AB33:AH33"/>
    <mergeCell ref="AI33:AJ33"/>
    <mergeCell ref="AK33:AR33"/>
    <mergeCell ref="K28:M28"/>
    <mergeCell ref="N28:AR28"/>
    <mergeCell ref="K29:M29"/>
    <mergeCell ref="N29:AR29"/>
    <mergeCell ref="G30:K31"/>
    <mergeCell ref="G16:M22"/>
    <mergeCell ref="N16:AR16"/>
    <mergeCell ref="N17:P17"/>
    <mergeCell ref="Q17:AL17"/>
    <mergeCell ref="AM17:AR22"/>
    <mergeCell ref="N18:P18"/>
    <mergeCell ref="Q18:AL18"/>
    <mergeCell ref="N19:P19"/>
    <mergeCell ref="Q19:AL19"/>
    <mergeCell ref="N20:P21"/>
    <mergeCell ref="Q20:AL21"/>
    <mergeCell ref="N22:P22"/>
    <mergeCell ref="Q22:AL22"/>
    <mergeCell ref="G13:M13"/>
    <mergeCell ref="N13:AR13"/>
    <mergeCell ref="G14:M14"/>
    <mergeCell ref="N14:AR14"/>
    <mergeCell ref="G15:AL15"/>
    <mergeCell ref="AM15:AP15"/>
    <mergeCell ref="AQ15:AR15"/>
    <mergeCell ref="G12:M12"/>
    <mergeCell ref="N12:Y12"/>
    <mergeCell ref="Z12:AF12"/>
    <mergeCell ref="AG12:AR12"/>
    <mergeCell ref="G10:M11"/>
    <mergeCell ref="N10:Y10"/>
    <mergeCell ref="Z10:AR10"/>
    <mergeCell ref="N11:Y11"/>
    <mergeCell ref="Z11:AA11"/>
    <mergeCell ref="L8:M8"/>
    <mergeCell ref="N8:AR8"/>
    <mergeCell ref="L9:M9"/>
    <mergeCell ref="N9:AR9"/>
    <mergeCell ref="AB11:AH11"/>
    <mergeCell ref="AI11:AJ11"/>
    <mergeCell ref="AK11:AR11"/>
    <mergeCell ref="B2:AR2"/>
    <mergeCell ref="B3:F22"/>
    <mergeCell ref="G3:J7"/>
    <mergeCell ref="K3:M3"/>
    <mergeCell ref="N3:O3"/>
    <mergeCell ref="P3:R3"/>
    <mergeCell ref="T3:W3"/>
    <mergeCell ref="K4:M4"/>
    <mergeCell ref="N4:W4"/>
    <mergeCell ref="K5:M5"/>
    <mergeCell ref="N5:AR5"/>
    <mergeCell ref="K6:M6"/>
    <mergeCell ref="N6:AR6"/>
    <mergeCell ref="K7:M7"/>
    <mergeCell ref="N7:AR7"/>
    <mergeCell ref="G8:K9"/>
  </mergeCells>
  <phoneticPr fontId="5"/>
  <printOptions horizontalCentered="1" verticalCentered="1"/>
  <pageMargins left="0.23622047244094491" right="0.23622047244094491"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46</xdr:col>
                    <xdr:colOff>0</xdr:colOff>
                    <xdr:row>22</xdr:row>
                    <xdr:rowOff>0</xdr:rowOff>
                  </from>
                  <to>
                    <xdr:col>46</xdr:col>
                    <xdr:colOff>0</xdr:colOff>
                    <xdr:row>24</xdr:row>
                    <xdr:rowOff>85725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46</xdr:col>
                    <xdr:colOff>0</xdr:colOff>
                    <xdr:row>22</xdr:row>
                    <xdr:rowOff>0</xdr:rowOff>
                  </from>
                  <to>
                    <xdr:col>46</xdr:col>
                    <xdr:colOff>0</xdr:colOff>
                    <xdr:row>24</xdr:row>
                    <xdr:rowOff>85725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46</xdr:col>
                    <xdr:colOff>0</xdr:colOff>
                    <xdr:row>22</xdr:row>
                    <xdr:rowOff>0</xdr:rowOff>
                  </from>
                  <to>
                    <xdr:col>46</xdr:col>
                    <xdr:colOff>0</xdr:colOff>
                    <xdr:row>24</xdr:row>
                    <xdr:rowOff>85725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46</xdr:col>
                    <xdr:colOff>0</xdr:colOff>
                    <xdr:row>22</xdr:row>
                    <xdr:rowOff>0</xdr:rowOff>
                  </from>
                  <to>
                    <xdr:col>46</xdr:col>
                    <xdr:colOff>0</xdr:colOff>
                    <xdr:row>24</xdr:row>
                    <xdr:rowOff>85725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46</xdr:col>
                    <xdr:colOff>0</xdr:colOff>
                    <xdr:row>34</xdr:row>
                    <xdr:rowOff>0</xdr:rowOff>
                  </from>
                  <to>
                    <xdr:col>46</xdr:col>
                    <xdr:colOff>0</xdr:colOff>
                    <xdr:row>34</xdr:row>
                    <xdr:rowOff>200025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46</xdr:col>
                    <xdr:colOff>0</xdr:colOff>
                    <xdr:row>34</xdr:row>
                    <xdr:rowOff>0</xdr:rowOff>
                  </from>
                  <to>
                    <xdr:col>46</xdr:col>
                    <xdr:colOff>0</xdr:colOff>
                    <xdr:row>34</xdr:row>
                    <xdr:rowOff>200025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46</xdr:col>
                    <xdr:colOff>0</xdr:colOff>
                    <xdr:row>22</xdr:row>
                    <xdr:rowOff>0</xdr:rowOff>
                  </from>
                  <to>
                    <xdr:col>46</xdr:col>
                    <xdr:colOff>0</xdr:colOff>
                    <xdr:row>24</xdr:row>
                    <xdr:rowOff>85725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46</xdr:col>
                    <xdr:colOff>0</xdr:colOff>
                    <xdr:row>22</xdr:row>
                    <xdr:rowOff>0</xdr:rowOff>
                  </from>
                  <to>
                    <xdr:col>46</xdr:col>
                    <xdr:colOff>0</xdr:colOff>
                    <xdr:row>24</xdr:row>
                    <xdr:rowOff>85725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46</xdr:col>
                    <xdr:colOff>0</xdr:colOff>
                    <xdr:row>22</xdr:row>
                    <xdr:rowOff>0</xdr:rowOff>
                  </from>
                  <to>
                    <xdr:col>46</xdr:col>
                    <xdr:colOff>0</xdr:colOff>
                    <xdr:row>24</xdr:row>
                    <xdr:rowOff>85725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46</xdr:col>
                    <xdr:colOff>0</xdr:colOff>
                    <xdr:row>22</xdr:row>
                    <xdr:rowOff>0</xdr:rowOff>
                  </from>
                  <to>
                    <xdr:col>46</xdr:col>
                    <xdr:colOff>0</xdr:colOff>
                    <xdr:row>24</xdr:row>
                    <xdr:rowOff>85725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46</xdr:col>
                    <xdr:colOff>0</xdr:colOff>
                    <xdr:row>22</xdr:row>
                    <xdr:rowOff>0</xdr:rowOff>
                  </from>
                  <to>
                    <xdr:col>46</xdr:col>
                    <xdr:colOff>0</xdr:colOff>
                    <xdr:row>26</xdr:row>
                    <xdr:rowOff>180975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46</xdr:col>
                    <xdr:colOff>0</xdr:colOff>
                    <xdr:row>22</xdr:row>
                    <xdr:rowOff>0</xdr:rowOff>
                  </from>
                  <to>
                    <xdr:col>46</xdr:col>
                    <xdr:colOff>0</xdr:colOff>
                    <xdr:row>25</xdr:row>
                    <xdr:rowOff>28575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46</xdr:col>
                    <xdr:colOff>0</xdr:colOff>
                    <xdr:row>22</xdr:row>
                    <xdr:rowOff>0</xdr:rowOff>
                  </from>
                  <to>
                    <xdr:col>46</xdr:col>
                    <xdr:colOff>0</xdr:colOff>
                    <xdr:row>26</xdr:row>
                    <xdr:rowOff>180975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46</xdr:col>
                    <xdr:colOff>0</xdr:colOff>
                    <xdr:row>22</xdr:row>
                    <xdr:rowOff>0</xdr:rowOff>
                  </from>
                  <to>
                    <xdr:col>46</xdr:col>
                    <xdr:colOff>0</xdr:colOff>
                    <xdr:row>25</xdr:row>
                    <xdr:rowOff>28575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46</xdr:col>
                    <xdr:colOff>0</xdr:colOff>
                    <xdr:row>23</xdr:row>
                    <xdr:rowOff>0</xdr:rowOff>
                  </from>
                  <to>
                    <xdr:col>46</xdr:col>
                    <xdr:colOff>0</xdr:colOff>
                    <xdr:row>28</xdr:row>
                    <xdr:rowOff>114300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46</xdr:col>
                    <xdr:colOff>0</xdr:colOff>
                    <xdr:row>23</xdr:row>
                    <xdr:rowOff>0</xdr:rowOff>
                  </from>
                  <to>
                    <xdr:col>46</xdr:col>
                    <xdr:colOff>0</xdr:colOff>
                    <xdr:row>28</xdr:row>
                    <xdr:rowOff>114300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46</xdr:col>
                    <xdr:colOff>0</xdr:colOff>
                    <xdr:row>23</xdr:row>
                    <xdr:rowOff>0</xdr:rowOff>
                  </from>
                  <to>
                    <xdr:col>46</xdr:col>
                    <xdr:colOff>0</xdr:colOff>
                    <xdr:row>24</xdr:row>
                    <xdr:rowOff>142875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46</xdr:col>
                    <xdr:colOff>0</xdr:colOff>
                    <xdr:row>23</xdr:row>
                    <xdr:rowOff>0</xdr:rowOff>
                  </from>
                  <to>
                    <xdr:col>46</xdr:col>
                    <xdr:colOff>0</xdr:colOff>
                    <xdr:row>24</xdr:row>
                    <xdr:rowOff>142875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46</xdr:col>
                    <xdr:colOff>0</xdr:colOff>
                    <xdr:row>23</xdr:row>
                    <xdr:rowOff>0</xdr:rowOff>
                  </from>
                  <to>
                    <xdr:col>46</xdr:col>
                    <xdr:colOff>0</xdr:colOff>
                    <xdr:row>24</xdr:row>
                    <xdr:rowOff>142875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46</xdr:col>
                    <xdr:colOff>0</xdr:colOff>
                    <xdr:row>23</xdr:row>
                    <xdr:rowOff>0</xdr:rowOff>
                  </from>
                  <to>
                    <xdr:col>46</xdr:col>
                    <xdr:colOff>0</xdr:colOff>
                    <xdr:row>24</xdr:row>
                    <xdr:rowOff>142875</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47</xdr:col>
                    <xdr:colOff>0</xdr:colOff>
                    <xdr:row>30</xdr:row>
                    <xdr:rowOff>0</xdr:rowOff>
                  </from>
                  <to>
                    <xdr:col>47</xdr:col>
                    <xdr:colOff>0</xdr:colOff>
                    <xdr:row>30</xdr:row>
                    <xdr:rowOff>200025</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47</xdr:col>
                    <xdr:colOff>0</xdr:colOff>
                    <xdr:row>30</xdr:row>
                    <xdr:rowOff>0</xdr:rowOff>
                  </from>
                  <to>
                    <xdr:col>47</xdr:col>
                    <xdr:colOff>0</xdr:colOff>
                    <xdr:row>30</xdr:row>
                    <xdr:rowOff>200025</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47</xdr:col>
                    <xdr:colOff>0</xdr:colOff>
                    <xdr:row>23</xdr:row>
                    <xdr:rowOff>0</xdr:rowOff>
                  </from>
                  <to>
                    <xdr:col>47</xdr:col>
                    <xdr:colOff>0</xdr:colOff>
                    <xdr:row>28</xdr:row>
                    <xdr:rowOff>114300</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from>
                    <xdr:col>47</xdr:col>
                    <xdr:colOff>0</xdr:colOff>
                    <xdr:row>23</xdr:row>
                    <xdr:rowOff>0</xdr:rowOff>
                  </from>
                  <to>
                    <xdr:col>47</xdr:col>
                    <xdr:colOff>0</xdr:colOff>
                    <xdr:row>28</xdr:row>
                    <xdr:rowOff>114300</xdr:rowOff>
                  </to>
                </anchor>
              </controlPr>
            </control>
          </mc:Choice>
        </mc:AlternateContent>
        <mc:AlternateContent xmlns:mc="http://schemas.openxmlformats.org/markup-compatibility/2006">
          <mc:Choice Requires="x14">
            <control shapeId="2074" r:id="rId28" name="Check Box 26">
              <controlPr defaultSize="0" autoFill="0" autoLine="0" autoPict="0">
                <anchor moveWithCells="1">
                  <from>
                    <xdr:col>47</xdr:col>
                    <xdr:colOff>0</xdr:colOff>
                    <xdr:row>23</xdr:row>
                    <xdr:rowOff>0</xdr:rowOff>
                  </from>
                  <to>
                    <xdr:col>47</xdr:col>
                    <xdr:colOff>0</xdr:colOff>
                    <xdr:row>24</xdr:row>
                    <xdr:rowOff>142875</xdr:rowOff>
                  </to>
                </anchor>
              </controlPr>
            </control>
          </mc:Choice>
        </mc:AlternateContent>
        <mc:AlternateContent xmlns:mc="http://schemas.openxmlformats.org/markup-compatibility/2006">
          <mc:Choice Requires="x14">
            <control shapeId="2075" r:id="rId29" name="Check Box 27">
              <controlPr defaultSize="0" autoFill="0" autoLine="0" autoPict="0">
                <anchor moveWithCells="1">
                  <from>
                    <xdr:col>47</xdr:col>
                    <xdr:colOff>0</xdr:colOff>
                    <xdr:row>23</xdr:row>
                    <xdr:rowOff>0</xdr:rowOff>
                  </from>
                  <to>
                    <xdr:col>47</xdr:col>
                    <xdr:colOff>0</xdr:colOff>
                    <xdr:row>24</xdr:row>
                    <xdr:rowOff>142875</xdr:rowOff>
                  </to>
                </anchor>
              </controlPr>
            </control>
          </mc:Choice>
        </mc:AlternateContent>
        <mc:AlternateContent xmlns:mc="http://schemas.openxmlformats.org/markup-compatibility/2006">
          <mc:Choice Requires="x14">
            <control shapeId="2076" r:id="rId30" name="Check Box 28">
              <controlPr defaultSize="0" autoFill="0" autoLine="0" autoPict="0">
                <anchor moveWithCells="1">
                  <from>
                    <xdr:col>47</xdr:col>
                    <xdr:colOff>0</xdr:colOff>
                    <xdr:row>23</xdr:row>
                    <xdr:rowOff>0</xdr:rowOff>
                  </from>
                  <to>
                    <xdr:col>47</xdr:col>
                    <xdr:colOff>0</xdr:colOff>
                    <xdr:row>24</xdr:row>
                    <xdr:rowOff>142875</xdr:rowOff>
                  </to>
                </anchor>
              </controlPr>
            </control>
          </mc:Choice>
        </mc:AlternateContent>
        <mc:AlternateContent xmlns:mc="http://schemas.openxmlformats.org/markup-compatibility/2006">
          <mc:Choice Requires="x14">
            <control shapeId="2077" r:id="rId31" name="Check Box 29">
              <controlPr defaultSize="0" autoFill="0" autoLine="0" autoPict="0">
                <anchor moveWithCells="1">
                  <from>
                    <xdr:col>47</xdr:col>
                    <xdr:colOff>0</xdr:colOff>
                    <xdr:row>23</xdr:row>
                    <xdr:rowOff>0</xdr:rowOff>
                  </from>
                  <to>
                    <xdr:col>47</xdr:col>
                    <xdr:colOff>0</xdr:colOff>
                    <xdr:row>24</xdr:row>
                    <xdr:rowOff>142875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15"/>
  <sheetViews>
    <sheetView topLeftCell="A7" workbookViewId="0">
      <selection activeCell="B5" sqref="B5"/>
    </sheetView>
  </sheetViews>
  <sheetFormatPr defaultRowHeight="13.5" x14ac:dyDescent="0.15"/>
  <cols>
    <col min="1" max="1" width="51" style="148" bestFit="1" customWidth="1"/>
    <col min="2" max="2" width="18.375" style="148" bestFit="1" customWidth="1"/>
    <col min="3" max="16384" width="9" style="148"/>
  </cols>
  <sheetData>
    <row r="1" spans="1:3" x14ac:dyDescent="0.15">
      <c r="A1" s="147" t="s">
        <v>519</v>
      </c>
      <c r="B1" s="147" t="s">
        <v>520</v>
      </c>
    </row>
    <row r="2" spans="1:3" x14ac:dyDescent="0.15">
      <c r="A2" s="147" t="s">
        <v>521</v>
      </c>
      <c r="B2" s="147" t="s">
        <v>522</v>
      </c>
    </row>
    <row r="3" spans="1:3" x14ac:dyDescent="0.15">
      <c r="A3" s="147" t="s">
        <v>523</v>
      </c>
      <c r="B3" s="147" t="s">
        <v>524</v>
      </c>
    </row>
    <row r="4" spans="1:3" x14ac:dyDescent="0.15">
      <c r="A4" s="147" t="s">
        <v>525</v>
      </c>
      <c r="B4" s="234" t="s">
        <v>648</v>
      </c>
    </row>
    <row r="6" spans="1:3" x14ac:dyDescent="0.15">
      <c r="A6" s="147" t="s">
        <v>296</v>
      </c>
      <c r="B6" s="147" t="str">
        <f>反映シート!E13</f>
        <v>なし</v>
      </c>
    </row>
    <row r="7" spans="1:3" x14ac:dyDescent="0.15">
      <c r="A7" s="147" t="s">
        <v>297</v>
      </c>
      <c r="B7" s="147" t="str">
        <f>反映シート!E15</f>
        <v>なし</v>
      </c>
    </row>
    <row r="8" spans="1:3" x14ac:dyDescent="0.15">
      <c r="A8" s="147" t="s">
        <v>526</v>
      </c>
      <c r="B8" s="147" t="str">
        <f>反映シート!C21</f>
        <v>-</v>
      </c>
    </row>
    <row r="9" spans="1:3" x14ac:dyDescent="0.15">
      <c r="A9" s="147" t="s">
        <v>527</v>
      </c>
      <c r="B9" s="149">
        <f>入力シート!C25</f>
        <v>0</v>
      </c>
      <c r="C9" s="148" t="s">
        <v>528</v>
      </c>
    </row>
    <row r="10" spans="1:3" x14ac:dyDescent="0.15">
      <c r="A10" s="147" t="s">
        <v>529</v>
      </c>
      <c r="B10" s="147" t="str">
        <f>反映シート!E41</f>
        <v/>
      </c>
    </row>
    <row r="11" spans="1:3" x14ac:dyDescent="0.15">
      <c r="A11" s="147" t="s">
        <v>530</v>
      </c>
      <c r="B11" s="147" t="str">
        <f>反映シート!E43</f>
        <v/>
      </c>
    </row>
    <row r="12" spans="1:3" x14ac:dyDescent="0.15">
      <c r="A12" s="147" t="s">
        <v>531</v>
      </c>
      <c r="B12" s="147" t="str">
        <f>反映シート!O45</f>
        <v/>
      </c>
    </row>
    <row r="13" spans="1:3" x14ac:dyDescent="0.15">
      <c r="A13" s="147" t="s">
        <v>532</v>
      </c>
      <c r="B13" s="147" t="str">
        <f>反映シート!O47</f>
        <v/>
      </c>
    </row>
    <row r="14" spans="1:3" x14ac:dyDescent="0.15">
      <c r="A14" s="147" t="s">
        <v>533</v>
      </c>
      <c r="B14" s="147" t="str">
        <f>反映シート!O49</f>
        <v/>
      </c>
    </row>
    <row r="15" spans="1:3" x14ac:dyDescent="0.15">
      <c r="A15" s="147" t="s">
        <v>534</v>
      </c>
      <c r="B15" s="147" t="str">
        <f>反映シート!O51</f>
        <v/>
      </c>
    </row>
    <row r="16" spans="1:3" x14ac:dyDescent="0.15">
      <c r="A16" s="147" t="s">
        <v>535</v>
      </c>
      <c r="B16" s="147" t="str">
        <f>反映シート!O57</f>
        <v/>
      </c>
    </row>
    <row r="17" spans="1:2" x14ac:dyDescent="0.15">
      <c r="A17" s="147" t="s">
        <v>536</v>
      </c>
      <c r="B17" s="147" t="str">
        <f>反映シート!O59</f>
        <v/>
      </c>
    </row>
    <row r="18" spans="1:2" x14ac:dyDescent="0.15">
      <c r="A18" s="147" t="s">
        <v>537</v>
      </c>
      <c r="B18" s="147" t="str">
        <f>反映シート!O61</f>
        <v/>
      </c>
    </row>
    <row r="19" spans="1:2" x14ac:dyDescent="0.15">
      <c r="A19" s="147" t="s">
        <v>538</v>
      </c>
      <c r="B19" s="147" t="str">
        <f>反映シート!M71</f>
        <v/>
      </c>
    </row>
    <row r="20" spans="1:2" x14ac:dyDescent="0.15">
      <c r="A20" s="147" t="s">
        <v>539</v>
      </c>
      <c r="B20" s="147" t="str">
        <f>反映シート!E80</f>
        <v/>
      </c>
    </row>
    <row r="21" spans="1:2" x14ac:dyDescent="0.15">
      <c r="A21" s="147" t="s">
        <v>540</v>
      </c>
      <c r="B21" s="147" t="str">
        <f>反映シート!E82</f>
        <v/>
      </c>
    </row>
    <row r="22" spans="1:2" x14ac:dyDescent="0.15">
      <c r="A22" s="147" t="s">
        <v>541</v>
      </c>
      <c r="B22" s="147" t="str">
        <f>反映シート!O84</f>
        <v/>
      </c>
    </row>
    <row r="23" spans="1:2" x14ac:dyDescent="0.15">
      <c r="A23" s="147" t="s">
        <v>542</v>
      </c>
      <c r="B23" s="147" t="str">
        <f>反映シート!O86</f>
        <v/>
      </c>
    </row>
    <row r="24" spans="1:2" x14ac:dyDescent="0.15">
      <c r="A24" s="147" t="s">
        <v>543</v>
      </c>
      <c r="B24" s="147" t="str">
        <f>反映シート!O88</f>
        <v/>
      </c>
    </row>
    <row r="25" spans="1:2" x14ac:dyDescent="0.15">
      <c r="A25" s="147" t="s">
        <v>544</v>
      </c>
      <c r="B25" s="147" t="str">
        <f>反映シート!O90</f>
        <v/>
      </c>
    </row>
    <row r="26" spans="1:2" x14ac:dyDescent="0.15">
      <c r="A26" s="147" t="s">
        <v>545</v>
      </c>
      <c r="B26" s="147" t="str">
        <f>反映シート!O96</f>
        <v/>
      </c>
    </row>
    <row r="27" spans="1:2" x14ac:dyDescent="0.15">
      <c r="A27" s="147" t="s">
        <v>546</v>
      </c>
      <c r="B27" s="147" t="str">
        <f>反映シート!O98</f>
        <v/>
      </c>
    </row>
    <row r="28" spans="1:2" x14ac:dyDescent="0.15">
      <c r="A28" s="147" t="s">
        <v>547</v>
      </c>
      <c r="B28" s="147" t="str">
        <f>反映シート!O100</f>
        <v/>
      </c>
    </row>
    <row r="29" spans="1:2" x14ac:dyDescent="0.15">
      <c r="A29" s="147" t="s">
        <v>548</v>
      </c>
      <c r="B29" s="147" t="str">
        <f>反映シート!M110</f>
        <v/>
      </c>
    </row>
    <row r="30" spans="1:2" x14ac:dyDescent="0.15">
      <c r="A30" s="147" t="s">
        <v>549</v>
      </c>
      <c r="B30" s="147" t="b">
        <f>反映シート!C116</f>
        <v>0</v>
      </c>
    </row>
    <row r="31" spans="1:2" x14ac:dyDescent="0.15">
      <c r="A31" s="147" t="s">
        <v>550</v>
      </c>
      <c r="B31" s="147" t="b">
        <f>反映シート!C120</f>
        <v>0</v>
      </c>
    </row>
    <row r="32" spans="1:2" x14ac:dyDescent="0.15">
      <c r="A32" s="147" t="s">
        <v>551</v>
      </c>
      <c r="B32" s="147" t="b">
        <f>反映シート!C122</f>
        <v>0</v>
      </c>
    </row>
    <row r="33" spans="1:2" x14ac:dyDescent="0.15">
      <c r="A33" s="147" t="s">
        <v>552</v>
      </c>
      <c r="B33" s="147" t="b">
        <f>反映シート!C124</f>
        <v>0</v>
      </c>
    </row>
    <row r="34" spans="1:2" x14ac:dyDescent="0.15">
      <c r="A34" s="147" t="s">
        <v>553</v>
      </c>
      <c r="B34" s="147" t="b">
        <f>反映シート!C126</f>
        <v>0</v>
      </c>
    </row>
    <row r="35" spans="1:2" x14ac:dyDescent="0.15">
      <c r="A35" s="147" t="s">
        <v>554</v>
      </c>
      <c r="B35" s="147" t="b">
        <f>反映シート!C128</f>
        <v>0</v>
      </c>
    </row>
    <row r="36" spans="1:2" x14ac:dyDescent="0.15">
      <c r="A36" s="147" t="s">
        <v>555</v>
      </c>
      <c r="B36" s="147" t="b">
        <f>反映シート!C130</f>
        <v>0</v>
      </c>
    </row>
    <row r="37" spans="1:2" x14ac:dyDescent="0.15">
      <c r="A37" s="147" t="s">
        <v>556</v>
      </c>
      <c r="B37" s="147" t="b">
        <f>反映シート!C132</f>
        <v>0</v>
      </c>
    </row>
    <row r="38" spans="1:2" x14ac:dyDescent="0.15">
      <c r="A38" s="147" t="s">
        <v>557</v>
      </c>
      <c r="B38" s="147" t="str">
        <f>反映シート!C137</f>
        <v/>
      </c>
    </row>
    <row r="39" spans="1:2" x14ac:dyDescent="0.15">
      <c r="A39" s="147" t="s">
        <v>558</v>
      </c>
      <c r="B39" s="147">
        <f>反映シート!I143</f>
        <v>0</v>
      </c>
    </row>
    <row r="40" spans="1:2" x14ac:dyDescent="0.15">
      <c r="A40" s="147" t="s">
        <v>559</v>
      </c>
      <c r="B40" s="147">
        <f>反映シート!I145</f>
        <v>0</v>
      </c>
    </row>
    <row r="41" spans="1:2" x14ac:dyDescent="0.15">
      <c r="A41" s="147" t="s">
        <v>560</v>
      </c>
      <c r="B41" s="147">
        <f>反映シート!I147</f>
        <v>0</v>
      </c>
    </row>
    <row r="42" spans="1:2" x14ac:dyDescent="0.15">
      <c r="A42" s="147" t="s">
        <v>561</v>
      </c>
      <c r="B42" s="147">
        <f>反映シート!I149</f>
        <v>0</v>
      </c>
    </row>
    <row r="43" spans="1:2" x14ac:dyDescent="0.15">
      <c r="A43" s="147" t="s">
        <v>562</v>
      </c>
      <c r="B43" s="147">
        <f>反映シート!I152</f>
        <v>0</v>
      </c>
    </row>
    <row r="44" spans="1:2" x14ac:dyDescent="0.15">
      <c r="A44" s="147" t="s">
        <v>563</v>
      </c>
      <c r="B44" s="147" t="b">
        <f>反映シート!I155</f>
        <v>0</v>
      </c>
    </row>
    <row r="45" spans="1:2" x14ac:dyDescent="0.15">
      <c r="A45" s="147" t="s">
        <v>564</v>
      </c>
      <c r="B45" s="147" t="b">
        <f>反映シート!I157</f>
        <v>0</v>
      </c>
    </row>
    <row r="46" spans="1:2" x14ac:dyDescent="0.15">
      <c r="A46" s="147" t="s">
        <v>565</v>
      </c>
      <c r="B46" s="147" t="b">
        <f>反映シート!I159</f>
        <v>0</v>
      </c>
    </row>
    <row r="47" spans="1:2" x14ac:dyDescent="0.15">
      <c r="A47" s="147" t="s">
        <v>566</v>
      </c>
      <c r="B47" s="147">
        <f>反映シート!I166</f>
        <v>0</v>
      </c>
    </row>
    <row r="48" spans="1:2" x14ac:dyDescent="0.15">
      <c r="A48" s="147" t="s">
        <v>567</v>
      </c>
      <c r="B48" s="147">
        <f>反映シート!I168</f>
        <v>0</v>
      </c>
    </row>
    <row r="49" spans="1:2" x14ac:dyDescent="0.15">
      <c r="A49" s="147" t="s">
        <v>568</v>
      </c>
      <c r="B49" s="147">
        <f>反映シート!I170</f>
        <v>0</v>
      </c>
    </row>
    <row r="50" spans="1:2" x14ac:dyDescent="0.15">
      <c r="A50" s="147" t="s">
        <v>569</v>
      </c>
      <c r="B50" s="147">
        <f>反映シート!I172</f>
        <v>0</v>
      </c>
    </row>
    <row r="51" spans="1:2" x14ac:dyDescent="0.15">
      <c r="A51" s="147" t="s">
        <v>570</v>
      </c>
      <c r="B51" s="147">
        <f>反映シート!I174</f>
        <v>0</v>
      </c>
    </row>
    <row r="52" spans="1:2" x14ac:dyDescent="0.15">
      <c r="A52" s="147" t="s">
        <v>571</v>
      </c>
      <c r="B52" s="147">
        <f>反映シート!I176</f>
        <v>0</v>
      </c>
    </row>
    <row r="53" spans="1:2" x14ac:dyDescent="0.15">
      <c r="A53" s="147" t="s">
        <v>572</v>
      </c>
      <c r="B53" s="147">
        <f>反映シート!I184</f>
        <v>0</v>
      </c>
    </row>
    <row r="54" spans="1:2" x14ac:dyDescent="0.15">
      <c r="A54" s="147" t="s">
        <v>573</v>
      </c>
      <c r="B54" s="147">
        <f>反映シート!I188</f>
        <v>0</v>
      </c>
    </row>
    <row r="55" spans="1:2" x14ac:dyDescent="0.15">
      <c r="A55" s="147" t="s">
        <v>574</v>
      </c>
      <c r="B55" s="147">
        <f>反映シート!I190</f>
        <v>0</v>
      </c>
    </row>
    <row r="56" spans="1:2" x14ac:dyDescent="0.15">
      <c r="A56" s="147" t="s">
        <v>575</v>
      </c>
      <c r="B56" s="147">
        <f>反映シート!I192</f>
        <v>0</v>
      </c>
    </row>
    <row r="57" spans="1:2" x14ac:dyDescent="0.15">
      <c r="A57" s="147" t="s">
        <v>576</v>
      </c>
      <c r="B57" s="147">
        <f>反映シート!I196</f>
        <v>0</v>
      </c>
    </row>
    <row r="58" spans="1:2" x14ac:dyDescent="0.15">
      <c r="A58" s="147" t="s">
        <v>577</v>
      </c>
      <c r="B58" s="147">
        <f>反映シート!I203</f>
        <v>0</v>
      </c>
    </row>
    <row r="59" spans="1:2" x14ac:dyDescent="0.15">
      <c r="A59" s="147" t="s">
        <v>578</v>
      </c>
      <c r="B59" s="147">
        <f>反映シート!I211</f>
        <v>0</v>
      </c>
    </row>
    <row r="60" spans="1:2" x14ac:dyDescent="0.15">
      <c r="A60" s="147" t="s">
        <v>579</v>
      </c>
      <c r="B60" s="147">
        <f>反映シート!I215</f>
        <v>0</v>
      </c>
    </row>
    <row r="61" spans="1:2" x14ac:dyDescent="0.15">
      <c r="A61" s="147" t="s">
        <v>580</v>
      </c>
      <c r="B61" s="147">
        <f>反映シート!I217</f>
        <v>0</v>
      </c>
    </row>
    <row r="62" spans="1:2" x14ac:dyDescent="0.15">
      <c r="A62" s="147" t="s">
        <v>581</v>
      </c>
      <c r="B62" s="147">
        <f>反映シート!I219</f>
        <v>0</v>
      </c>
    </row>
    <row r="63" spans="1:2" x14ac:dyDescent="0.15">
      <c r="A63" s="147" t="s">
        <v>582</v>
      </c>
      <c r="B63" s="147">
        <f>反映シート!I223</f>
        <v>0</v>
      </c>
    </row>
    <row r="64" spans="1:2" x14ac:dyDescent="0.15">
      <c r="A64" s="147" t="s">
        <v>583</v>
      </c>
      <c r="B64" s="147">
        <f>反映シート!I230</f>
        <v>0</v>
      </c>
    </row>
    <row r="65" spans="1:2" x14ac:dyDescent="0.15">
      <c r="A65" s="147" t="s">
        <v>584</v>
      </c>
      <c r="B65" s="150">
        <f ca="1">反映シート!G241</f>
        <v>0</v>
      </c>
    </row>
    <row r="66" spans="1:2" x14ac:dyDescent="0.15">
      <c r="A66" s="147" t="s">
        <v>585</v>
      </c>
      <c r="B66" s="150">
        <f ca="1">反映シート!G243</f>
        <v>0</v>
      </c>
    </row>
    <row r="67" spans="1:2" x14ac:dyDescent="0.15">
      <c r="A67" s="147" t="s">
        <v>586</v>
      </c>
      <c r="B67" s="150">
        <f>反映シート!G245</f>
        <v>0</v>
      </c>
    </row>
    <row r="68" spans="1:2" x14ac:dyDescent="0.15">
      <c r="A68" s="147" t="s">
        <v>587</v>
      </c>
      <c r="B68" s="150">
        <f>反映シート!G251</f>
        <v>0</v>
      </c>
    </row>
    <row r="69" spans="1:2" x14ac:dyDescent="0.15">
      <c r="A69" s="147" t="s">
        <v>588</v>
      </c>
      <c r="B69" s="150">
        <f>反映シート!G253</f>
        <v>0</v>
      </c>
    </row>
    <row r="70" spans="1:2" x14ac:dyDescent="0.15">
      <c r="A70" s="147" t="s">
        <v>589</v>
      </c>
      <c r="B70" s="150">
        <f>反映シート!G255</f>
        <v>0</v>
      </c>
    </row>
    <row r="71" spans="1:2" x14ac:dyDescent="0.15">
      <c r="A71" s="147" t="s">
        <v>590</v>
      </c>
      <c r="B71" s="150">
        <f>反映シート!G257</f>
        <v>0</v>
      </c>
    </row>
    <row r="72" spans="1:2" x14ac:dyDescent="0.15">
      <c r="A72" s="147" t="s">
        <v>591</v>
      </c>
      <c r="B72" s="150">
        <f>反映シート!G263</f>
        <v>0</v>
      </c>
    </row>
    <row r="73" spans="1:2" x14ac:dyDescent="0.15">
      <c r="A73" s="147" t="s">
        <v>592</v>
      </c>
      <c r="B73" s="150">
        <f>反映シート!G265</f>
        <v>0</v>
      </c>
    </row>
    <row r="74" spans="1:2" x14ac:dyDescent="0.15">
      <c r="A74" s="147" t="s">
        <v>593</v>
      </c>
      <c r="B74" s="150">
        <f>反映シート!G267</f>
        <v>0</v>
      </c>
    </row>
    <row r="75" spans="1:2" x14ac:dyDescent="0.15">
      <c r="A75" s="147" t="s">
        <v>594</v>
      </c>
      <c r="B75" s="150">
        <f>反映シート!G269</f>
        <v>0</v>
      </c>
    </row>
    <row r="76" spans="1:2" x14ac:dyDescent="0.15">
      <c r="A76" s="147" t="s">
        <v>595</v>
      </c>
      <c r="B76" s="150">
        <f>反映シート!G275</f>
        <v>0</v>
      </c>
    </row>
    <row r="77" spans="1:2" x14ac:dyDescent="0.15">
      <c r="A77" s="147" t="s">
        <v>596</v>
      </c>
      <c r="B77" s="150">
        <f>反映シート!G277</f>
        <v>0</v>
      </c>
    </row>
    <row r="78" spans="1:2" x14ac:dyDescent="0.15">
      <c r="A78" s="147" t="s">
        <v>597</v>
      </c>
      <c r="B78" s="150">
        <f>反映シート!G279</f>
        <v>0</v>
      </c>
    </row>
    <row r="79" spans="1:2" x14ac:dyDescent="0.15">
      <c r="A79" s="147" t="s">
        <v>598</v>
      </c>
      <c r="B79" s="150">
        <f>反映シート!G281</f>
        <v>0</v>
      </c>
    </row>
    <row r="80" spans="1:2" x14ac:dyDescent="0.15">
      <c r="A80" s="147" t="s">
        <v>599</v>
      </c>
      <c r="B80" s="150">
        <f>反映シート!G287</f>
        <v>0</v>
      </c>
    </row>
    <row r="81" spans="1:2" x14ac:dyDescent="0.15">
      <c r="A81" s="147" t="s">
        <v>600</v>
      </c>
      <c r="B81" s="150">
        <f>反映シート!G247</f>
        <v>0</v>
      </c>
    </row>
    <row r="82" spans="1:2" x14ac:dyDescent="0.15">
      <c r="A82" s="147" t="s">
        <v>601</v>
      </c>
      <c r="B82" s="150">
        <f>反映シート!G259</f>
        <v>0</v>
      </c>
    </row>
    <row r="83" spans="1:2" x14ac:dyDescent="0.15">
      <c r="A83" s="147" t="s">
        <v>602</v>
      </c>
      <c r="B83" s="150">
        <f>反映シート!G271</f>
        <v>0</v>
      </c>
    </row>
    <row r="84" spans="1:2" x14ac:dyDescent="0.15">
      <c r="A84" s="147" t="s">
        <v>603</v>
      </c>
      <c r="B84" s="150">
        <f>反映シート!G283</f>
        <v>0</v>
      </c>
    </row>
    <row r="85" spans="1:2" x14ac:dyDescent="0.15">
      <c r="A85" s="147" t="s">
        <v>604</v>
      </c>
      <c r="B85" s="150">
        <f>反映シート!G289</f>
        <v>0</v>
      </c>
    </row>
    <row r="86" spans="1:2" x14ac:dyDescent="0.15">
      <c r="A86" s="147" t="s">
        <v>605</v>
      </c>
      <c r="B86" s="150">
        <f>反映シート!G305</f>
        <v>0</v>
      </c>
    </row>
    <row r="87" spans="1:2" x14ac:dyDescent="0.15">
      <c r="A87" s="147" t="s">
        <v>606</v>
      </c>
      <c r="B87" s="150">
        <f>反映シート!G307</f>
        <v>0</v>
      </c>
    </row>
    <row r="88" spans="1:2" x14ac:dyDescent="0.15">
      <c r="A88" s="147" t="s">
        <v>607</v>
      </c>
      <c r="B88" s="150">
        <f>反映シート!G309</f>
        <v>0</v>
      </c>
    </row>
    <row r="89" spans="1:2" x14ac:dyDescent="0.15">
      <c r="A89" s="147" t="s">
        <v>608</v>
      </c>
      <c r="B89" s="150">
        <f>反映シート!G313</f>
        <v>0</v>
      </c>
    </row>
    <row r="90" spans="1:2" x14ac:dyDescent="0.15">
      <c r="A90" s="147" t="s">
        <v>609</v>
      </c>
      <c r="B90" s="150">
        <f>反映シート!G315</f>
        <v>0</v>
      </c>
    </row>
    <row r="91" spans="1:2" x14ac:dyDescent="0.15">
      <c r="A91" s="147" t="s">
        <v>610</v>
      </c>
      <c r="B91" s="150">
        <f>反映シート!G317</f>
        <v>0</v>
      </c>
    </row>
    <row r="92" spans="1:2" x14ac:dyDescent="0.15">
      <c r="A92" s="147" t="s">
        <v>611</v>
      </c>
      <c r="B92" s="150">
        <f>反映シート!G319</f>
        <v>0</v>
      </c>
    </row>
    <row r="93" spans="1:2" x14ac:dyDescent="0.15">
      <c r="A93" s="147" t="s">
        <v>612</v>
      </c>
      <c r="B93" s="150">
        <f>反映シート!G323</f>
        <v>0</v>
      </c>
    </row>
    <row r="94" spans="1:2" x14ac:dyDescent="0.15">
      <c r="A94" s="147" t="s">
        <v>613</v>
      </c>
      <c r="B94" s="150">
        <f>反映シート!G325</f>
        <v>0</v>
      </c>
    </row>
    <row r="95" spans="1:2" x14ac:dyDescent="0.15">
      <c r="A95" s="147" t="s">
        <v>614</v>
      </c>
      <c r="B95" s="150">
        <f>反映シート!G327</f>
        <v>0</v>
      </c>
    </row>
    <row r="96" spans="1:2" x14ac:dyDescent="0.15">
      <c r="A96" s="147" t="s">
        <v>615</v>
      </c>
      <c r="B96" s="150">
        <f>反映シート!G329</f>
        <v>0</v>
      </c>
    </row>
    <row r="97" spans="1:3" x14ac:dyDescent="0.15">
      <c r="A97" s="147" t="s">
        <v>616</v>
      </c>
      <c r="B97" s="150">
        <f>反映シート!G333</f>
        <v>0</v>
      </c>
    </row>
    <row r="98" spans="1:3" x14ac:dyDescent="0.15">
      <c r="A98" s="147" t="s">
        <v>617</v>
      </c>
      <c r="B98" s="150">
        <f>反映シート!G335</f>
        <v>0</v>
      </c>
    </row>
    <row r="99" spans="1:3" x14ac:dyDescent="0.15">
      <c r="A99" s="147" t="s">
        <v>618</v>
      </c>
      <c r="B99" s="150">
        <f>反映シート!G337</f>
        <v>0</v>
      </c>
    </row>
    <row r="100" spans="1:3" x14ac:dyDescent="0.15">
      <c r="A100" s="147" t="s">
        <v>619</v>
      </c>
      <c r="B100" s="150">
        <f>反映シート!G339</f>
        <v>0</v>
      </c>
    </row>
    <row r="101" spans="1:3" x14ac:dyDescent="0.15">
      <c r="A101" s="147" t="s">
        <v>620</v>
      </c>
      <c r="B101" s="150">
        <f>反映シート!G343</f>
        <v>0</v>
      </c>
    </row>
    <row r="102" spans="1:3" x14ac:dyDescent="0.15">
      <c r="A102" s="147" t="s">
        <v>621</v>
      </c>
      <c r="B102" s="149">
        <f>入力シート!C348</f>
        <v>0</v>
      </c>
      <c r="C102" s="148" t="s">
        <v>528</v>
      </c>
    </row>
    <row r="103" spans="1:3" x14ac:dyDescent="0.15">
      <c r="A103" s="147" t="s">
        <v>622</v>
      </c>
      <c r="B103" s="147" t="str">
        <f>反映シート!P357</f>
        <v/>
      </c>
    </row>
    <row r="104" spans="1:3" x14ac:dyDescent="0.15">
      <c r="A104" s="147" t="s">
        <v>623</v>
      </c>
      <c r="B104" s="147" t="str">
        <f>反映シート!P361</f>
        <v/>
      </c>
    </row>
    <row r="105" spans="1:3" x14ac:dyDescent="0.15">
      <c r="A105" s="147" t="s">
        <v>624</v>
      </c>
      <c r="B105" s="147" t="str">
        <f>反映シート!P363</f>
        <v/>
      </c>
    </row>
    <row r="106" spans="1:3" x14ac:dyDescent="0.15">
      <c r="A106" s="147" t="s">
        <v>625</v>
      </c>
      <c r="B106" s="147" t="str">
        <f>反映シート!P367</f>
        <v/>
      </c>
    </row>
    <row r="107" spans="1:3" x14ac:dyDescent="0.15">
      <c r="A107" s="147" t="s">
        <v>626</v>
      </c>
      <c r="B107" s="147" t="str">
        <f>反映シート!P369</f>
        <v/>
      </c>
    </row>
    <row r="108" spans="1:3" x14ac:dyDescent="0.15">
      <c r="A108" s="147" t="s">
        <v>627</v>
      </c>
      <c r="B108" s="147" t="str">
        <f>反映シート!G373</f>
        <v/>
      </c>
    </row>
    <row r="109" spans="1:3" x14ac:dyDescent="0.15">
      <c r="A109" s="147" t="s">
        <v>628</v>
      </c>
      <c r="B109" s="147" t="str">
        <f>反映シート!G375</f>
        <v/>
      </c>
    </row>
    <row r="110" spans="1:3" x14ac:dyDescent="0.15">
      <c r="A110" s="147" t="s">
        <v>629</v>
      </c>
      <c r="B110" s="147" t="str">
        <f>反映シート!G377</f>
        <v/>
      </c>
    </row>
    <row r="111" spans="1:3" x14ac:dyDescent="0.15">
      <c r="A111" s="147" t="s">
        <v>630</v>
      </c>
      <c r="B111" s="147" t="str">
        <f>反映シート!G379</f>
        <v/>
      </c>
    </row>
    <row r="112" spans="1:3" x14ac:dyDescent="0.15">
      <c r="A112" s="147" t="s">
        <v>631</v>
      </c>
      <c r="B112" s="147" t="str">
        <f>反映シート!G387</f>
        <v/>
      </c>
    </row>
    <row r="113" spans="1:2" x14ac:dyDescent="0.15">
      <c r="A113" s="147" t="s">
        <v>632</v>
      </c>
      <c r="B113" s="147" t="str">
        <f>反映シート!G389</f>
        <v/>
      </c>
    </row>
    <row r="114" spans="1:2" x14ac:dyDescent="0.15">
      <c r="A114" s="147" t="s">
        <v>633</v>
      </c>
      <c r="B114" s="147" t="str">
        <f>反映シート!G391</f>
        <v/>
      </c>
    </row>
    <row r="115" spans="1:2" x14ac:dyDescent="0.15">
      <c r="A115" s="147" t="s">
        <v>634</v>
      </c>
      <c r="B115" s="147" t="str">
        <f>反映シート!G393</f>
        <v/>
      </c>
    </row>
  </sheetData>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AD489"/>
  <sheetViews>
    <sheetView workbookViewId="0">
      <selection activeCell="C348" sqref="C348:G348"/>
    </sheetView>
  </sheetViews>
  <sheetFormatPr defaultColWidth="9" defaultRowHeight="13.5" x14ac:dyDescent="0.15"/>
  <cols>
    <col min="1" max="1" width="0.875" style="217" customWidth="1"/>
    <col min="2" max="2" width="3.625" style="217" customWidth="1"/>
    <col min="3" max="3" width="4.625" style="217" customWidth="1"/>
    <col min="4" max="4" width="4.75" style="217" customWidth="1"/>
    <col min="5" max="5" width="1.875" style="217" customWidth="1"/>
    <col min="6" max="6" width="3.375" style="217" customWidth="1"/>
    <col min="7" max="7" width="6.25" style="217" customWidth="1"/>
    <col min="8" max="8" width="1.875" style="217" customWidth="1"/>
    <col min="9" max="9" width="9" style="217"/>
    <col min="10" max="10" width="1.875" style="217" customWidth="1"/>
    <col min="11" max="11" width="9" style="217"/>
    <col min="12" max="12" width="1.875" style="217" customWidth="1"/>
    <col min="13" max="13" width="9" style="217"/>
    <col min="14" max="14" width="1.875" style="217" customWidth="1"/>
    <col min="15" max="15" width="9" style="217"/>
    <col min="16" max="16" width="1.875" style="217" customWidth="1"/>
    <col min="17" max="17" width="9" style="217"/>
    <col min="18" max="18" width="9" style="217" customWidth="1"/>
    <col min="19" max="19" width="11" style="217" customWidth="1"/>
    <col min="20" max="20" width="2.625" style="217" customWidth="1"/>
    <col min="21" max="23" width="0.875" style="217" customWidth="1"/>
    <col min="24" max="16384" width="9" style="217"/>
  </cols>
  <sheetData>
    <row r="1" spans="1:23" x14ac:dyDescent="0.15">
      <c r="A1" s="220"/>
      <c r="B1" s="220"/>
      <c r="C1" s="220"/>
      <c r="D1" s="220"/>
      <c r="E1" s="220"/>
      <c r="F1" s="220"/>
      <c r="G1" s="220"/>
      <c r="H1" s="220"/>
      <c r="I1" s="220"/>
      <c r="J1" s="220"/>
      <c r="K1" s="220"/>
      <c r="L1" s="220"/>
      <c r="M1" s="220"/>
      <c r="N1" s="220"/>
      <c r="O1" s="220"/>
      <c r="P1" s="220"/>
      <c r="Q1" s="220"/>
      <c r="R1" s="220"/>
      <c r="S1" s="220"/>
      <c r="T1" s="220"/>
      <c r="U1" s="220"/>
      <c r="V1" s="220"/>
      <c r="W1" s="220"/>
    </row>
    <row r="2" spans="1:23" ht="30" customHeight="1" x14ac:dyDescent="0.15">
      <c r="A2" s="220"/>
      <c r="B2" s="290" t="s">
        <v>1</v>
      </c>
      <c r="C2" s="291"/>
      <c r="D2" s="291"/>
      <c r="E2" s="291"/>
      <c r="F2" s="291"/>
      <c r="G2" s="291"/>
      <c r="H2" s="291"/>
      <c r="I2" s="291"/>
      <c r="J2" s="291"/>
      <c r="K2" s="291"/>
      <c r="L2" s="291"/>
      <c r="M2" s="291"/>
      <c r="N2" s="291"/>
      <c r="O2" s="291"/>
      <c r="P2" s="291"/>
      <c r="Q2" s="291"/>
      <c r="R2" s="291"/>
      <c r="S2" s="291"/>
      <c r="T2" s="152"/>
      <c r="U2" s="220"/>
      <c r="V2" s="220"/>
      <c r="W2" s="220"/>
    </row>
    <row r="3" spans="1:23" x14ac:dyDescent="0.15">
      <c r="A3" s="220"/>
      <c r="B3" s="220"/>
      <c r="C3" s="220"/>
      <c r="D3" s="220"/>
      <c r="E3" s="220"/>
      <c r="F3" s="220"/>
      <c r="G3" s="220"/>
      <c r="H3" s="220"/>
      <c r="I3" s="220"/>
      <c r="J3" s="220"/>
      <c r="K3" s="220"/>
      <c r="L3" s="220"/>
      <c r="M3" s="220"/>
      <c r="N3" s="220"/>
      <c r="O3" s="220"/>
      <c r="P3" s="220"/>
      <c r="Q3" s="220"/>
      <c r="R3" s="220"/>
      <c r="S3" s="220"/>
      <c r="T3" s="220"/>
      <c r="U3" s="220"/>
      <c r="V3" s="220"/>
      <c r="W3" s="220"/>
    </row>
    <row r="4" spans="1:23" x14ac:dyDescent="0.15">
      <c r="A4" s="220"/>
      <c r="B4" s="230" t="s">
        <v>3</v>
      </c>
      <c r="C4" s="220"/>
      <c r="D4" s="220"/>
      <c r="E4" s="220"/>
      <c r="F4" s="220"/>
      <c r="G4" s="220"/>
      <c r="H4" s="220"/>
      <c r="I4" s="220"/>
      <c r="J4" s="220"/>
      <c r="K4" s="220"/>
      <c r="L4" s="220"/>
      <c r="M4" s="220"/>
      <c r="N4" s="220"/>
      <c r="O4" s="220"/>
      <c r="P4" s="220"/>
      <c r="Q4" s="220"/>
      <c r="R4" s="220"/>
      <c r="S4" s="220"/>
      <c r="T4" s="220"/>
      <c r="U4" s="220"/>
      <c r="V4" s="220"/>
      <c r="W4" s="220"/>
    </row>
    <row r="5" spans="1:23" ht="5.0999999999999996" customHeight="1" x14ac:dyDescent="0.15">
      <c r="A5" s="220"/>
      <c r="B5" s="2"/>
      <c r="C5" s="2"/>
      <c r="D5" s="2"/>
      <c r="E5" s="2"/>
      <c r="F5" s="2"/>
      <c r="G5" s="2"/>
      <c r="H5" s="2"/>
      <c r="I5" s="2"/>
      <c r="J5" s="2"/>
      <c r="K5" s="2"/>
      <c r="L5" s="2"/>
      <c r="M5" s="2"/>
      <c r="N5" s="2"/>
      <c r="O5" s="2"/>
      <c r="P5" s="2"/>
      <c r="Q5" s="2"/>
      <c r="R5" s="2"/>
      <c r="S5" s="2"/>
      <c r="T5" s="2"/>
      <c r="U5" s="220"/>
      <c r="V5" s="220"/>
      <c r="W5" s="220"/>
    </row>
    <row r="6" spans="1:23" x14ac:dyDescent="0.15">
      <c r="A6" s="220"/>
      <c r="B6" s="2" t="s">
        <v>2</v>
      </c>
      <c r="C6" s="2"/>
      <c r="D6" s="2"/>
      <c r="E6" s="2"/>
      <c r="F6" s="2"/>
      <c r="G6" s="2"/>
      <c r="H6" s="2"/>
      <c r="I6" s="2"/>
      <c r="J6" s="2"/>
      <c r="K6" s="2"/>
      <c r="L6" s="2"/>
      <c r="M6" s="2"/>
      <c r="N6" s="2"/>
      <c r="O6" s="2"/>
      <c r="P6" s="2"/>
      <c r="Q6" s="2"/>
      <c r="R6" s="2"/>
      <c r="S6" s="2"/>
      <c r="T6" s="2"/>
      <c r="U6" s="220"/>
      <c r="V6" s="220"/>
      <c r="W6" s="220"/>
    </row>
    <row r="7" spans="1:23" ht="5.0999999999999996" customHeight="1" x14ac:dyDescent="0.15">
      <c r="A7" s="220"/>
      <c r="B7" s="2"/>
      <c r="C7" s="2"/>
      <c r="D7" s="2"/>
      <c r="E7" s="2"/>
      <c r="F7" s="2"/>
      <c r="G7" s="2"/>
      <c r="H7" s="2"/>
      <c r="I7" s="2"/>
      <c r="J7" s="2"/>
      <c r="K7" s="2"/>
      <c r="L7" s="2"/>
      <c r="M7" s="2"/>
      <c r="N7" s="2"/>
      <c r="O7" s="2"/>
      <c r="P7" s="2"/>
      <c r="Q7" s="2"/>
      <c r="R7" s="2"/>
      <c r="S7" s="2"/>
      <c r="T7" s="2"/>
      <c r="U7" s="220"/>
      <c r="V7" s="220"/>
      <c r="W7" s="220"/>
    </row>
    <row r="8" spans="1:23" x14ac:dyDescent="0.15">
      <c r="A8" s="220"/>
      <c r="B8" s="2" t="s">
        <v>259</v>
      </c>
      <c r="C8" s="2"/>
      <c r="D8" s="2"/>
      <c r="E8" s="2"/>
      <c r="F8" s="2"/>
      <c r="G8" s="2"/>
      <c r="H8" s="2"/>
      <c r="I8" s="2"/>
      <c r="J8" s="2"/>
      <c r="K8" s="2"/>
      <c r="L8" s="2"/>
      <c r="M8" s="2"/>
      <c r="N8" s="2"/>
      <c r="O8" s="2"/>
      <c r="P8" s="2"/>
      <c r="Q8" s="2"/>
      <c r="R8" s="2"/>
      <c r="S8" s="2"/>
      <c r="T8" s="2"/>
      <c r="U8" s="220"/>
      <c r="V8" s="220"/>
      <c r="W8" s="220"/>
    </row>
    <row r="9" spans="1:23" ht="5.0999999999999996" customHeight="1" thickBot="1" x14ac:dyDescent="0.2">
      <c r="A9" s="220"/>
      <c r="B9" s="2"/>
      <c r="C9" s="2"/>
      <c r="D9" s="2"/>
      <c r="E9" s="2"/>
      <c r="F9" s="2"/>
      <c r="G9" s="2"/>
      <c r="H9" s="2"/>
      <c r="I9" s="2"/>
      <c r="J9" s="2"/>
      <c r="K9" s="2"/>
      <c r="L9" s="2"/>
      <c r="M9" s="2"/>
      <c r="N9" s="2"/>
      <c r="O9" s="2"/>
      <c r="P9" s="2"/>
      <c r="Q9" s="2"/>
      <c r="R9" s="2"/>
      <c r="S9" s="2"/>
      <c r="T9" s="2"/>
      <c r="U9" s="220"/>
      <c r="V9" s="220"/>
      <c r="W9" s="220"/>
    </row>
    <row r="10" spans="1:23" ht="14.25" thickBot="1" x14ac:dyDescent="0.2">
      <c r="A10" s="220"/>
      <c r="B10" s="2"/>
      <c r="C10" s="261"/>
      <c r="D10" s="300"/>
      <c r="E10" s="300"/>
      <c r="F10" s="300"/>
      <c r="G10" s="300"/>
      <c r="H10" s="300"/>
      <c r="I10" s="300"/>
      <c r="J10" s="300"/>
      <c r="K10" s="300"/>
      <c r="L10" s="300"/>
      <c r="M10" s="300"/>
      <c r="N10" s="300"/>
      <c r="O10" s="300"/>
      <c r="P10" s="300"/>
      <c r="Q10" s="262"/>
      <c r="R10" s="2"/>
      <c r="S10" s="2"/>
      <c r="T10" s="2"/>
      <c r="U10" s="220"/>
      <c r="V10" s="220"/>
      <c r="W10" s="220"/>
    </row>
    <row r="11" spans="1:23" ht="5.0999999999999996" customHeight="1" x14ac:dyDescent="0.15">
      <c r="A11" s="220"/>
      <c r="B11" s="2"/>
      <c r="C11" s="2"/>
      <c r="D11" s="2"/>
      <c r="E11" s="2"/>
      <c r="F11" s="2"/>
      <c r="G11" s="2"/>
      <c r="H11" s="2"/>
      <c r="I11" s="2"/>
      <c r="J11" s="2"/>
      <c r="K11" s="2"/>
      <c r="L11" s="2"/>
      <c r="M11" s="2"/>
      <c r="N11" s="2"/>
      <c r="O11" s="2"/>
      <c r="P11" s="2"/>
      <c r="Q11" s="2"/>
      <c r="R11" s="2"/>
      <c r="S11" s="2"/>
      <c r="T11" s="2"/>
      <c r="U11" s="220"/>
      <c r="V11" s="220"/>
      <c r="W11" s="220"/>
    </row>
    <row r="12" spans="1:23" x14ac:dyDescent="0.15">
      <c r="A12" s="220"/>
      <c r="B12" s="220" t="str">
        <f>IF(反映シート!C76="なし","下記の1～11の文章にしたがって、各項目に情報を入力してください。","下記の1～12の文章にしたがって、各項目に情報を入力してください。")</f>
        <v>下記の1～11の文章にしたがって、各項目に情報を入力してください。</v>
      </c>
      <c r="C12" s="220"/>
      <c r="D12" s="220"/>
      <c r="E12" s="220"/>
      <c r="F12" s="220"/>
      <c r="G12" s="220"/>
      <c r="H12" s="220"/>
      <c r="I12" s="220"/>
      <c r="J12" s="220"/>
      <c r="K12" s="220"/>
      <c r="L12" s="220"/>
      <c r="M12" s="220"/>
      <c r="N12" s="220"/>
      <c r="O12" s="220"/>
      <c r="P12" s="220"/>
      <c r="Q12" s="220"/>
      <c r="R12" s="220"/>
      <c r="S12" s="220"/>
      <c r="T12" s="220"/>
      <c r="U12" s="220"/>
      <c r="V12" s="220"/>
      <c r="W12" s="220"/>
    </row>
    <row r="13" spans="1:23" x14ac:dyDescent="0.15">
      <c r="A13" s="220"/>
      <c r="B13" s="220"/>
      <c r="C13" s="220"/>
      <c r="D13" s="220"/>
      <c r="E13" s="220"/>
      <c r="F13" s="220"/>
      <c r="G13" s="220"/>
      <c r="H13" s="220"/>
      <c r="I13" s="220"/>
      <c r="J13" s="220"/>
      <c r="K13" s="220"/>
      <c r="L13" s="220"/>
      <c r="M13" s="220"/>
      <c r="N13" s="220"/>
      <c r="O13" s="220"/>
      <c r="P13" s="220"/>
      <c r="Q13" s="220"/>
      <c r="R13" s="220"/>
      <c r="S13" s="220"/>
      <c r="T13" s="220"/>
      <c r="U13" s="220"/>
      <c r="V13" s="220"/>
      <c r="W13" s="220"/>
    </row>
    <row r="14" spans="1:23" ht="5.0999999999999996" customHeight="1" x14ac:dyDescent="0.15">
      <c r="A14" s="220"/>
      <c r="B14" s="4"/>
      <c r="C14" s="4"/>
      <c r="D14" s="4"/>
      <c r="E14" s="4"/>
      <c r="F14" s="4"/>
      <c r="G14" s="4"/>
      <c r="H14" s="4"/>
      <c r="I14" s="4"/>
      <c r="J14" s="4"/>
      <c r="K14" s="4"/>
      <c r="L14" s="4"/>
      <c r="M14" s="4"/>
      <c r="N14" s="4"/>
      <c r="O14" s="4"/>
      <c r="P14" s="4"/>
      <c r="Q14" s="4"/>
      <c r="R14" s="4"/>
      <c r="S14" s="4"/>
      <c r="T14" s="4"/>
      <c r="U14" s="220"/>
      <c r="V14" s="220"/>
      <c r="W14" s="220"/>
    </row>
    <row r="15" spans="1:23" x14ac:dyDescent="0.15">
      <c r="A15" s="220"/>
      <c r="B15" s="4" t="s">
        <v>4</v>
      </c>
      <c r="C15" s="4"/>
      <c r="D15" s="4"/>
      <c r="E15" s="4"/>
      <c r="F15" s="4"/>
      <c r="G15" s="4"/>
      <c r="H15" s="4"/>
      <c r="I15" s="4"/>
      <c r="J15" s="4"/>
      <c r="K15" s="4"/>
      <c r="L15" s="4"/>
      <c r="M15" s="4"/>
      <c r="N15" s="4"/>
      <c r="O15" s="4"/>
      <c r="P15" s="4"/>
      <c r="Q15" s="4"/>
      <c r="R15" s="4"/>
      <c r="S15" s="4"/>
      <c r="T15" s="4"/>
      <c r="U15" s="220"/>
      <c r="V15" s="220"/>
      <c r="W15" s="220"/>
    </row>
    <row r="16" spans="1:23" ht="5.0999999999999996" customHeight="1" thickBot="1" x14ac:dyDescent="0.2">
      <c r="A16" s="220"/>
      <c r="B16" s="4"/>
      <c r="C16" s="4"/>
      <c r="D16" s="4"/>
      <c r="E16" s="4"/>
      <c r="F16" s="4"/>
      <c r="G16" s="4"/>
      <c r="H16" s="4"/>
      <c r="I16" s="4"/>
      <c r="J16" s="4"/>
      <c r="K16" s="4"/>
      <c r="L16" s="4"/>
      <c r="M16" s="4"/>
      <c r="N16" s="4"/>
      <c r="O16" s="4"/>
      <c r="P16" s="4"/>
      <c r="Q16" s="4"/>
      <c r="R16" s="4"/>
      <c r="S16" s="4"/>
      <c r="T16" s="4"/>
      <c r="U16" s="220"/>
      <c r="V16" s="220"/>
      <c r="W16" s="220"/>
    </row>
    <row r="17" spans="1:23" ht="14.25" thickBot="1" x14ac:dyDescent="0.2">
      <c r="A17" s="220"/>
      <c r="B17" s="4"/>
      <c r="C17" s="295"/>
      <c r="D17" s="296"/>
      <c r="E17" s="296"/>
      <c r="F17" s="296"/>
      <c r="G17" s="296"/>
      <c r="H17" s="296"/>
      <c r="I17" s="297"/>
      <c r="J17" s="4"/>
      <c r="K17" s="4"/>
      <c r="L17" s="4"/>
      <c r="M17" s="4"/>
      <c r="N17" s="4"/>
      <c r="O17" s="4"/>
      <c r="P17" s="4"/>
      <c r="Q17" s="4"/>
      <c r="R17" s="4"/>
      <c r="S17" s="4"/>
      <c r="T17" s="4"/>
      <c r="U17" s="220"/>
      <c r="V17" s="220"/>
      <c r="W17" s="220"/>
    </row>
    <row r="18" spans="1:23" ht="5.0999999999999996" customHeight="1" x14ac:dyDescent="0.15">
      <c r="A18" s="220"/>
      <c r="B18" s="4"/>
      <c r="C18" s="5"/>
      <c r="D18" s="5"/>
      <c r="E18" s="5"/>
      <c r="F18" s="5"/>
      <c r="G18" s="5"/>
      <c r="H18" s="5"/>
      <c r="I18" s="4"/>
      <c r="J18" s="4"/>
      <c r="K18" s="4"/>
      <c r="L18" s="4"/>
      <c r="M18" s="4"/>
      <c r="N18" s="4"/>
      <c r="O18" s="4"/>
      <c r="P18" s="4"/>
      <c r="Q18" s="4"/>
      <c r="R18" s="4"/>
      <c r="S18" s="4"/>
      <c r="T18" s="4"/>
      <c r="U18" s="220"/>
      <c r="V18" s="220"/>
      <c r="W18" s="220"/>
    </row>
    <row r="19" spans="1:23" x14ac:dyDescent="0.15">
      <c r="A19" s="220"/>
      <c r="B19" s="4"/>
      <c r="C19" s="46" t="s">
        <v>5</v>
      </c>
      <c r="D19" s="46"/>
      <c r="E19" s="46"/>
      <c r="F19" s="46"/>
      <c r="G19" s="5"/>
      <c r="H19" s="5"/>
      <c r="I19" s="4"/>
      <c r="J19" s="4"/>
      <c r="K19" s="4"/>
      <c r="L19" s="4"/>
      <c r="M19" s="4"/>
      <c r="N19" s="4"/>
      <c r="O19" s="4"/>
      <c r="P19" s="4"/>
      <c r="Q19" s="4"/>
      <c r="R19" s="4"/>
      <c r="S19" s="4"/>
      <c r="T19" s="4"/>
      <c r="U19" s="220"/>
      <c r="V19" s="220"/>
      <c r="W19" s="220"/>
    </row>
    <row r="20" spans="1:23" ht="5.0999999999999996" customHeight="1" x14ac:dyDescent="0.15">
      <c r="A20" s="220"/>
      <c r="B20" s="4"/>
      <c r="C20" s="5"/>
      <c r="D20" s="5"/>
      <c r="E20" s="5"/>
      <c r="F20" s="5"/>
      <c r="G20" s="5"/>
      <c r="H20" s="5"/>
      <c r="I20" s="4"/>
      <c r="J20" s="4"/>
      <c r="K20" s="4"/>
      <c r="L20" s="4"/>
      <c r="M20" s="4"/>
      <c r="N20" s="4"/>
      <c r="O20" s="4"/>
      <c r="P20" s="4"/>
      <c r="Q20" s="4"/>
      <c r="R20" s="4"/>
      <c r="S20" s="4"/>
      <c r="T20" s="4"/>
      <c r="U20" s="220"/>
      <c r="V20" s="220"/>
      <c r="W20" s="220"/>
    </row>
    <row r="21" spans="1:23" x14ac:dyDescent="0.15">
      <c r="A21" s="220"/>
      <c r="B21" s="220"/>
      <c r="C21" s="231"/>
      <c r="D21" s="231"/>
      <c r="E21" s="231"/>
      <c r="F21" s="231"/>
      <c r="G21" s="231"/>
      <c r="H21" s="231"/>
      <c r="I21" s="220"/>
      <c r="J21" s="220"/>
      <c r="K21" s="220"/>
      <c r="L21" s="220"/>
      <c r="M21" s="220"/>
      <c r="N21" s="220"/>
      <c r="O21" s="220"/>
      <c r="P21" s="220"/>
      <c r="Q21" s="220"/>
      <c r="R21" s="220"/>
      <c r="S21" s="220"/>
      <c r="T21" s="220"/>
      <c r="U21" s="220"/>
      <c r="V21" s="220"/>
      <c r="W21" s="220"/>
    </row>
    <row r="22" spans="1:23" ht="5.0999999999999996" customHeight="1" x14ac:dyDescent="0.15">
      <c r="A22" s="220"/>
      <c r="B22" s="2"/>
      <c r="C22" s="3"/>
      <c r="D22" s="3"/>
      <c r="E22" s="3"/>
      <c r="F22" s="3"/>
      <c r="G22" s="3"/>
      <c r="H22" s="3"/>
      <c r="I22" s="2"/>
      <c r="J22" s="2"/>
      <c r="K22" s="2"/>
      <c r="L22" s="2"/>
      <c r="M22" s="2"/>
      <c r="N22" s="2"/>
      <c r="O22" s="2"/>
      <c r="P22" s="2"/>
      <c r="Q22" s="2"/>
      <c r="R22" s="2"/>
      <c r="S22" s="2"/>
      <c r="T22" s="2"/>
      <c r="U22" s="220"/>
      <c r="V22" s="220"/>
      <c r="W22" s="220"/>
    </row>
    <row r="23" spans="1:23" x14ac:dyDescent="0.15">
      <c r="A23" s="220"/>
      <c r="B23" s="2" t="s">
        <v>475</v>
      </c>
      <c r="C23" s="2"/>
      <c r="D23" s="2"/>
      <c r="E23" s="2"/>
      <c r="F23" s="2"/>
      <c r="G23" s="2"/>
      <c r="H23" s="2"/>
      <c r="I23" s="2"/>
      <c r="J23" s="2"/>
      <c r="K23" s="2"/>
      <c r="L23" s="2"/>
      <c r="M23" s="2"/>
      <c r="N23" s="2"/>
      <c r="O23" s="2"/>
      <c r="P23" s="2"/>
      <c r="Q23" s="2"/>
      <c r="R23" s="2"/>
      <c r="S23" s="2"/>
      <c r="T23" s="2"/>
      <c r="U23" s="220"/>
      <c r="V23" s="220"/>
      <c r="W23" s="220"/>
    </row>
    <row r="24" spans="1:23" ht="5.0999999999999996" customHeight="1" thickBot="1" x14ac:dyDescent="0.2">
      <c r="A24" s="220"/>
      <c r="B24" s="2"/>
      <c r="C24" s="2"/>
      <c r="D24" s="2"/>
      <c r="E24" s="2"/>
      <c r="F24" s="2"/>
      <c r="G24" s="2"/>
      <c r="H24" s="2"/>
      <c r="I24" s="2"/>
      <c r="J24" s="2"/>
      <c r="K24" s="2"/>
      <c r="L24" s="2"/>
      <c r="M24" s="2"/>
      <c r="N24" s="2"/>
      <c r="O24" s="2"/>
      <c r="P24" s="2"/>
      <c r="Q24" s="2"/>
      <c r="R24" s="2"/>
      <c r="S24" s="2"/>
      <c r="T24" s="2"/>
      <c r="U24" s="220"/>
      <c r="V24" s="220"/>
      <c r="W24" s="220"/>
    </row>
    <row r="25" spans="1:23" ht="14.25" thickBot="1" x14ac:dyDescent="0.2">
      <c r="A25" s="220"/>
      <c r="B25" s="2"/>
      <c r="C25" s="292"/>
      <c r="D25" s="293"/>
      <c r="E25" s="293"/>
      <c r="F25" s="293"/>
      <c r="G25" s="294"/>
      <c r="H25" s="2"/>
      <c r="I25" s="2" t="s">
        <v>660</v>
      </c>
      <c r="J25" s="2"/>
      <c r="K25" s="2"/>
      <c r="L25" s="2"/>
      <c r="M25" s="2"/>
      <c r="N25" s="2"/>
      <c r="O25" s="2"/>
      <c r="P25" s="2"/>
      <c r="Q25" s="2"/>
      <c r="R25" s="2"/>
      <c r="S25" s="2"/>
      <c r="T25" s="2"/>
      <c r="U25" s="220"/>
      <c r="V25" s="228"/>
      <c r="W25" s="228"/>
    </row>
    <row r="26" spans="1:23" ht="5.0999999999999996" customHeight="1" x14ac:dyDescent="0.15">
      <c r="A26" s="220"/>
      <c r="B26" s="2"/>
      <c r="C26" s="2"/>
      <c r="D26" s="2"/>
      <c r="E26" s="2"/>
      <c r="F26" s="2"/>
      <c r="G26" s="2"/>
      <c r="H26" s="2"/>
      <c r="I26" s="2"/>
      <c r="J26" s="2"/>
      <c r="K26" s="2"/>
      <c r="L26" s="2"/>
      <c r="M26" s="2"/>
      <c r="N26" s="2"/>
      <c r="O26" s="2"/>
      <c r="P26" s="2"/>
      <c r="Q26" s="2"/>
      <c r="R26" s="2"/>
      <c r="S26" s="2"/>
      <c r="T26" s="2"/>
      <c r="U26" s="220"/>
      <c r="V26" s="220"/>
      <c r="W26" s="220"/>
    </row>
    <row r="27" spans="1:23" x14ac:dyDescent="0.15">
      <c r="A27" s="220"/>
      <c r="B27" s="117" t="s">
        <v>659</v>
      </c>
      <c r="C27" s="2"/>
      <c r="D27" s="2"/>
      <c r="E27" s="2"/>
      <c r="F27" s="2"/>
      <c r="G27" s="2"/>
      <c r="H27" s="2"/>
      <c r="I27" s="2"/>
      <c r="J27" s="2"/>
      <c r="K27" s="2"/>
      <c r="L27" s="2"/>
      <c r="M27" s="2"/>
      <c r="N27" s="2"/>
      <c r="O27" s="2"/>
      <c r="P27" s="2"/>
      <c r="Q27" s="2"/>
      <c r="R27" s="2"/>
      <c r="S27" s="2"/>
      <c r="T27" s="2"/>
      <c r="U27" s="220"/>
      <c r="V27" s="220"/>
      <c r="W27" s="220"/>
    </row>
    <row r="28" spans="1:23" ht="5.0999999999999996" customHeight="1" x14ac:dyDescent="0.15">
      <c r="A28" s="220"/>
      <c r="B28" s="2"/>
      <c r="C28" s="2"/>
      <c r="D28" s="2"/>
      <c r="E28" s="2"/>
      <c r="F28" s="2"/>
      <c r="G28" s="2"/>
      <c r="H28" s="2"/>
      <c r="I28" s="2"/>
      <c r="J28" s="2"/>
      <c r="K28" s="2"/>
      <c r="L28" s="2"/>
      <c r="M28" s="2"/>
      <c r="N28" s="2"/>
      <c r="O28" s="2"/>
      <c r="P28" s="2"/>
      <c r="Q28" s="2"/>
      <c r="R28" s="2"/>
      <c r="S28" s="2"/>
      <c r="T28" s="2"/>
      <c r="U28" s="220"/>
      <c r="V28" s="220"/>
      <c r="W28" s="220"/>
    </row>
    <row r="29" spans="1:23" x14ac:dyDescent="0.15">
      <c r="A29" s="220"/>
      <c r="B29" s="220"/>
      <c r="C29" s="220"/>
      <c r="D29" s="220"/>
      <c r="E29" s="220"/>
      <c r="F29" s="220"/>
      <c r="G29" s="220"/>
      <c r="H29" s="220"/>
      <c r="I29" s="220"/>
      <c r="J29" s="220"/>
      <c r="K29" s="220"/>
      <c r="L29" s="220"/>
      <c r="M29" s="220"/>
      <c r="N29" s="220"/>
      <c r="O29" s="220"/>
      <c r="P29" s="220"/>
      <c r="Q29" s="220"/>
      <c r="R29" s="220"/>
      <c r="S29" s="220"/>
      <c r="T29" s="220"/>
      <c r="U29" s="220"/>
      <c r="V29" s="220"/>
      <c r="W29" s="220"/>
    </row>
    <row r="30" spans="1:23" ht="5.0999999999999996" customHeight="1" x14ac:dyDescent="0.15">
      <c r="A30" s="220"/>
      <c r="B30" s="4"/>
      <c r="C30" s="4"/>
      <c r="D30" s="4"/>
      <c r="E30" s="4"/>
      <c r="F30" s="4"/>
      <c r="G30" s="4"/>
      <c r="H30" s="4"/>
      <c r="I30" s="4"/>
      <c r="J30" s="4"/>
      <c r="K30" s="4"/>
      <c r="L30" s="4"/>
      <c r="M30" s="4"/>
      <c r="N30" s="4"/>
      <c r="O30" s="4"/>
      <c r="P30" s="4"/>
      <c r="Q30" s="4"/>
      <c r="R30" s="4"/>
      <c r="S30" s="4"/>
      <c r="T30" s="4"/>
      <c r="U30" s="220"/>
      <c r="V30" s="220"/>
      <c r="W30" s="220"/>
    </row>
    <row r="31" spans="1:23" x14ac:dyDescent="0.15">
      <c r="A31" s="220"/>
      <c r="B31" s="4" t="s">
        <v>295</v>
      </c>
      <c r="C31" s="4"/>
      <c r="D31" s="4"/>
      <c r="E31" s="4"/>
      <c r="F31" s="4"/>
      <c r="G31" s="4"/>
      <c r="H31" s="4"/>
      <c r="I31" s="4"/>
      <c r="J31" s="4"/>
      <c r="K31" s="4"/>
      <c r="L31" s="4"/>
      <c r="M31" s="4"/>
      <c r="N31" s="4"/>
      <c r="O31" s="4"/>
      <c r="P31" s="4"/>
      <c r="Q31" s="4"/>
      <c r="R31" s="4"/>
      <c r="S31" s="4"/>
      <c r="T31" s="4"/>
      <c r="U31" s="220"/>
      <c r="V31" s="220"/>
      <c r="W31" s="220"/>
    </row>
    <row r="32" spans="1:23" ht="5.0999999999999996" customHeight="1" x14ac:dyDescent="0.15">
      <c r="A32" s="220"/>
      <c r="B32" s="4"/>
      <c r="C32" s="4"/>
      <c r="D32" s="4"/>
      <c r="E32" s="4"/>
      <c r="F32" s="4"/>
      <c r="G32" s="4"/>
      <c r="H32" s="4"/>
      <c r="I32" s="4"/>
      <c r="J32" s="4"/>
      <c r="K32" s="4"/>
      <c r="L32" s="4"/>
      <c r="M32" s="4"/>
      <c r="N32" s="4"/>
      <c r="O32" s="4"/>
      <c r="P32" s="4"/>
      <c r="Q32" s="4"/>
      <c r="R32" s="4"/>
      <c r="S32" s="4"/>
      <c r="T32" s="4"/>
      <c r="U32" s="220"/>
      <c r="V32" s="220"/>
      <c r="W32" s="220"/>
    </row>
    <row r="33" spans="1:23" x14ac:dyDescent="0.15">
      <c r="A33" s="220"/>
      <c r="B33" s="4"/>
      <c r="C33" s="118" t="s">
        <v>6</v>
      </c>
      <c r="D33" s="118"/>
      <c r="E33" s="118"/>
      <c r="F33" s="118"/>
      <c r="G33" s="119"/>
      <c r="H33" s="119"/>
      <c r="I33" s="119"/>
      <c r="J33" s="119"/>
      <c r="K33" s="119"/>
      <c r="L33" s="119"/>
      <c r="M33" s="119"/>
      <c r="N33" s="119"/>
      <c r="O33" s="119"/>
      <c r="P33" s="4"/>
      <c r="Q33" s="4"/>
      <c r="R33" s="4"/>
      <c r="S33" s="4"/>
      <c r="T33" s="4"/>
      <c r="U33" s="220"/>
      <c r="V33" s="220"/>
      <c r="W33" s="220"/>
    </row>
    <row r="34" spans="1:23" ht="5.0999999999999996" customHeight="1" x14ac:dyDescent="0.15">
      <c r="A34" s="220"/>
      <c r="B34" s="4"/>
      <c r="C34" s="4"/>
      <c r="D34" s="4"/>
      <c r="E34" s="4"/>
      <c r="F34" s="4"/>
      <c r="G34" s="4"/>
      <c r="H34" s="4"/>
      <c r="I34" s="4"/>
      <c r="J34" s="4"/>
      <c r="K34" s="4"/>
      <c r="L34" s="4"/>
      <c r="M34" s="4"/>
      <c r="N34" s="4"/>
      <c r="O34" s="4"/>
      <c r="P34" s="4"/>
      <c r="Q34" s="4"/>
      <c r="R34" s="4"/>
      <c r="S34" s="4"/>
      <c r="T34" s="4"/>
      <c r="U34" s="220"/>
      <c r="V34" s="220"/>
      <c r="W34" s="220"/>
    </row>
    <row r="35" spans="1:23" x14ac:dyDescent="0.15">
      <c r="A35" s="220"/>
      <c r="B35" s="4"/>
      <c r="C35" s="66" t="s">
        <v>7</v>
      </c>
      <c r="D35" s="66"/>
      <c r="E35" s="66"/>
      <c r="F35" s="66"/>
      <c r="G35" s="4"/>
      <c r="H35" s="4"/>
      <c r="I35" s="4"/>
      <c r="J35" s="4"/>
      <c r="K35" s="4"/>
      <c r="L35" s="4"/>
      <c r="M35" s="4"/>
      <c r="N35" s="4"/>
      <c r="O35" s="4"/>
      <c r="P35" s="4"/>
      <c r="Q35" s="4"/>
      <c r="R35" s="4"/>
      <c r="S35" s="4"/>
      <c r="T35" s="4"/>
      <c r="U35" s="220"/>
      <c r="V35" s="220"/>
      <c r="W35" s="220"/>
    </row>
    <row r="36" spans="1:23" ht="5.0999999999999996" customHeight="1" thickBot="1" x14ac:dyDescent="0.2">
      <c r="A36" s="220"/>
      <c r="B36" s="4"/>
      <c r="C36" s="4"/>
      <c r="D36" s="4"/>
      <c r="E36" s="4"/>
      <c r="F36" s="4"/>
      <c r="G36" s="4"/>
      <c r="H36" s="4"/>
      <c r="I36" s="4"/>
      <c r="J36" s="4"/>
      <c r="K36" s="4"/>
      <c r="L36" s="4"/>
      <c r="M36" s="4"/>
      <c r="N36" s="4"/>
      <c r="O36" s="4"/>
      <c r="P36" s="4"/>
      <c r="Q36" s="4"/>
      <c r="R36" s="4"/>
      <c r="S36" s="4"/>
      <c r="T36" s="4"/>
      <c r="U36" s="220"/>
      <c r="V36" s="220"/>
      <c r="W36" s="220"/>
    </row>
    <row r="37" spans="1:23" ht="14.25" thickBot="1" x14ac:dyDescent="0.2">
      <c r="A37" s="220"/>
      <c r="B37" s="298" t="s">
        <v>8</v>
      </c>
      <c r="C37" s="298"/>
      <c r="D37" s="298"/>
      <c r="E37" s="298"/>
      <c r="F37" s="299"/>
      <c r="G37" s="45"/>
      <c r="H37" s="13" t="s">
        <v>9</v>
      </c>
      <c r="I37" s="45"/>
      <c r="J37" s="4"/>
      <c r="K37" s="4"/>
      <c r="L37" s="4"/>
      <c r="M37" s="4"/>
      <c r="N37" s="4"/>
      <c r="O37" s="4"/>
      <c r="P37" s="4"/>
      <c r="Q37" s="4"/>
      <c r="R37" s="4"/>
      <c r="S37" s="4"/>
      <c r="T37" s="4"/>
      <c r="U37" s="220"/>
      <c r="V37" s="220"/>
      <c r="W37" s="220"/>
    </row>
    <row r="38" spans="1:23" ht="5.0999999999999996" customHeight="1" thickBot="1" x14ac:dyDescent="0.2">
      <c r="A38" s="220"/>
      <c r="B38" s="4"/>
      <c r="C38" s="4"/>
      <c r="D38" s="4"/>
      <c r="E38" s="4"/>
      <c r="F38" s="4"/>
      <c r="G38" s="4"/>
      <c r="H38" s="4"/>
      <c r="I38" s="4"/>
      <c r="J38" s="4"/>
      <c r="K38" s="4"/>
      <c r="L38" s="4"/>
      <c r="M38" s="4"/>
      <c r="N38" s="4"/>
      <c r="O38" s="4"/>
      <c r="P38" s="4"/>
      <c r="Q38" s="4"/>
      <c r="R38" s="4"/>
      <c r="S38" s="4"/>
      <c r="T38" s="4"/>
      <c r="U38" s="220"/>
      <c r="V38" s="220"/>
      <c r="W38" s="220"/>
    </row>
    <row r="39" spans="1:23" ht="14.25" thickBot="1" x14ac:dyDescent="0.2">
      <c r="A39" s="220"/>
      <c r="B39" s="298" t="s">
        <v>10</v>
      </c>
      <c r="C39" s="298"/>
      <c r="D39" s="298"/>
      <c r="E39" s="298"/>
      <c r="F39" s="299"/>
      <c r="G39" s="258"/>
      <c r="H39" s="259"/>
      <c r="I39" s="260"/>
      <c r="J39" s="4" t="s">
        <v>12</v>
      </c>
      <c r="K39" s="4"/>
      <c r="L39" s="4"/>
      <c r="M39" s="4"/>
      <c r="N39" s="4"/>
      <c r="O39" s="4" t="s">
        <v>13</v>
      </c>
      <c r="P39" s="4"/>
      <c r="Q39" s="4"/>
      <c r="R39" s="4"/>
      <c r="S39" s="4"/>
      <c r="T39" s="4"/>
      <c r="U39" s="220"/>
      <c r="V39" s="220"/>
      <c r="W39" s="220"/>
    </row>
    <row r="40" spans="1:23" ht="5.0999999999999996" customHeight="1" thickBot="1" x14ac:dyDescent="0.2">
      <c r="A40" s="220"/>
      <c r="B40" s="4"/>
      <c r="C40" s="4"/>
      <c r="D40" s="4"/>
      <c r="E40" s="4"/>
      <c r="F40" s="4"/>
      <c r="G40" s="4"/>
      <c r="H40" s="4"/>
      <c r="I40" s="4"/>
      <c r="J40" s="4"/>
      <c r="K40" s="4"/>
      <c r="L40" s="4"/>
      <c r="M40" s="4"/>
      <c r="N40" s="4"/>
      <c r="O40" s="4"/>
      <c r="P40" s="4"/>
      <c r="Q40" s="4"/>
      <c r="R40" s="4"/>
      <c r="S40" s="4"/>
      <c r="T40" s="4"/>
      <c r="U40" s="220"/>
      <c r="V40" s="220"/>
      <c r="W40" s="220"/>
    </row>
    <row r="41" spans="1:23" ht="14.25" thickBot="1" x14ac:dyDescent="0.2">
      <c r="A41" s="220"/>
      <c r="B41" s="298" t="s">
        <v>14</v>
      </c>
      <c r="C41" s="298"/>
      <c r="D41" s="298"/>
      <c r="E41" s="298"/>
      <c r="F41" s="299"/>
      <c r="G41" s="258"/>
      <c r="H41" s="259"/>
      <c r="I41" s="259"/>
      <c r="J41" s="259"/>
      <c r="K41" s="259"/>
      <c r="L41" s="259"/>
      <c r="M41" s="259"/>
      <c r="N41" s="260"/>
      <c r="O41" s="4" t="s">
        <v>489</v>
      </c>
      <c r="P41" s="4"/>
      <c r="Q41" s="4"/>
      <c r="R41" s="4"/>
      <c r="S41" s="4"/>
      <c r="T41" s="4"/>
      <c r="U41" s="220"/>
      <c r="V41" s="220"/>
      <c r="W41" s="220"/>
    </row>
    <row r="42" spans="1:23" ht="5.0999999999999996" customHeight="1" thickBot="1" x14ac:dyDescent="0.2">
      <c r="A42" s="220"/>
      <c r="B42" s="4"/>
      <c r="C42" s="4"/>
      <c r="D42" s="4"/>
      <c r="E42" s="4"/>
      <c r="F42" s="4"/>
      <c r="G42" s="4"/>
      <c r="H42" s="4"/>
      <c r="I42" s="4"/>
      <c r="J42" s="4"/>
      <c r="K42" s="4"/>
      <c r="L42" s="4"/>
      <c r="M42" s="4"/>
      <c r="N42" s="4"/>
      <c r="O42" s="4"/>
      <c r="P42" s="4"/>
      <c r="Q42" s="4"/>
      <c r="R42" s="4"/>
      <c r="S42" s="4"/>
      <c r="T42" s="4"/>
      <c r="U42" s="220"/>
      <c r="V42" s="220"/>
      <c r="W42" s="220"/>
    </row>
    <row r="43" spans="1:23" ht="14.25" thickBot="1" x14ac:dyDescent="0.2">
      <c r="A43" s="220"/>
      <c r="B43" s="298" t="s">
        <v>15</v>
      </c>
      <c r="C43" s="298"/>
      <c r="D43" s="298"/>
      <c r="E43" s="298"/>
      <c r="F43" s="299"/>
      <c r="G43" s="263"/>
      <c r="H43" s="264"/>
      <c r="I43" s="264"/>
      <c r="J43" s="264"/>
      <c r="K43" s="264"/>
      <c r="L43" s="264"/>
      <c r="M43" s="264"/>
      <c r="N43" s="265"/>
      <c r="O43" s="4" t="s">
        <v>490</v>
      </c>
      <c r="P43" s="4"/>
      <c r="Q43" s="4"/>
      <c r="R43" s="118" t="s">
        <v>16</v>
      </c>
      <c r="S43" s="4"/>
      <c r="T43" s="4"/>
      <c r="U43" s="220"/>
      <c r="V43" s="220"/>
      <c r="W43" s="220"/>
    </row>
    <row r="44" spans="1:23" ht="5.0999999999999996" customHeight="1" thickBot="1" x14ac:dyDescent="0.2">
      <c r="A44" s="220"/>
      <c r="B44" s="4"/>
      <c r="C44" s="4"/>
      <c r="D44" s="4"/>
      <c r="E44" s="4"/>
      <c r="F44" s="4"/>
      <c r="G44" s="14"/>
      <c r="H44" s="14"/>
      <c r="I44" s="14"/>
      <c r="J44" s="14"/>
      <c r="K44" s="14"/>
      <c r="L44" s="14"/>
      <c r="M44" s="14"/>
      <c r="N44" s="14"/>
      <c r="O44" s="4"/>
      <c r="P44" s="4"/>
      <c r="Q44" s="4"/>
      <c r="R44" s="119"/>
      <c r="S44" s="4"/>
      <c r="T44" s="4"/>
      <c r="U44" s="220"/>
      <c r="V44" s="220"/>
      <c r="W44" s="220"/>
    </row>
    <row r="45" spans="1:23" ht="14.25" thickBot="1" x14ac:dyDescent="0.2">
      <c r="A45" s="220"/>
      <c r="B45" s="298" t="s">
        <v>17</v>
      </c>
      <c r="C45" s="298"/>
      <c r="D45" s="298"/>
      <c r="E45" s="298"/>
      <c r="F45" s="299"/>
      <c r="G45" s="258"/>
      <c r="H45" s="259"/>
      <c r="I45" s="259"/>
      <c r="J45" s="259"/>
      <c r="K45" s="259"/>
      <c r="L45" s="259"/>
      <c r="M45" s="259"/>
      <c r="N45" s="260"/>
      <c r="O45" s="4" t="s">
        <v>491</v>
      </c>
      <c r="P45" s="4"/>
      <c r="Q45" s="4"/>
      <c r="R45" s="118" t="s">
        <v>18</v>
      </c>
      <c r="S45" s="4"/>
      <c r="T45" s="4"/>
      <c r="U45" s="220"/>
      <c r="V45" s="220"/>
      <c r="W45" s="220"/>
    </row>
    <row r="46" spans="1:23" ht="5.0999999999999996" customHeight="1" thickBot="1" x14ac:dyDescent="0.2">
      <c r="A46" s="220"/>
      <c r="B46" s="4"/>
      <c r="C46" s="4"/>
      <c r="D46" s="4"/>
      <c r="E46" s="4"/>
      <c r="F46" s="4"/>
      <c r="G46" s="4"/>
      <c r="H46" s="4"/>
      <c r="I46" s="4"/>
      <c r="J46" s="4"/>
      <c r="K46" s="4"/>
      <c r="L46" s="4"/>
      <c r="M46" s="4"/>
      <c r="N46" s="4"/>
      <c r="O46" s="4"/>
      <c r="P46" s="4"/>
      <c r="Q46" s="4"/>
      <c r="R46" s="4"/>
      <c r="S46" s="4"/>
      <c r="T46" s="4"/>
      <c r="U46" s="220"/>
      <c r="V46" s="220"/>
      <c r="W46" s="220"/>
    </row>
    <row r="47" spans="1:23" ht="14.25" thickBot="1" x14ac:dyDescent="0.2">
      <c r="A47" s="220"/>
      <c r="B47" s="298" t="s">
        <v>19</v>
      </c>
      <c r="C47" s="298"/>
      <c r="D47" s="298"/>
      <c r="E47" s="298"/>
      <c r="F47" s="299"/>
      <c r="G47" s="258"/>
      <c r="H47" s="259"/>
      <c r="I47" s="259"/>
      <c r="J47" s="259"/>
      <c r="K47" s="259"/>
      <c r="L47" s="259"/>
      <c r="M47" s="259"/>
      <c r="N47" s="260"/>
      <c r="O47" s="4"/>
      <c r="P47" s="4"/>
      <c r="Q47" s="4"/>
      <c r="R47" s="4"/>
      <c r="S47" s="4"/>
      <c r="T47" s="4"/>
      <c r="U47" s="220"/>
      <c r="V47" s="220"/>
      <c r="W47" s="220"/>
    </row>
    <row r="48" spans="1:23" ht="5.0999999999999996" customHeight="1" thickBot="1" x14ac:dyDescent="0.2">
      <c r="A48" s="220"/>
      <c r="B48" s="4"/>
      <c r="C48" s="4"/>
      <c r="D48" s="4"/>
      <c r="E48" s="4"/>
      <c r="F48" s="4"/>
      <c r="G48" s="4"/>
      <c r="H48" s="4"/>
      <c r="I48" s="4"/>
      <c r="J48" s="4"/>
      <c r="K48" s="4"/>
      <c r="L48" s="4"/>
      <c r="M48" s="4"/>
      <c r="N48" s="4"/>
      <c r="O48" s="4"/>
      <c r="P48" s="4"/>
      <c r="Q48" s="4"/>
      <c r="R48" s="4"/>
      <c r="S48" s="4"/>
      <c r="T48" s="4"/>
      <c r="U48" s="220"/>
      <c r="V48" s="220"/>
      <c r="W48" s="220"/>
    </row>
    <row r="49" spans="1:23" ht="14.25" thickBot="1" x14ac:dyDescent="0.2">
      <c r="A49" s="220"/>
      <c r="B49" s="320" t="s">
        <v>455</v>
      </c>
      <c r="C49" s="321"/>
      <c r="D49" s="321"/>
      <c r="E49" s="321"/>
      <c r="F49" s="322"/>
      <c r="G49" s="258"/>
      <c r="H49" s="259"/>
      <c r="I49" s="259"/>
      <c r="J49" s="259"/>
      <c r="K49" s="259"/>
      <c r="L49" s="259"/>
      <c r="M49" s="259"/>
      <c r="N49" s="260"/>
      <c r="O49" s="4"/>
      <c r="P49" s="4"/>
      <c r="Q49" s="4"/>
      <c r="R49" s="4"/>
      <c r="S49" s="4"/>
      <c r="T49" s="4"/>
      <c r="U49" s="220"/>
      <c r="V49" s="220"/>
      <c r="W49" s="220"/>
    </row>
    <row r="50" spans="1:23" x14ac:dyDescent="0.15">
      <c r="A50" s="220"/>
      <c r="B50" s="58"/>
      <c r="C50" s="58"/>
      <c r="D50" s="58"/>
      <c r="E50" s="58"/>
      <c r="F50" s="58"/>
      <c r="G50" s="58"/>
      <c r="H50" s="58"/>
      <c r="I50" s="58"/>
      <c r="J50" s="58"/>
      <c r="K50" s="58"/>
      <c r="L50" s="58"/>
      <c r="M50" s="58"/>
      <c r="N50" s="58"/>
      <c r="O50" s="58"/>
      <c r="P50" s="58"/>
      <c r="Q50" s="4"/>
      <c r="R50" s="4"/>
      <c r="S50" s="4"/>
      <c r="T50" s="4"/>
      <c r="U50" s="220"/>
      <c r="V50" s="220"/>
      <c r="W50" s="220"/>
    </row>
    <row r="51" spans="1:23" ht="5.0999999999999996" customHeight="1" x14ac:dyDescent="0.15">
      <c r="A51" s="220"/>
      <c r="B51" s="4"/>
      <c r="C51" s="4"/>
      <c r="D51" s="4"/>
      <c r="E51" s="4"/>
      <c r="F51" s="4"/>
      <c r="G51" s="4"/>
      <c r="H51" s="4"/>
      <c r="I51" s="4"/>
      <c r="J51" s="4"/>
      <c r="K51" s="4"/>
      <c r="L51" s="4"/>
      <c r="M51" s="4"/>
      <c r="N51" s="4"/>
      <c r="O51" s="4"/>
      <c r="P51" s="4"/>
      <c r="Q51" s="4"/>
      <c r="R51" s="4"/>
      <c r="S51" s="4"/>
      <c r="T51" s="4"/>
      <c r="U51" s="220"/>
      <c r="V51" s="220"/>
      <c r="W51" s="220"/>
    </row>
    <row r="52" spans="1:23" x14ac:dyDescent="0.15">
      <c r="A52" s="220"/>
      <c r="B52" s="4"/>
      <c r="C52" s="4" t="s">
        <v>20</v>
      </c>
      <c r="D52" s="4"/>
      <c r="E52" s="4"/>
      <c r="F52" s="4"/>
      <c r="G52" s="4" t="s">
        <v>21</v>
      </c>
      <c r="H52" s="4"/>
      <c r="I52" s="4"/>
      <c r="J52" s="4"/>
      <c r="K52" s="4"/>
      <c r="L52" s="4"/>
      <c r="M52" s="4"/>
      <c r="N52" s="4"/>
      <c r="O52" s="4"/>
      <c r="P52" s="4"/>
      <c r="Q52" s="4"/>
      <c r="R52" s="4"/>
      <c r="S52" s="4"/>
      <c r="T52" s="4"/>
      <c r="U52" s="220"/>
      <c r="V52" s="220"/>
      <c r="W52" s="220"/>
    </row>
    <row r="53" spans="1:23" ht="5.0999999999999996" customHeight="1" thickBot="1" x14ac:dyDescent="0.2">
      <c r="A53" s="220"/>
      <c r="B53" s="4"/>
      <c r="C53" s="4"/>
      <c r="D53" s="4"/>
      <c r="E53" s="4"/>
      <c r="F53" s="4"/>
      <c r="G53" s="4"/>
      <c r="H53" s="4"/>
      <c r="I53" s="4"/>
      <c r="J53" s="4"/>
      <c r="K53" s="4"/>
      <c r="L53" s="4"/>
      <c r="M53" s="4"/>
      <c r="N53" s="4"/>
      <c r="O53" s="4"/>
      <c r="P53" s="4"/>
      <c r="Q53" s="4"/>
      <c r="R53" s="4"/>
      <c r="S53" s="4"/>
      <c r="T53" s="4"/>
      <c r="U53" s="220"/>
      <c r="V53" s="220"/>
      <c r="W53" s="220"/>
    </row>
    <row r="54" spans="1:23" ht="14.25" thickBot="1" x14ac:dyDescent="0.2">
      <c r="A54" s="220"/>
      <c r="B54" s="298" t="s">
        <v>22</v>
      </c>
      <c r="C54" s="298"/>
      <c r="D54" s="298"/>
      <c r="E54" s="298"/>
      <c r="F54" s="299"/>
      <c r="G54" s="258"/>
      <c r="H54" s="259"/>
      <c r="I54" s="259"/>
      <c r="J54" s="259"/>
      <c r="K54" s="259"/>
      <c r="L54" s="259"/>
      <c r="M54" s="259"/>
      <c r="N54" s="260"/>
      <c r="O54" s="4"/>
      <c r="P54" s="4"/>
      <c r="Q54" s="4"/>
      <c r="R54" s="4"/>
      <c r="S54" s="4"/>
      <c r="T54" s="4"/>
      <c r="U54" s="220"/>
      <c r="V54" s="220"/>
      <c r="W54" s="220"/>
    </row>
    <row r="55" spans="1:23" ht="5.0999999999999996" customHeight="1" thickBot="1" x14ac:dyDescent="0.2">
      <c r="A55" s="220"/>
      <c r="B55" s="4"/>
      <c r="C55" s="4"/>
      <c r="D55" s="4"/>
      <c r="E55" s="4"/>
      <c r="F55" s="4"/>
      <c r="G55" s="4"/>
      <c r="H55" s="4"/>
      <c r="I55" s="4"/>
      <c r="J55" s="4"/>
      <c r="K55" s="4"/>
      <c r="L55" s="4"/>
      <c r="M55" s="4"/>
      <c r="N55" s="4"/>
      <c r="O55" s="4"/>
      <c r="P55" s="4"/>
      <c r="Q55" s="4"/>
      <c r="R55" s="4"/>
      <c r="S55" s="4"/>
      <c r="T55" s="4"/>
      <c r="U55" s="220"/>
      <c r="V55" s="220"/>
      <c r="W55" s="220"/>
    </row>
    <row r="56" spans="1:23" ht="14.25" thickBot="1" x14ac:dyDescent="0.2">
      <c r="A56" s="220"/>
      <c r="B56" s="298" t="s">
        <v>23</v>
      </c>
      <c r="C56" s="298"/>
      <c r="D56" s="298"/>
      <c r="E56" s="298"/>
      <c r="F56" s="299"/>
      <c r="G56" s="258"/>
      <c r="H56" s="259"/>
      <c r="I56" s="259"/>
      <c r="J56" s="259"/>
      <c r="K56" s="259"/>
      <c r="L56" s="259"/>
      <c r="M56" s="259"/>
      <c r="N56" s="260"/>
      <c r="O56" s="4"/>
      <c r="P56" s="4"/>
      <c r="Q56" s="4"/>
      <c r="R56" s="4"/>
      <c r="S56" s="4"/>
      <c r="T56" s="4"/>
      <c r="U56" s="220"/>
      <c r="V56" s="220"/>
      <c r="W56" s="220"/>
    </row>
    <row r="57" spans="1:23" ht="5.0999999999999996" customHeight="1" thickBot="1" x14ac:dyDescent="0.2">
      <c r="A57" s="220"/>
      <c r="B57" s="4"/>
      <c r="C57" s="4"/>
      <c r="D57" s="4"/>
      <c r="E57" s="4"/>
      <c r="F57" s="4"/>
      <c r="G57" s="4"/>
      <c r="H57" s="4"/>
      <c r="I57" s="4"/>
      <c r="J57" s="4"/>
      <c r="K57" s="4"/>
      <c r="L57" s="4"/>
      <c r="M57" s="4"/>
      <c r="N57" s="4"/>
      <c r="O57" s="4"/>
      <c r="P57" s="4"/>
      <c r="Q57" s="4"/>
      <c r="R57" s="4"/>
      <c r="S57" s="4"/>
      <c r="T57" s="4"/>
      <c r="U57" s="220"/>
      <c r="V57" s="220"/>
      <c r="W57" s="220"/>
    </row>
    <row r="58" spans="1:23" ht="14.25" thickBot="1" x14ac:dyDescent="0.2">
      <c r="A58" s="220"/>
      <c r="B58" s="298" t="s">
        <v>24</v>
      </c>
      <c r="C58" s="298"/>
      <c r="D58" s="298"/>
      <c r="E58" s="298"/>
      <c r="F58" s="299"/>
      <c r="G58" s="258"/>
      <c r="H58" s="259"/>
      <c r="I58" s="259"/>
      <c r="J58" s="259"/>
      <c r="K58" s="259"/>
      <c r="L58" s="259"/>
      <c r="M58" s="259"/>
      <c r="N58" s="260"/>
      <c r="O58" s="4"/>
      <c r="P58" s="4"/>
      <c r="Q58" s="4"/>
      <c r="R58" s="4"/>
      <c r="S58" s="4"/>
      <c r="T58" s="4"/>
      <c r="U58" s="220"/>
      <c r="V58" s="220"/>
      <c r="W58" s="220"/>
    </row>
    <row r="59" spans="1:23" ht="5.0999999999999996" customHeight="1" thickBot="1" x14ac:dyDescent="0.2">
      <c r="A59" s="220"/>
      <c r="B59" s="4"/>
      <c r="C59" s="4"/>
      <c r="D59" s="4"/>
      <c r="E59" s="4"/>
      <c r="F59" s="4"/>
      <c r="G59" s="4"/>
      <c r="H59" s="4"/>
      <c r="I59" s="4"/>
      <c r="J59" s="4"/>
      <c r="K59" s="4"/>
      <c r="L59" s="4"/>
      <c r="M59" s="4"/>
      <c r="N59" s="4"/>
      <c r="O59" s="4"/>
      <c r="P59" s="4"/>
      <c r="Q59" s="4"/>
      <c r="R59" s="4"/>
      <c r="S59" s="4"/>
      <c r="T59" s="4"/>
      <c r="U59" s="220"/>
      <c r="V59" s="220"/>
      <c r="W59" s="220"/>
    </row>
    <row r="60" spans="1:23" ht="14.25" thickBot="1" x14ac:dyDescent="0.2">
      <c r="A60" s="220"/>
      <c r="B60" s="298" t="s">
        <v>25</v>
      </c>
      <c r="C60" s="298"/>
      <c r="D60" s="298"/>
      <c r="E60" s="298"/>
      <c r="F60" s="299"/>
      <c r="G60" s="258"/>
      <c r="H60" s="259"/>
      <c r="I60" s="259"/>
      <c r="J60" s="259"/>
      <c r="K60" s="259"/>
      <c r="L60" s="259"/>
      <c r="M60" s="259"/>
      <c r="N60" s="260"/>
      <c r="O60" s="4"/>
      <c r="P60" s="4"/>
      <c r="Q60" s="4"/>
      <c r="R60" s="4"/>
      <c r="S60" s="4"/>
      <c r="T60" s="4"/>
      <c r="U60" s="220"/>
      <c r="V60" s="220"/>
      <c r="W60" s="220"/>
    </row>
    <row r="61" spans="1:23" ht="5.0999999999999996" customHeight="1" thickBot="1" x14ac:dyDescent="0.2">
      <c r="A61" s="220"/>
      <c r="B61" s="4"/>
      <c r="C61" s="4"/>
      <c r="D61" s="4"/>
      <c r="E61" s="4"/>
      <c r="F61" s="4"/>
      <c r="G61" s="4"/>
      <c r="H61" s="4"/>
      <c r="I61" s="4"/>
      <c r="J61" s="4"/>
      <c r="K61" s="4"/>
      <c r="L61" s="4"/>
      <c r="M61" s="4"/>
      <c r="N61" s="4"/>
      <c r="O61" s="4"/>
      <c r="P61" s="4"/>
      <c r="Q61" s="4"/>
      <c r="R61" s="4"/>
      <c r="S61" s="4"/>
      <c r="T61" s="4"/>
      <c r="U61" s="220"/>
      <c r="V61" s="220"/>
      <c r="W61" s="220"/>
    </row>
    <row r="62" spans="1:23" ht="14.25" thickBot="1" x14ac:dyDescent="0.2">
      <c r="A62" s="220"/>
      <c r="B62" s="298" t="s">
        <v>26</v>
      </c>
      <c r="C62" s="298"/>
      <c r="D62" s="298"/>
      <c r="E62" s="298"/>
      <c r="F62" s="299"/>
      <c r="G62" s="258"/>
      <c r="H62" s="259"/>
      <c r="I62" s="259"/>
      <c r="J62" s="259"/>
      <c r="K62" s="259"/>
      <c r="L62" s="259"/>
      <c r="M62" s="259"/>
      <c r="N62" s="260"/>
      <c r="O62" s="4"/>
      <c r="P62" s="4"/>
      <c r="Q62" s="4"/>
      <c r="R62" s="4"/>
      <c r="S62" s="4"/>
      <c r="T62" s="4"/>
      <c r="U62" s="220"/>
      <c r="V62" s="220"/>
      <c r="W62" s="220"/>
    </row>
    <row r="63" spans="1:23" ht="5.0999999999999996" customHeight="1" thickBot="1" x14ac:dyDescent="0.2">
      <c r="A63" s="220"/>
      <c r="B63" s="4"/>
      <c r="C63" s="4"/>
      <c r="D63" s="4"/>
      <c r="E63" s="4"/>
      <c r="F63" s="4"/>
      <c r="G63" s="4"/>
      <c r="H63" s="4"/>
      <c r="I63" s="4"/>
      <c r="J63" s="4"/>
      <c r="K63" s="4"/>
      <c r="L63" s="4"/>
      <c r="M63" s="4"/>
      <c r="N63" s="4"/>
      <c r="O63" s="4"/>
      <c r="P63" s="4"/>
      <c r="Q63" s="4"/>
      <c r="R63" s="4"/>
      <c r="S63" s="4"/>
      <c r="T63" s="4"/>
      <c r="U63" s="220"/>
      <c r="V63" s="220"/>
      <c r="W63" s="220"/>
    </row>
    <row r="64" spans="1:23" ht="14.25" thickBot="1" x14ac:dyDescent="0.2">
      <c r="A64" s="220"/>
      <c r="B64" s="298" t="s">
        <v>27</v>
      </c>
      <c r="C64" s="298"/>
      <c r="D64" s="298"/>
      <c r="E64" s="298"/>
      <c r="F64" s="299"/>
      <c r="G64" s="316"/>
      <c r="H64" s="317"/>
      <c r="I64" s="318"/>
      <c r="J64" s="4"/>
      <c r="K64" s="4" t="s">
        <v>28</v>
      </c>
      <c r="L64" s="4"/>
      <c r="M64" s="4"/>
      <c r="N64" s="4"/>
      <c r="O64" s="4"/>
      <c r="P64" s="4"/>
      <c r="Q64" s="4"/>
      <c r="R64" s="4"/>
      <c r="S64" s="4"/>
      <c r="T64" s="4"/>
      <c r="U64" s="220"/>
      <c r="V64" s="220"/>
      <c r="W64" s="220"/>
    </row>
    <row r="65" spans="1:23" ht="5.0999999999999996" customHeight="1" thickBot="1" x14ac:dyDescent="0.2">
      <c r="A65" s="220"/>
      <c r="B65" s="4"/>
      <c r="C65" s="4"/>
      <c r="D65" s="4"/>
      <c r="E65" s="4"/>
      <c r="F65" s="4"/>
      <c r="G65" s="4"/>
      <c r="H65" s="4"/>
      <c r="I65" s="4"/>
      <c r="J65" s="4"/>
      <c r="K65" s="4"/>
      <c r="L65" s="4"/>
      <c r="M65" s="4"/>
      <c r="N65" s="4"/>
      <c r="O65" s="4"/>
      <c r="P65" s="4"/>
      <c r="Q65" s="4"/>
      <c r="R65" s="4"/>
      <c r="S65" s="4"/>
      <c r="T65" s="4"/>
      <c r="U65" s="220"/>
      <c r="V65" s="220"/>
      <c r="W65" s="220"/>
    </row>
    <row r="66" spans="1:23" ht="14.25" thickBot="1" x14ac:dyDescent="0.2">
      <c r="A66" s="220"/>
      <c r="B66" s="298" t="s">
        <v>29</v>
      </c>
      <c r="C66" s="298"/>
      <c r="D66" s="298"/>
      <c r="E66" s="298"/>
      <c r="F66" s="299"/>
      <c r="G66" s="261"/>
      <c r="H66" s="262"/>
      <c r="I66" s="4" t="s">
        <v>30</v>
      </c>
      <c r="J66" s="4"/>
      <c r="K66" s="4"/>
      <c r="L66" s="4"/>
      <c r="M66" s="4"/>
      <c r="N66" s="4"/>
      <c r="O66" s="4"/>
      <c r="P66" s="4"/>
      <c r="Q66" s="4"/>
      <c r="R66" s="4"/>
      <c r="S66" s="4"/>
      <c r="T66" s="4"/>
      <c r="U66" s="220"/>
      <c r="V66" s="220"/>
      <c r="W66" s="220"/>
    </row>
    <row r="67" spans="1:23" ht="5.0999999999999996" customHeight="1" x14ac:dyDescent="0.15">
      <c r="A67" s="220"/>
      <c r="B67" s="4"/>
      <c r="C67" s="4"/>
      <c r="D67" s="4"/>
      <c r="E67" s="4"/>
      <c r="F67" s="4"/>
      <c r="G67" s="4"/>
      <c r="H67" s="4"/>
      <c r="I67" s="4"/>
      <c r="J67" s="4"/>
      <c r="K67" s="4"/>
      <c r="L67" s="4"/>
      <c r="M67" s="4"/>
      <c r="N67" s="4"/>
      <c r="O67" s="4"/>
      <c r="P67" s="4"/>
      <c r="Q67" s="4"/>
      <c r="R67" s="4"/>
      <c r="S67" s="4"/>
      <c r="T67" s="4"/>
      <c r="U67" s="220"/>
      <c r="V67" s="220"/>
      <c r="W67" s="220"/>
    </row>
    <row r="68" spans="1:23" x14ac:dyDescent="0.15">
      <c r="A68" s="220"/>
      <c r="B68" s="58"/>
      <c r="C68" s="58"/>
      <c r="D68" s="58"/>
      <c r="E68" s="58"/>
      <c r="F68" s="58"/>
      <c r="G68" s="58"/>
      <c r="H68" s="58"/>
      <c r="I68" s="58"/>
      <c r="J68" s="58"/>
      <c r="K68" s="58"/>
      <c r="L68" s="58"/>
      <c r="M68" s="58"/>
      <c r="N68" s="58"/>
      <c r="O68" s="58"/>
      <c r="P68" s="58"/>
      <c r="Q68" s="4"/>
      <c r="R68" s="4"/>
      <c r="S68" s="4"/>
      <c r="T68" s="4"/>
      <c r="U68" s="220"/>
      <c r="V68" s="220"/>
      <c r="W68" s="220"/>
    </row>
    <row r="69" spans="1:23" ht="36" customHeight="1" x14ac:dyDescent="0.15">
      <c r="A69" s="220"/>
      <c r="B69" s="58"/>
      <c r="C69" s="120" t="s">
        <v>291</v>
      </c>
      <c r="D69" s="58"/>
      <c r="E69" s="58"/>
      <c r="F69" s="58"/>
      <c r="G69" s="58"/>
      <c r="H69" s="58"/>
      <c r="I69" s="249" t="s">
        <v>488</v>
      </c>
      <c r="J69" s="249"/>
      <c r="K69" s="249"/>
      <c r="L69" s="249"/>
      <c r="M69" s="249"/>
      <c r="N69" s="249"/>
      <c r="O69" s="249"/>
      <c r="P69" s="249"/>
      <c r="Q69" s="249"/>
      <c r="R69" s="249"/>
      <c r="S69" s="249"/>
      <c r="T69" s="121"/>
      <c r="U69" s="220"/>
      <c r="V69" s="220"/>
      <c r="W69" s="220"/>
    </row>
    <row r="70" spans="1:23" ht="5.0999999999999996" customHeight="1" thickBot="1" x14ac:dyDescent="0.2">
      <c r="A70" s="220"/>
      <c r="B70" s="4"/>
      <c r="C70" s="4"/>
      <c r="D70" s="4"/>
      <c r="E70" s="4"/>
      <c r="F70" s="4"/>
      <c r="G70" s="4"/>
      <c r="H70" s="4"/>
      <c r="I70" s="4"/>
      <c r="J70" s="4"/>
      <c r="K70" s="4"/>
      <c r="L70" s="4"/>
      <c r="M70" s="4"/>
      <c r="N70" s="4"/>
      <c r="O70" s="4"/>
      <c r="P70" s="4"/>
      <c r="Q70" s="4"/>
      <c r="R70" s="4"/>
      <c r="S70" s="4"/>
      <c r="T70" s="4"/>
      <c r="U70" s="220"/>
      <c r="V70" s="220"/>
      <c r="W70" s="220"/>
    </row>
    <row r="71" spans="1:23" ht="14.25" thickBot="1" x14ac:dyDescent="0.2">
      <c r="A71" s="220"/>
      <c r="B71" s="58"/>
      <c r="C71" s="254" t="s">
        <v>293</v>
      </c>
      <c r="D71" s="254"/>
      <c r="E71" s="254"/>
      <c r="F71" s="255"/>
      <c r="G71" s="250"/>
      <c r="H71" s="251"/>
      <c r="I71" s="251"/>
      <c r="J71" s="251"/>
      <c r="K71" s="251"/>
      <c r="L71" s="251"/>
      <c r="M71" s="251"/>
      <c r="N71" s="252"/>
      <c r="O71" s="4" t="s">
        <v>30</v>
      </c>
      <c r="P71" s="58"/>
      <c r="Q71" s="4"/>
      <c r="R71" s="4"/>
      <c r="S71" s="4"/>
      <c r="T71" s="4"/>
      <c r="U71" s="220"/>
      <c r="V71" s="220"/>
      <c r="W71" s="220"/>
    </row>
    <row r="72" spans="1:23" ht="5.0999999999999996" customHeight="1" x14ac:dyDescent="0.15">
      <c r="A72" s="220"/>
      <c r="B72" s="4"/>
      <c r="C72" s="4"/>
      <c r="D72" s="4"/>
      <c r="E72" s="4"/>
      <c r="F72" s="4"/>
      <c r="G72" s="4"/>
      <c r="H72" s="4"/>
      <c r="I72" s="4"/>
      <c r="J72" s="4"/>
      <c r="K72" s="4"/>
      <c r="L72" s="4"/>
      <c r="M72" s="4"/>
      <c r="N72" s="4"/>
      <c r="O72" s="4"/>
      <c r="P72" s="4"/>
      <c r="Q72" s="4"/>
      <c r="R72" s="4"/>
      <c r="S72" s="4"/>
      <c r="T72" s="4"/>
      <c r="U72" s="220"/>
      <c r="V72" s="220"/>
      <c r="W72" s="220"/>
    </row>
    <row r="73" spans="1:23" x14ac:dyDescent="0.15">
      <c r="A73" s="220"/>
      <c r="B73" s="243" t="s">
        <v>496</v>
      </c>
      <c r="C73" s="243"/>
      <c r="D73" s="243"/>
      <c r="E73" s="243"/>
      <c r="F73" s="243"/>
      <c r="G73" s="243"/>
      <c r="H73" s="243"/>
      <c r="I73" s="243"/>
      <c r="J73" s="243"/>
      <c r="K73" s="243"/>
      <c r="L73" s="243"/>
      <c r="M73" s="243"/>
      <c r="N73" s="243"/>
      <c r="O73" s="243"/>
      <c r="P73" s="243"/>
      <c r="Q73" s="243"/>
      <c r="R73" s="243"/>
      <c r="S73" s="243"/>
      <c r="T73" s="243"/>
      <c r="U73" s="220"/>
      <c r="V73" s="220"/>
      <c r="W73" s="220"/>
    </row>
    <row r="74" spans="1:23" ht="5.0999999999999996" customHeight="1" x14ac:dyDescent="0.15">
      <c r="A74" s="220"/>
      <c r="B74" s="2"/>
      <c r="C74" s="2"/>
      <c r="D74" s="2"/>
      <c r="E74" s="2"/>
      <c r="F74" s="2"/>
      <c r="G74" s="2"/>
      <c r="H74" s="2"/>
      <c r="I74" s="2"/>
      <c r="J74" s="2"/>
      <c r="K74" s="2"/>
      <c r="L74" s="2"/>
      <c r="M74" s="2"/>
      <c r="N74" s="2"/>
      <c r="O74" s="2"/>
      <c r="P74" s="2"/>
      <c r="Q74" s="2"/>
      <c r="R74" s="2"/>
      <c r="S74" s="2"/>
      <c r="T74" s="2"/>
      <c r="U74" s="220"/>
      <c r="V74" s="220"/>
      <c r="W74" s="220"/>
    </row>
    <row r="75" spans="1:23" x14ac:dyDescent="0.15">
      <c r="A75" s="220"/>
      <c r="B75" s="2" t="s">
        <v>280</v>
      </c>
      <c r="C75" s="2"/>
      <c r="D75" s="2"/>
      <c r="E75" s="2"/>
      <c r="F75" s="2"/>
      <c r="G75" s="2"/>
      <c r="H75" s="2"/>
      <c r="I75" s="2"/>
      <c r="J75" s="2"/>
      <c r="K75" s="2"/>
      <c r="L75" s="2"/>
      <c r="M75" s="2"/>
      <c r="N75" s="2"/>
      <c r="O75" s="2"/>
      <c r="P75" s="2"/>
      <c r="Q75" s="2"/>
      <c r="R75" s="2"/>
      <c r="S75" s="2"/>
      <c r="T75" s="2"/>
      <c r="U75" s="220"/>
      <c r="V75" s="220"/>
      <c r="W75" s="220"/>
    </row>
    <row r="76" spans="1:23" x14ac:dyDescent="0.15">
      <c r="A76" s="220"/>
      <c r="B76" s="2"/>
      <c r="C76" s="122" t="s">
        <v>6</v>
      </c>
      <c r="D76" s="122"/>
      <c r="E76" s="122"/>
      <c r="F76" s="122"/>
      <c r="G76" s="123"/>
      <c r="H76" s="123"/>
      <c r="I76" s="123"/>
      <c r="J76" s="123"/>
      <c r="K76" s="123"/>
      <c r="L76" s="123"/>
      <c r="M76" s="123"/>
      <c r="N76" s="123"/>
      <c r="O76" s="123"/>
      <c r="P76" s="2"/>
      <c r="Q76" s="2"/>
      <c r="R76" s="2"/>
      <c r="S76" s="2"/>
      <c r="T76" s="2"/>
      <c r="U76" s="220"/>
      <c r="V76" s="220"/>
      <c r="W76" s="220"/>
    </row>
    <row r="77" spans="1:23" ht="15.75" customHeight="1" x14ac:dyDescent="0.15">
      <c r="A77" s="220"/>
      <c r="B77" s="2"/>
      <c r="C77" s="124"/>
      <c r="D77" s="2"/>
      <c r="E77" s="2"/>
      <c r="F77" s="2"/>
      <c r="G77" s="2"/>
      <c r="H77" s="2"/>
      <c r="I77" s="2"/>
      <c r="J77" s="2"/>
      <c r="K77" s="2"/>
      <c r="L77" s="2"/>
      <c r="M77" s="2"/>
      <c r="N77" s="2"/>
      <c r="O77" s="2"/>
      <c r="P77" s="2"/>
      <c r="Q77" s="2"/>
      <c r="R77" s="2"/>
      <c r="S77" s="2"/>
      <c r="T77" s="2"/>
      <c r="U77" s="220"/>
      <c r="V77" s="220"/>
      <c r="W77" s="220"/>
    </row>
    <row r="78" spans="1:23" x14ac:dyDescent="0.15">
      <c r="A78" s="220"/>
      <c r="B78" s="2"/>
      <c r="C78" s="65" t="s">
        <v>7</v>
      </c>
      <c r="D78" s="65"/>
      <c r="E78" s="65"/>
      <c r="F78" s="65"/>
      <c r="G78" s="2"/>
      <c r="H78" s="2"/>
      <c r="I78" s="2"/>
      <c r="J78" s="2"/>
      <c r="K78" s="2"/>
      <c r="L78" s="2"/>
      <c r="M78" s="2"/>
      <c r="N78" s="2"/>
      <c r="O78" s="2"/>
      <c r="P78" s="2"/>
      <c r="Q78" s="2"/>
      <c r="R78" s="2"/>
      <c r="S78" s="2"/>
      <c r="T78" s="2"/>
      <c r="U78" s="220"/>
      <c r="V78" s="220"/>
      <c r="W78" s="220"/>
    </row>
    <row r="79" spans="1:23" ht="5.0999999999999996" customHeight="1" thickBot="1" x14ac:dyDescent="0.2">
      <c r="A79" s="220"/>
      <c r="B79" s="2"/>
      <c r="C79" s="2"/>
      <c r="D79" s="2"/>
      <c r="E79" s="2"/>
      <c r="F79" s="2"/>
      <c r="G79" s="2"/>
      <c r="H79" s="2"/>
      <c r="I79" s="2"/>
      <c r="J79" s="2"/>
      <c r="K79" s="2"/>
      <c r="L79" s="2"/>
      <c r="M79" s="2"/>
      <c r="N79" s="2"/>
      <c r="O79" s="2"/>
      <c r="P79" s="2"/>
      <c r="Q79" s="2"/>
      <c r="R79" s="2"/>
      <c r="S79" s="2"/>
      <c r="T79" s="2"/>
      <c r="U79" s="220"/>
      <c r="V79" s="220"/>
      <c r="W79" s="220"/>
    </row>
    <row r="80" spans="1:23" ht="14.25" thickBot="1" x14ac:dyDescent="0.2">
      <c r="A80" s="220"/>
      <c r="B80" s="256" t="s">
        <v>8</v>
      </c>
      <c r="C80" s="256"/>
      <c r="D80" s="256"/>
      <c r="E80" s="256"/>
      <c r="F80" s="257"/>
      <c r="G80" s="45"/>
      <c r="H80" s="64" t="s">
        <v>9</v>
      </c>
      <c r="I80" s="45"/>
      <c r="J80" s="2"/>
      <c r="K80" s="2"/>
      <c r="L80" s="2"/>
      <c r="M80" s="2"/>
      <c r="N80" s="2"/>
      <c r="O80" s="2"/>
      <c r="P80" s="2"/>
      <c r="Q80" s="2"/>
      <c r="R80" s="2"/>
      <c r="S80" s="2"/>
      <c r="T80" s="2"/>
      <c r="U80" s="220"/>
      <c r="V80" s="220"/>
      <c r="W80" s="220"/>
    </row>
    <row r="81" spans="1:23" ht="5.0999999999999996" customHeight="1" thickBot="1" x14ac:dyDescent="0.2">
      <c r="A81" s="220"/>
      <c r="B81" s="2"/>
      <c r="C81" s="2"/>
      <c r="D81" s="2"/>
      <c r="E81" s="2"/>
      <c r="F81" s="2"/>
      <c r="G81" s="2"/>
      <c r="H81" s="2"/>
      <c r="I81" s="2"/>
      <c r="J81" s="2"/>
      <c r="K81" s="2"/>
      <c r="L81" s="2"/>
      <c r="M81" s="2"/>
      <c r="N81" s="2"/>
      <c r="O81" s="2"/>
      <c r="P81" s="2"/>
      <c r="Q81" s="2"/>
      <c r="R81" s="2"/>
      <c r="S81" s="2"/>
      <c r="T81" s="2"/>
      <c r="U81" s="220"/>
      <c r="V81" s="220"/>
      <c r="W81" s="220"/>
    </row>
    <row r="82" spans="1:23" ht="14.25" thickBot="1" x14ac:dyDescent="0.2">
      <c r="A82" s="220"/>
      <c r="B82" s="256" t="s">
        <v>10</v>
      </c>
      <c r="C82" s="256"/>
      <c r="D82" s="256"/>
      <c r="E82" s="256"/>
      <c r="F82" s="257"/>
      <c r="G82" s="258"/>
      <c r="H82" s="259"/>
      <c r="I82" s="260"/>
      <c r="J82" s="2" t="s">
        <v>12</v>
      </c>
      <c r="K82" s="2"/>
      <c r="L82" s="2"/>
      <c r="M82" s="2"/>
      <c r="N82" s="2"/>
      <c r="O82" s="2" t="s">
        <v>13</v>
      </c>
      <c r="P82" s="2"/>
      <c r="Q82" s="2"/>
      <c r="R82" s="2"/>
      <c r="S82" s="2"/>
      <c r="T82" s="2"/>
      <c r="U82" s="220"/>
      <c r="V82" s="220"/>
      <c r="W82" s="220"/>
    </row>
    <row r="83" spans="1:23" ht="5.0999999999999996" customHeight="1" thickBot="1" x14ac:dyDescent="0.2">
      <c r="A83" s="220"/>
      <c r="B83" s="2"/>
      <c r="C83" s="2"/>
      <c r="D83" s="2"/>
      <c r="E83" s="2"/>
      <c r="F83" s="2"/>
      <c r="G83" s="2"/>
      <c r="H83" s="2"/>
      <c r="I83" s="2"/>
      <c r="J83" s="2"/>
      <c r="K83" s="2"/>
      <c r="L83" s="2"/>
      <c r="M83" s="2"/>
      <c r="N83" s="2"/>
      <c r="O83" s="2"/>
      <c r="P83" s="2"/>
      <c r="Q83" s="2"/>
      <c r="R83" s="2"/>
      <c r="S83" s="2"/>
      <c r="T83" s="2"/>
      <c r="U83" s="220"/>
      <c r="V83" s="220"/>
      <c r="W83" s="220"/>
    </row>
    <row r="84" spans="1:23" ht="14.25" thickBot="1" x14ac:dyDescent="0.2">
      <c r="A84" s="220"/>
      <c r="B84" s="256" t="s">
        <v>14</v>
      </c>
      <c r="C84" s="256"/>
      <c r="D84" s="256"/>
      <c r="E84" s="256"/>
      <c r="F84" s="257"/>
      <c r="G84" s="258"/>
      <c r="H84" s="259"/>
      <c r="I84" s="259"/>
      <c r="J84" s="259"/>
      <c r="K84" s="259"/>
      <c r="L84" s="259"/>
      <c r="M84" s="259"/>
      <c r="N84" s="260"/>
      <c r="O84" s="2" t="s">
        <v>489</v>
      </c>
      <c r="P84" s="2"/>
      <c r="Q84" s="2"/>
      <c r="R84" s="2"/>
      <c r="S84" s="2"/>
      <c r="T84" s="2"/>
      <c r="U84" s="220"/>
      <c r="V84" s="220"/>
      <c r="W84" s="220"/>
    </row>
    <row r="85" spans="1:23" ht="5.0999999999999996" customHeight="1" thickBot="1" x14ac:dyDescent="0.2">
      <c r="A85" s="220"/>
      <c r="B85" s="2"/>
      <c r="C85" s="2"/>
      <c r="D85" s="2"/>
      <c r="E85" s="2"/>
      <c r="F85" s="2"/>
      <c r="G85" s="2"/>
      <c r="H85" s="2"/>
      <c r="I85" s="2"/>
      <c r="J85" s="2"/>
      <c r="K85" s="2"/>
      <c r="L85" s="2"/>
      <c r="M85" s="2"/>
      <c r="N85" s="2"/>
      <c r="O85" s="2"/>
      <c r="P85" s="2"/>
      <c r="Q85" s="2"/>
      <c r="R85" s="2"/>
      <c r="S85" s="2"/>
      <c r="T85" s="2"/>
      <c r="U85" s="220"/>
      <c r="V85" s="220"/>
      <c r="W85" s="220"/>
    </row>
    <row r="86" spans="1:23" ht="14.25" thickBot="1" x14ac:dyDescent="0.2">
      <c r="A86" s="220"/>
      <c r="B86" s="256" t="s">
        <v>15</v>
      </c>
      <c r="C86" s="256"/>
      <c r="D86" s="256"/>
      <c r="E86" s="256"/>
      <c r="F86" s="257"/>
      <c r="G86" s="263"/>
      <c r="H86" s="264"/>
      <c r="I86" s="264"/>
      <c r="J86" s="264"/>
      <c r="K86" s="264"/>
      <c r="L86" s="264"/>
      <c r="M86" s="264"/>
      <c r="N86" s="265"/>
      <c r="O86" s="2" t="s">
        <v>490</v>
      </c>
      <c r="P86" s="2"/>
      <c r="Q86" s="2"/>
      <c r="R86" s="122" t="s">
        <v>16</v>
      </c>
      <c r="S86" s="2"/>
      <c r="T86" s="2"/>
      <c r="U86" s="220"/>
      <c r="V86" s="220"/>
      <c r="W86" s="220"/>
    </row>
    <row r="87" spans="1:23" ht="5.0999999999999996" customHeight="1" thickBot="1" x14ac:dyDescent="0.2">
      <c r="A87" s="220"/>
      <c r="B87" s="2"/>
      <c r="C87" s="2"/>
      <c r="D87" s="2"/>
      <c r="E87" s="2"/>
      <c r="F87" s="2"/>
      <c r="G87" s="7"/>
      <c r="H87" s="7"/>
      <c r="I87" s="7"/>
      <c r="J87" s="7"/>
      <c r="K87" s="7"/>
      <c r="L87" s="7"/>
      <c r="M87" s="7"/>
      <c r="N87" s="7"/>
      <c r="O87" s="2"/>
      <c r="P87" s="2"/>
      <c r="Q87" s="2"/>
      <c r="R87" s="123"/>
      <c r="S87" s="2"/>
      <c r="T87" s="2"/>
      <c r="U87" s="220"/>
      <c r="V87" s="220"/>
      <c r="W87" s="220"/>
    </row>
    <row r="88" spans="1:23" ht="14.25" thickBot="1" x14ac:dyDescent="0.2">
      <c r="A88" s="220"/>
      <c r="B88" s="256" t="s">
        <v>17</v>
      </c>
      <c r="C88" s="256"/>
      <c r="D88" s="256"/>
      <c r="E88" s="256"/>
      <c r="F88" s="257"/>
      <c r="G88" s="258"/>
      <c r="H88" s="259"/>
      <c r="I88" s="259"/>
      <c r="J88" s="259"/>
      <c r="K88" s="259"/>
      <c r="L88" s="259"/>
      <c r="M88" s="259"/>
      <c r="N88" s="260"/>
      <c r="O88" s="2" t="s">
        <v>491</v>
      </c>
      <c r="P88" s="2"/>
      <c r="Q88" s="2"/>
      <c r="R88" s="122" t="s">
        <v>18</v>
      </c>
      <c r="S88" s="2"/>
      <c r="T88" s="2"/>
      <c r="U88" s="220"/>
      <c r="V88" s="220"/>
      <c r="W88" s="220"/>
    </row>
    <row r="89" spans="1:23" ht="5.0999999999999996" customHeight="1" thickBot="1" x14ac:dyDescent="0.2">
      <c r="A89" s="220"/>
      <c r="B89" s="2"/>
      <c r="C89" s="2"/>
      <c r="D89" s="2"/>
      <c r="E89" s="2"/>
      <c r="F89" s="2"/>
      <c r="G89" s="2"/>
      <c r="H89" s="2"/>
      <c r="I89" s="2"/>
      <c r="J89" s="2"/>
      <c r="K89" s="2"/>
      <c r="L89" s="2"/>
      <c r="M89" s="2"/>
      <c r="N89" s="2"/>
      <c r="O89" s="2"/>
      <c r="P89" s="2"/>
      <c r="Q89" s="2"/>
      <c r="R89" s="2"/>
      <c r="S89" s="2"/>
      <c r="T89" s="2"/>
      <c r="U89" s="220"/>
      <c r="V89" s="220"/>
      <c r="W89" s="220"/>
    </row>
    <row r="90" spans="1:23" ht="14.25" thickBot="1" x14ac:dyDescent="0.2">
      <c r="A90" s="220"/>
      <c r="B90" s="256" t="s">
        <v>19</v>
      </c>
      <c r="C90" s="256"/>
      <c r="D90" s="256"/>
      <c r="E90" s="256"/>
      <c r="F90" s="257"/>
      <c r="G90" s="258"/>
      <c r="H90" s="259"/>
      <c r="I90" s="259"/>
      <c r="J90" s="259"/>
      <c r="K90" s="259"/>
      <c r="L90" s="259"/>
      <c r="M90" s="259"/>
      <c r="N90" s="260"/>
      <c r="O90" s="2"/>
      <c r="P90" s="2"/>
      <c r="Q90" s="2"/>
      <c r="R90" s="2"/>
      <c r="S90" s="2"/>
      <c r="T90" s="2"/>
      <c r="U90" s="220"/>
      <c r="V90" s="220"/>
      <c r="W90" s="220"/>
    </row>
    <row r="91" spans="1:23" ht="5.0999999999999996" customHeight="1" thickBot="1" x14ac:dyDescent="0.2">
      <c r="A91" s="220"/>
      <c r="B91" s="2"/>
      <c r="C91" s="2"/>
      <c r="D91" s="2"/>
      <c r="E91" s="2"/>
      <c r="F91" s="2"/>
      <c r="G91" s="2"/>
      <c r="H91" s="2"/>
      <c r="I91" s="2"/>
      <c r="J91" s="2"/>
      <c r="K91" s="2"/>
      <c r="L91" s="2"/>
      <c r="M91" s="2"/>
      <c r="N91" s="2"/>
      <c r="O91" s="2"/>
      <c r="P91" s="2"/>
      <c r="Q91" s="2"/>
      <c r="R91" s="2"/>
      <c r="S91" s="2"/>
      <c r="T91" s="2"/>
      <c r="U91" s="220"/>
      <c r="V91" s="220"/>
      <c r="W91" s="220"/>
    </row>
    <row r="92" spans="1:23" ht="14.25" thickBot="1" x14ac:dyDescent="0.2">
      <c r="A92" s="220"/>
      <c r="B92" s="323" t="s">
        <v>455</v>
      </c>
      <c r="C92" s="324"/>
      <c r="D92" s="324"/>
      <c r="E92" s="324"/>
      <c r="F92" s="325"/>
      <c r="G92" s="258"/>
      <c r="H92" s="259"/>
      <c r="I92" s="259"/>
      <c r="J92" s="259"/>
      <c r="K92" s="259"/>
      <c r="L92" s="259"/>
      <c r="M92" s="259"/>
      <c r="N92" s="260"/>
      <c r="O92" s="2"/>
      <c r="P92" s="2"/>
      <c r="Q92" s="2"/>
      <c r="R92" s="2"/>
      <c r="S92" s="2"/>
      <c r="T92" s="2"/>
      <c r="U92" s="220"/>
      <c r="V92" s="220"/>
      <c r="W92" s="220"/>
    </row>
    <row r="93" spans="1:23" x14ac:dyDescent="0.15">
      <c r="A93" s="220"/>
      <c r="B93" s="63"/>
      <c r="C93" s="63"/>
      <c r="D93" s="63"/>
      <c r="E93" s="63"/>
      <c r="F93" s="63"/>
      <c r="G93" s="63"/>
      <c r="H93" s="63"/>
      <c r="I93" s="63"/>
      <c r="J93" s="63"/>
      <c r="K93" s="63"/>
      <c r="L93" s="63"/>
      <c r="M93" s="63"/>
      <c r="N93" s="63"/>
      <c r="O93" s="63"/>
      <c r="P93" s="63"/>
      <c r="Q93" s="2"/>
      <c r="R93" s="2"/>
      <c r="S93" s="2"/>
      <c r="T93" s="2"/>
      <c r="U93" s="220"/>
      <c r="V93" s="220"/>
      <c r="W93" s="220"/>
    </row>
    <row r="94" spans="1:23" ht="5.0999999999999996" customHeight="1" x14ac:dyDescent="0.15">
      <c r="A94" s="220"/>
      <c r="B94" s="2"/>
      <c r="C94" s="2"/>
      <c r="D94" s="2"/>
      <c r="E94" s="2"/>
      <c r="F94" s="2"/>
      <c r="G94" s="2"/>
      <c r="H94" s="2"/>
      <c r="I94" s="2"/>
      <c r="J94" s="2"/>
      <c r="K94" s="2"/>
      <c r="L94" s="2"/>
      <c r="M94" s="2"/>
      <c r="N94" s="2"/>
      <c r="O94" s="2"/>
      <c r="P94" s="2"/>
      <c r="Q94" s="2"/>
      <c r="R94" s="2"/>
      <c r="S94" s="2"/>
      <c r="T94" s="2"/>
      <c r="U94" s="220"/>
      <c r="V94" s="220"/>
      <c r="W94" s="220"/>
    </row>
    <row r="95" spans="1:23" x14ac:dyDescent="0.15">
      <c r="A95" s="220"/>
      <c r="B95" s="2"/>
      <c r="C95" s="2" t="s">
        <v>20</v>
      </c>
      <c r="D95" s="2"/>
      <c r="E95" s="2"/>
      <c r="F95" s="2"/>
      <c r="G95" s="2" t="s">
        <v>21</v>
      </c>
      <c r="H95" s="2"/>
      <c r="I95" s="2"/>
      <c r="J95" s="2"/>
      <c r="K95" s="2"/>
      <c r="L95" s="2"/>
      <c r="M95" s="2"/>
      <c r="N95" s="2"/>
      <c r="O95" s="2"/>
      <c r="P95" s="2"/>
      <c r="Q95" s="2"/>
      <c r="R95" s="2"/>
      <c r="S95" s="2"/>
      <c r="T95" s="2"/>
      <c r="U95" s="220"/>
      <c r="V95" s="220"/>
      <c r="W95" s="220"/>
    </row>
    <row r="96" spans="1:23" ht="5.0999999999999996" customHeight="1" thickBot="1" x14ac:dyDescent="0.2">
      <c r="A96" s="220"/>
      <c r="B96" s="2"/>
      <c r="C96" s="2"/>
      <c r="D96" s="2"/>
      <c r="E96" s="2"/>
      <c r="F96" s="2"/>
      <c r="G96" s="2"/>
      <c r="H96" s="2"/>
      <c r="I96" s="2"/>
      <c r="J96" s="2"/>
      <c r="K96" s="2"/>
      <c r="L96" s="2"/>
      <c r="M96" s="2"/>
      <c r="N96" s="2"/>
      <c r="O96" s="2"/>
      <c r="P96" s="2"/>
      <c r="Q96" s="2"/>
      <c r="R96" s="2"/>
      <c r="S96" s="2"/>
      <c r="T96" s="2"/>
      <c r="U96" s="220"/>
      <c r="V96" s="220"/>
      <c r="W96" s="220"/>
    </row>
    <row r="97" spans="1:23" ht="14.25" thickBot="1" x14ac:dyDescent="0.2">
      <c r="A97" s="220"/>
      <c r="B97" s="256" t="s">
        <v>22</v>
      </c>
      <c r="C97" s="256"/>
      <c r="D97" s="256"/>
      <c r="E97" s="256"/>
      <c r="F97" s="257"/>
      <c r="G97" s="258"/>
      <c r="H97" s="259"/>
      <c r="I97" s="259"/>
      <c r="J97" s="259"/>
      <c r="K97" s="259"/>
      <c r="L97" s="259"/>
      <c r="M97" s="259"/>
      <c r="N97" s="260"/>
      <c r="O97" s="2"/>
      <c r="P97" s="2"/>
      <c r="Q97" s="2"/>
      <c r="R97" s="2"/>
      <c r="S97" s="2"/>
      <c r="T97" s="2"/>
      <c r="U97" s="220"/>
      <c r="V97" s="220"/>
      <c r="W97" s="220"/>
    </row>
    <row r="98" spans="1:23" ht="5.0999999999999996" customHeight="1" thickBot="1" x14ac:dyDescent="0.2">
      <c r="A98" s="220"/>
      <c r="B98" s="2"/>
      <c r="C98" s="2"/>
      <c r="D98" s="2"/>
      <c r="E98" s="2"/>
      <c r="F98" s="2"/>
      <c r="G98" s="2"/>
      <c r="H98" s="2"/>
      <c r="I98" s="2"/>
      <c r="J98" s="2"/>
      <c r="K98" s="2"/>
      <c r="L98" s="2"/>
      <c r="M98" s="2"/>
      <c r="N98" s="2"/>
      <c r="O98" s="2"/>
      <c r="P98" s="2"/>
      <c r="Q98" s="2"/>
      <c r="R98" s="2"/>
      <c r="S98" s="2"/>
      <c r="T98" s="2"/>
      <c r="U98" s="220"/>
      <c r="V98" s="220"/>
      <c r="W98" s="220"/>
    </row>
    <row r="99" spans="1:23" ht="14.25" thickBot="1" x14ac:dyDescent="0.2">
      <c r="A99" s="220"/>
      <c r="B99" s="256" t="s">
        <v>23</v>
      </c>
      <c r="C99" s="256"/>
      <c r="D99" s="256"/>
      <c r="E99" s="256"/>
      <c r="F99" s="257"/>
      <c r="G99" s="258"/>
      <c r="H99" s="259"/>
      <c r="I99" s="259"/>
      <c r="J99" s="259"/>
      <c r="K99" s="259"/>
      <c r="L99" s="259"/>
      <c r="M99" s="259"/>
      <c r="N99" s="260"/>
      <c r="O99" s="2"/>
      <c r="P99" s="2"/>
      <c r="Q99" s="2"/>
      <c r="R99" s="2"/>
      <c r="S99" s="2"/>
      <c r="T99" s="2"/>
      <c r="U99" s="220"/>
      <c r="V99" s="220"/>
      <c r="W99" s="220"/>
    </row>
    <row r="100" spans="1:23" ht="5.0999999999999996" customHeight="1" thickBot="1" x14ac:dyDescent="0.2">
      <c r="A100" s="220"/>
      <c r="B100" s="2"/>
      <c r="C100" s="2"/>
      <c r="D100" s="2"/>
      <c r="E100" s="2"/>
      <c r="F100" s="2"/>
      <c r="G100" s="2"/>
      <c r="H100" s="2"/>
      <c r="I100" s="2"/>
      <c r="J100" s="2"/>
      <c r="K100" s="2"/>
      <c r="L100" s="2"/>
      <c r="M100" s="2"/>
      <c r="N100" s="2"/>
      <c r="O100" s="2"/>
      <c r="P100" s="2"/>
      <c r="Q100" s="2"/>
      <c r="R100" s="2"/>
      <c r="S100" s="2"/>
      <c r="T100" s="2"/>
      <c r="U100" s="220"/>
      <c r="V100" s="220"/>
      <c r="W100" s="220"/>
    </row>
    <row r="101" spans="1:23" ht="14.25" thickBot="1" x14ac:dyDescent="0.2">
      <c r="A101" s="220"/>
      <c r="B101" s="256" t="s">
        <v>24</v>
      </c>
      <c r="C101" s="256"/>
      <c r="D101" s="256"/>
      <c r="E101" s="256"/>
      <c r="F101" s="257"/>
      <c r="G101" s="258"/>
      <c r="H101" s="259"/>
      <c r="I101" s="259"/>
      <c r="J101" s="259"/>
      <c r="K101" s="259"/>
      <c r="L101" s="259"/>
      <c r="M101" s="259"/>
      <c r="N101" s="260"/>
      <c r="O101" s="2"/>
      <c r="P101" s="2"/>
      <c r="Q101" s="2"/>
      <c r="R101" s="2"/>
      <c r="S101" s="2"/>
      <c r="T101" s="2"/>
      <c r="U101" s="220"/>
      <c r="V101" s="220"/>
      <c r="W101" s="220"/>
    </row>
    <row r="102" spans="1:23" ht="5.0999999999999996" customHeight="1" thickBot="1" x14ac:dyDescent="0.2">
      <c r="A102" s="220"/>
      <c r="B102" s="2"/>
      <c r="C102" s="2"/>
      <c r="D102" s="2"/>
      <c r="E102" s="2"/>
      <c r="F102" s="2"/>
      <c r="G102" s="2"/>
      <c r="H102" s="2"/>
      <c r="I102" s="2"/>
      <c r="J102" s="2"/>
      <c r="K102" s="2"/>
      <c r="L102" s="2"/>
      <c r="M102" s="2"/>
      <c r="N102" s="2"/>
      <c r="O102" s="2"/>
      <c r="P102" s="2"/>
      <c r="Q102" s="2"/>
      <c r="R102" s="2"/>
      <c r="S102" s="2"/>
      <c r="T102" s="2"/>
      <c r="U102" s="220"/>
      <c r="V102" s="220"/>
      <c r="W102" s="220"/>
    </row>
    <row r="103" spans="1:23" ht="14.25" thickBot="1" x14ac:dyDescent="0.2">
      <c r="A103" s="220"/>
      <c r="B103" s="256" t="s">
        <v>25</v>
      </c>
      <c r="C103" s="256"/>
      <c r="D103" s="256"/>
      <c r="E103" s="256"/>
      <c r="F103" s="257"/>
      <c r="G103" s="258"/>
      <c r="H103" s="259"/>
      <c r="I103" s="259"/>
      <c r="J103" s="259"/>
      <c r="K103" s="259"/>
      <c r="L103" s="259"/>
      <c r="M103" s="259"/>
      <c r="N103" s="260"/>
      <c r="O103" s="2"/>
      <c r="P103" s="2"/>
      <c r="Q103" s="2"/>
      <c r="R103" s="2"/>
      <c r="S103" s="2"/>
      <c r="T103" s="2"/>
      <c r="U103" s="220"/>
      <c r="V103" s="220"/>
      <c r="W103" s="220"/>
    </row>
    <row r="104" spans="1:23" ht="5.0999999999999996" customHeight="1" thickBot="1" x14ac:dyDescent="0.2">
      <c r="A104" s="220"/>
      <c r="B104" s="2"/>
      <c r="C104" s="2"/>
      <c r="D104" s="2"/>
      <c r="E104" s="2"/>
      <c r="F104" s="2"/>
      <c r="G104" s="2"/>
      <c r="H104" s="2"/>
      <c r="I104" s="2"/>
      <c r="J104" s="2"/>
      <c r="K104" s="2"/>
      <c r="L104" s="2"/>
      <c r="M104" s="2"/>
      <c r="N104" s="2"/>
      <c r="O104" s="2"/>
      <c r="P104" s="2"/>
      <c r="Q104" s="2"/>
      <c r="R104" s="2"/>
      <c r="S104" s="2"/>
      <c r="T104" s="2"/>
      <c r="U104" s="220"/>
      <c r="V104" s="220"/>
      <c r="W104" s="220"/>
    </row>
    <row r="105" spans="1:23" ht="14.25" thickBot="1" x14ac:dyDescent="0.2">
      <c r="A105" s="220"/>
      <c r="B105" s="256" t="s">
        <v>26</v>
      </c>
      <c r="C105" s="256"/>
      <c r="D105" s="256"/>
      <c r="E105" s="256"/>
      <c r="F105" s="257"/>
      <c r="G105" s="258"/>
      <c r="H105" s="259"/>
      <c r="I105" s="259"/>
      <c r="J105" s="259"/>
      <c r="K105" s="259"/>
      <c r="L105" s="259"/>
      <c r="M105" s="259"/>
      <c r="N105" s="260"/>
      <c r="O105" s="2"/>
      <c r="P105" s="2"/>
      <c r="Q105" s="2"/>
      <c r="R105" s="2"/>
      <c r="S105" s="2"/>
      <c r="T105" s="2"/>
      <c r="U105" s="220"/>
      <c r="V105" s="220"/>
      <c r="W105" s="220"/>
    </row>
    <row r="106" spans="1:23" ht="5.0999999999999996" customHeight="1" thickBot="1" x14ac:dyDescent="0.2">
      <c r="A106" s="220"/>
      <c r="B106" s="2"/>
      <c r="C106" s="2"/>
      <c r="D106" s="2"/>
      <c r="E106" s="2"/>
      <c r="F106" s="2"/>
      <c r="G106" s="2"/>
      <c r="H106" s="2"/>
      <c r="I106" s="2"/>
      <c r="J106" s="2"/>
      <c r="K106" s="2"/>
      <c r="L106" s="2"/>
      <c r="M106" s="2"/>
      <c r="N106" s="2"/>
      <c r="O106" s="2"/>
      <c r="P106" s="2"/>
      <c r="Q106" s="2"/>
      <c r="R106" s="2"/>
      <c r="S106" s="2"/>
      <c r="T106" s="2"/>
      <c r="U106" s="220"/>
      <c r="V106" s="220"/>
      <c r="W106" s="220"/>
    </row>
    <row r="107" spans="1:23" ht="14.25" thickBot="1" x14ac:dyDescent="0.2">
      <c r="A107" s="220"/>
      <c r="B107" s="256" t="s">
        <v>27</v>
      </c>
      <c r="C107" s="256"/>
      <c r="D107" s="256"/>
      <c r="E107" s="256"/>
      <c r="F107" s="257"/>
      <c r="G107" s="316"/>
      <c r="H107" s="317"/>
      <c r="I107" s="318"/>
      <c r="J107" s="2"/>
      <c r="K107" s="2" t="s">
        <v>28</v>
      </c>
      <c r="L107" s="2"/>
      <c r="M107" s="2"/>
      <c r="N107" s="2"/>
      <c r="O107" s="2"/>
      <c r="P107" s="2"/>
      <c r="Q107" s="2"/>
      <c r="R107" s="2"/>
      <c r="S107" s="2"/>
      <c r="T107" s="2"/>
      <c r="U107" s="220"/>
      <c r="V107" s="220"/>
      <c r="W107" s="220"/>
    </row>
    <row r="108" spans="1:23" ht="5.0999999999999996" customHeight="1" thickBot="1" x14ac:dyDescent="0.2">
      <c r="A108" s="220"/>
      <c r="B108" s="2"/>
      <c r="C108" s="2"/>
      <c r="D108" s="2"/>
      <c r="E108" s="2"/>
      <c r="F108" s="2"/>
      <c r="G108" s="2"/>
      <c r="H108" s="2"/>
      <c r="I108" s="2"/>
      <c r="J108" s="2"/>
      <c r="K108" s="2"/>
      <c r="L108" s="2"/>
      <c r="M108" s="2"/>
      <c r="N108" s="2"/>
      <c r="O108" s="2"/>
      <c r="P108" s="2"/>
      <c r="Q108" s="2"/>
      <c r="R108" s="2"/>
      <c r="S108" s="2"/>
      <c r="T108" s="2"/>
      <c r="U108" s="220"/>
      <c r="V108" s="220"/>
      <c r="W108" s="220"/>
    </row>
    <row r="109" spans="1:23" ht="14.25" thickBot="1" x14ac:dyDescent="0.2">
      <c r="A109" s="220"/>
      <c r="B109" s="256" t="s">
        <v>29</v>
      </c>
      <c r="C109" s="256"/>
      <c r="D109" s="256"/>
      <c r="E109" s="256"/>
      <c r="F109" s="257"/>
      <c r="G109" s="261"/>
      <c r="H109" s="262"/>
      <c r="I109" s="2" t="s">
        <v>30</v>
      </c>
      <c r="J109" s="2"/>
      <c r="K109" s="2"/>
      <c r="L109" s="2"/>
      <c r="M109" s="2"/>
      <c r="N109" s="2"/>
      <c r="O109" s="2"/>
      <c r="P109" s="2"/>
      <c r="Q109" s="2"/>
      <c r="R109" s="2"/>
      <c r="S109" s="2"/>
      <c r="T109" s="2"/>
      <c r="U109" s="220"/>
      <c r="V109" s="220"/>
      <c r="W109" s="220"/>
    </row>
    <row r="110" spans="1:23" ht="5.0999999999999996" customHeight="1" x14ac:dyDescent="0.15">
      <c r="A110" s="220"/>
      <c r="B110" s="2"/>
      <c r="C110" s="2"/>
      <c r="D110" s="2"/>
      <c r="E110" s="2"/>
      <c r="F110" s="2"/>
      <c r="G110" s="2"/>
      <c r="H110" s="2"/>
      <c r="I110" s="2"/>
      <c r="J110" s="2"/>
      <c r="K110" s="2"/>
      <c r="L110" s="2"/>
      <c r="M110" s="2"/>
      <c r="N110" s="2"/>
      <c r="O110" s="2"/>
      <c r="P110" s="2"/>
      <c r="Q110" s="2"/>
      <c r="R110" s="2"/>
      <c r="S110" s="2"/>
      <c r="T110" s="2"/>
      <c r="U110" s="220"/>
      <c r="V110" s="220"/>
      <c r="W110" s="220"/>
    </row>
    <row r="111" spans="1:23" x14ac:dyDescent="0.15">
      <c r="A111" s="220"/>
      <c r="B111" s="63"/>
      <c r="C111" s="63"/>
      <c r="D111" s="63"/>
      <c r="E111" s="63"/>
      <c r="F111" s="63"/>
      <c r="G111" s="63"/>
      <c r="H111" s="63"/>
      <c r="I111" s="63"/>
      <c r="J111" s="63"/>
      <c r="K111" s="63"/>
      <c r="L111" s="63"/>
      <c r="M111" s="63"/>
      <c r="N111" s="63"/>
      <c r="O111" s="63"/>
      <c r="P111" s="63"/>
      <c r="Q111" s="2"/>
      <c r="R111" s="2"/>
      <c r="S111" s="2"/>
      <c r="T111" s="2"/>
      <c r="U111" s="220"/>
      <c r="V111" s="220"/>
      <c r="W111" s="220"/>
    </row>
    <row r="112" spans="1:23" x14ac:dyDescent="0.15">
      <c r="A112" s="220"/>
      <c r="B112" s="63"/>
      <c r="C112" s="65" t="s">
        <v>493</v>
      </c>
      <c r="D112" s="63"/>
      <c r="E112" s="63"/>
      <c r="F112" s="63"/>
      <c r="G112" s="63"/>
      <c r="H112" s="63"/>
      <c r="I112" s="125" t="s">
        <v>495</v>
      </c>
      <c r="J112" s="63"/>
      <c r="K112" s="63"/>
      <c r="L112" s="63"/>
      <c r="M112" s="63"/>
      <c r="N112" s="63"/>
      <c r="O112" s="63"/>
      <c r="P112" s="63"/>
      <c r="Q112" s="2"/>
      <c r="R112" s="2"/>
      <c r="S112" s="2"/>
      <c r="T112" s="2"/>
      <c r="U112" s="220"/>
      <c r="V112" s="220"/>
      <c r="W112" s="220"/>
    </row>
    <row r="113" spans="1:23" ht="27" customHeight="1" x14ac:dyDescent="0.15">
      <c r="A113" s="220"/>
      <c r="B113" s="63"/>
      <c r="C113" s="126"/>
      <c r="D113" s="63"/>
      <c r="E113" s="63"/>
      <c r="F113" s="63"/>
      <c r="G113" s="63"/>
      <c r="H113" s="63"/>
      <c r="I113" s="253" t="s">
        <v>494</v>
      </c>
      <c r="J113" s="253"/>
      <c r="K113" s="253"/>
      <c r="L113" s="253"/>
      <c r="M113" s="253"/>
      <c r="N113" s="253"/>
      <c r="O113" s="253"/>
      <c r="P113" s="253"/>
      <c r="Q113" s="253"/>
      <c r="R113" s="253"/>
      <c r="S113" s="253"/>
      <c r="T113" s="127"/>
      <c r="U113" s="220"/>
      <c r="V113" s="220"/>
      <c r="W113" s="220"/>
    </row>
    <row r="114" spans="1:23" ht="5.0999999999999996" customHeight="1" thickBot="1" x14ac:dyDescent="0.2">
      <c r="A114" s="220"/>
      <c r="B114" s="2"/>
      <c r="C114" s="2"/>
      <c r="D114" s="2"/>
      <c r="E114" s="2"/>
      <c r="F114" s="2"/>
      <c r="G114" s="2"/>
      <c r="H114" s="2"/>
      <c r="I114" s="2"/>
      <c r="J114" s="2"/>
      <c r="K114" s="2"/>
      <c r="L114" s="2"/>
      <c r="M114" s="2"/>
      <c r="N114" s="2"/>
      <c r="O114" s="2"/>
      <c r="P114" s="2"/>
      <c r="Q114" s="2"/>
      <c r="R114" s="2"/>
      <c r="S114" s="2"/>
      <c r="T114" s="2"/>
      <c r="U114" s="220"/>
      <c r="V114" s="220"/>
      <c r="W114" s="220"/>
    </row>
    <row r="115" spans="1:23" ht="14.25" thickBot="1" x14ac:dyDescent="0.2">
      <c r="A115" s="220"/>
      <c r="B115" s="63"/>
      <c r="C115" s="247" t="s">
        <v>293</v>
      </c>
      <c r="D115" s="247"/>
      <c r="E115" s="247"/>
      <c r="F115" s="248"/>
      <c r="G115" s="250"/>
      <c r="H115" s="251"/>
      <c r="I115" s="251"/>
      <c r="J115" s="251"/>
      <c r="K115" s="251"/>
      <c r="L115" s="251"/>
      <c r="M115" s="251"/>
      <c r="N115" s="252"/>
      <c r="O115" s="2" t="s">
        <v>30</v>
      </c>
      <c r="P115" s="63"/>
      <c r="Q115" s="2"/>
      <c r="R115" s="2"/>
      <c r="S115" s="2"/>
      <c r="T115" s="2"/>
      <c r="U115" s="220"/>
      <c r="V115" s="220"/>
      <c r="W115" s="220"/>
    </row>
    <row r="116" spans="1:23" ht="5.0999999999999996" customHeight="1" x14ac:dyDescent="0.15">
      <c r="A116" s="220"/>
      <c r="B116" s="2"/>
      <c r="C116" s="2"/>
      <c r="D116" s="2"/>
      <c r="E116" s="2"/>
      <c r="F116" s="2"/>
      <c r="G116" s="2"/>
      <c r="H116" s="2"/>
      <c r="I116" s="2"/>
      <c r="J116" s="2"/>
      <c r="K116" s="2"/>
      <c r="L116" s="2"/>
      <c r="M116" s="2"/>
      <c r="N116" s="2"/>
      <c r="O116" s="2"/>
      <c r="P116" s="2"/>
      <c r="Q116" s="2"/>
      <c r="R116" s="2"/>
      <c r="S116" s="2"/>
      <c r="T116" s="2"/>
      <c r="U116" s="220"/>
      <c r="V116" s="220"/>
      <c r="W116" s="220"/>
    </row>
    <row r="117" spans="1:23" x14ac:dyDescent="0.15">
      <c r="A117" s="220"/>
      <c r="B117" s="220"/>
      <c r="C117" s="220"/>
      <c r="D117" s="220"/>
      <c r="E117" s="220"/>
      <c r="F117" s="220"/>
      <c r="G117" s="220"/>
      <c r="H117" s="220"/>
      <c r="I117" s="220"/>
      <c r="J117" s="220"/>
      <c r="K117" s="220"/>
      <c r="L117" s="220"/>
      <c r="M117" s="220"/>
      <c r="N117" s="220"/>
      <c r="O117" s="220"/>
      <c r="P117" s="220"/>
      <c r="Q117" s="220"/>
      <c r="R117" s="220"/>
      <c r="S117" s="220"/>
      <c r="T117" s="220"/>
      <c r="U117" s="220"/>
      <c r="V117" s="220"/>
      <c r="W117" s="220"/>
    </row>
    <row r="118" spans="1:23" ht="5.0999999999999996" customHeight="1" x14ac:dyDescent="0.15">
      <c r="A118" s="220"/>
      <c r="B118" s="4"/>
      <c r="C118" s="4"/>
      <c r="D118" s="4"/>
      <c r="E118" s="4"/>
      <c r="F118" s="4"/>
      <c r="G118" s="4"/>
      <c r="H118" s="4"/>
      <c r="I118" s="4"/>
      <c r="J118" s="4"/>
      <c r="K118" s="4"/>
      <c r="L118" s="4"/>
      <c r="M118" s="4"/>
      <c r="N118" s="4"/>
      <c r="O118" s="4"/>
      <c r="P118" s="4"/>
      <c r="Q118" s="4"/>
      <c r="R118" s="4"/>
      <c r="S118" s="4"/>
      <c r="T118" s="4"/>
      <c r="U118" s="220"/>
      <c r="V118" s="220"/>
      <c r="W118" s="220"/>
    </row>
    <row r="119" spans="1:23" x14ac:dyDescent="0.15">
      <c r="A119" s="220"/>
      <c r="B119" s="4" t="s">
        <v>284</v>
      </c>
      <c r="C119" s="4"/>
      <c r="D119" s="4"/>
      <c r="E119" s="4"/>
      <c r="F119" s="4"/>
      <c r="G119" s="4"/>
      <c r="H119" s="4"/>
      <c r="I119" s="4"/>
      <c r="J119" s="4"/>
      <c r="K119" s="4"/>
      <c r="L119" s="4"/>
      <c r="M119" s="4"/>
      <c r="N119" s="4"/>
      <c r="O119" s="4"/>
      <c r="P119" s="4"/>
      <c r="Q119" s="4"/>
      <c r="R119" s="4"/>
      <c r="S119" s="4"/>
      <c r="T119" s="4"/>
      <c r="U119" s="220"/>
      <c r="V119" s="220"/>
      <c r="W119" s="220"/>
    </row>
    <row r="120" spans="1:23" x14ac:dyDescent="0.15">
      <c r="A120" s="220"/>
      <c r="B120" s="4"/>
      <c r="C120" s="118" t="s">
        <v>377</v>
      </c>
      <c r="D120" s="4"/>
      <c r="E120" s="4"/>
      <c r="F120" s="4"/>
      <c r="G120" s="4"/>
      <c r="H120" s="4"/>
      <c r="I120" s="4"/>
      <c r="J120" s="4"/>
      <c r="K120" s="4"/>
      <c r="L120" s="4"/>
      <c r="M120" s="4"/>
      <c r="N120" s="4"/>
      <c r="O120" s="4"/>
      <c r="P120" s="4"/>
      <c r="Q120" s="4"/>
      <c r="R120" s="4"/>
      <c r="S120" s="4"/>
      <c r="T120" s="4"/>
      <c r="U120" s="220"/>
      <c r="V120" s="220"/>
      <c r="W120" s="220"/>
    </row>
    <row r="121" spans="1:23" ht="11.25" customHeight="1" x14ac:dyDescent="0.15">
      <c r="A121" s="220"/>
      <c r="B121" s="4"/>
      <c r="C121" s="4"/>
      <c r="D121" s="4"/>
      <c r="E121" s="4"/>
      <c r="F121" s="4"/>
      <c r="G121" s="4"/>
      <c r="H121" s="4"/>
      <c r="I121" s="4"/>
      <c r="J121" s="4"/>
      <c r="K121" s="4"/>
      <c r="L121" s="4"/>
      <c r="M121" s="4"/>
      <c r="N121" s="4"/>
      <c r="O121" s="4"/>
      <c r="P121" s="4"/>
      <c r="Q121" s="4"/>
      <c r="R121" s="4"/>
      <c r="S121" s="4"/>
      <c r="T121" s="4"/>
      <c r="U121" s="220"/>
      <c r="V121" s="220"/>
      <c r="W121" s="220"/>
    </row>
    <row r="122" spans="1:23" ht="13.5" customHeight="1" x14ac:dyDescent="0.15">
      <c r="A122" s="220"/>
      <c r="B122" s="4"/>
      <c r="C122" s="4" t="s">
        <v>282</v>
      </c>
      <c r="D122" s="4"/>
      <c r="E122" s="4"/>
      <c r="F122" s="4"/>
      <c r="G122" s="4"/>
      <c r="H122" s="4"/>
      <c r="I122" s="4"/>
      <c r="J122" s="4"/>
      <c r="K122" s="4"/>
      <c r="L122" s="4"/>
      <c r="M122" s="4"/>
      <c r="N122" s="4"/>
      <c r="O122" s="4"/>
      <c r="P122" s="4"/>
      <c r="Q122" s="4"/>
      <c r="R122" s="4"/>
      <c r="S122" s="4"/>
      <c r="T122" s="4"/>
      <c r="U122" s="220"/>
      <c r="V122" s="220"/>
      <c r="W122" s="220"/>
    </row>
    <row r="123" spans="1:23" ht="5.0999999999999996" customHeight="1" thickBot="1" x14ac:dyDescent="0.2">
      <c r="A123" s="220"/>
      <c r="B123" s="4"/>
      <c r="C123" s="4"/>
      <c r="D123" s="4"/>
      <c r="E123" s="4"/>
      <c r="F123" s="4"/>
      <c r="G123" s="4"/>
      <c r="H123" s="4"/>
      <c r="I123" s="4"/>
      <c r="J123" s="4"/>
      <c r="K123" s="4"/>
      <c r="L123" s="4"/>
      <c r="M123" s="4"/>
      <c r="N123" s="4"/>
      <c r="O123" s="4"/>
      <c r="P123" s="4"/>
      <c r="Q123" s="4"/>
      <c r="R123" s="4"/>
      <c r="S123" s="4"/>
      <c r="T123" s="4"/>
      <c r="U123" s="220"/>
      <c r="V123" s="220"/>
      <c r="W123" s="220"/>
    </row>
    <row r="124" spans="1:23" ht="14.25" thickBot="1" x14ac:dyDescent="0.2">
      <c r="A124" s="220"/>
      <c r="B124" s="4"/>
      <c r="C124" s="4"/>
      <c r="D124" s="52"/>
      <c r="E124" s="4" t="s">
        <v>31</v>
      </c>
      <c r="F124" s="4"/>
      <c r="G124" s="4"/>
      <c r="H124" s="4"/>
      <c r="I124" s="4"/>
      <c r="J124" s="4"/>
      <c r="K124" s="4"/>
      <c r="L124" s="4"/>
      <c r="M124" s="128" t="str">
        <f>IF(AND(反映シート!$E$13&lt;&gt;"トラック事業者",反映シート!$E$15&lt;&gt;"トラック事業者"),"※代表申請者または共同申請者がﾄﾗｯｸ事業者の場合、申請可能です","")</f>
        <v>※代表申請者または共同申請者がﾄﾗｯｸ事業者の場合、申請可能です</v>
      </c>
      <c r="N124" s="4"/>
      <c r="O124" s="4"/>
      <c r="P124" s="4"/>
      <c r="Q124" s="4"/>
      <c r="R124" s="4"/>
      <c r="S124" s="4"/>
      <c r="T124" s="4"/>
      <c r="U124" s="220"/>
      <c r="V124" s="220"/>
      <c r="W124" s="220"/>
    </row>
    <row r="125" spans="1:23" ht="5.0999999999999996" customHeight="1" x14ac:dyDescent="0.15">
      <c r="A125" s="220"/>
      <c r="B125" s="4"/>
      <c r="C125" s="4"/>
      <c r="D125" s="4"/>
      <c r="E125" s="4"/>
      <c r="F125" s="4"/>
      <c r="G125" s="4"/>
      <c r="H125" s="4"/>
      <c r="I125" s="4"/>
      <c r="J125" s="4"/>
      <c r="K125" s="4"/>
      <c r="L125" s="4"/>
      <c r="M125" s="4"/>
      <c r="N125" s="4"/>
      <c r="O125" s="4"/>
      <c r="P125" s="4"/>
      <c r="Q125" s="4"/>
      <c r="R125" s="4"/>
      <c r="S125" s="4"/>
      <c r="T125" s="4"/>
      <c r="U125" s="220"/>
      <c r="V125" s="220"/>
      <c r="W125" s="220"/>
    </row>
    <row r="126" spans="1:23" x14ac:dyDescent="0.15">
      <c r="A126" s="220"/>
      <c r="B126" s="4"/>
      <c r="C126" s="4"/>
      <c r="D126" s="4" t="s">
        <v>32</v>
      </c>
      <c r="E126" s="4"/>
      <c r="F126" s="4"/>
      <c r="G126" s="4"/>
      <c r="H126" s="4"/>
      <c r="I126" s="4"/>
      <c r="J126" s="4"/>
      <c r="K126" s="4"/>
      <c r="L126" s="4"/>
      <c r="M126" s="4"/>
      <c r="N126" s="4"/>
      <c r="O126" s="4"/>
      <c r="P126" s="4"/>
      <c r="Q126" s="4"/>
      <c r="R126" s="4"/>
      <c r="S126" s="4"/>
      <c r="T126" s="4"/>
      <c r="U126" s="220"/>
      <c r="V126" s="220"/>
      <c r="W126" s="220"/>
    </row>
    <row r="127" spans="1:23" ht="5.0999999999999996" customHeight="1" thickBot="1" x14ac:dyDescent="0.2">
      <c r="A127" s="220"/>
      <c r="B127" s="4"/>
      <c r="C127" s="4"/>
      <c r="D127" s="4"/>
      <c r="E127" s="4"/>
      <c r="F127" s="4"/>
      <c r="G127" s="4"/>
      <c r="H127" s="4"/>
      <c r="I127" s="4"/>
      <c r="J127" s="4"/>
      <c r="K127" s="4"/>
      <c r="L127" s="4"/>
      <c r="M127" s="4"/>
      <c r="N127" s="4"/>
      <c r="O127" s="4"/>
      <c r="P127" s="4"/>
      <c r="Q127" s="4"/>
      <c r="R127" s="4"/>
      <c r="S127" s="4"/>
      <c r="T127" s="4"/>
      <c r="U127" s="220"/>
      <c r="V127" s="220"/>
      <c r="W127" s="220"/>
    </row>
    <row r="128" spans="1:23" ht="14.25" thickBot="1" x14ac:dyDescent="0.2">
      <c r="A128" s="220"/>
      <c r="B128" s="4"/>
      <c r="C128" s="4"/>
      <c r="D128" s="43"/>
      <c r="E128" s="4" t="s">
        <v>33</v>
      </c>
      <c r="F128" s="4"/>
      <c r="G128" s="4"/>
      <c r="H128" s="4"/>
      <c r="I128" s="4"/>
      <c r="J128" s="4"/>
      <c r="K128" s="4"/>
      <c r="L128" s="4"/>
      <c r="M128" s="128" t="str">
        <f>IF(AND(反映シート!$E$13&lt;&gt;"荷主等",反映シート!$E$15&lt;&gt;"荷主等"),"※代表申請者または共同申請者が荷主等の場合、申請可能です","")</f>
        <v>※代表申請者または共同申請者が荷主等の場合、申請可能です</v>
      </c>
      <c r="N128" s="4"/>
      <c r="O128" s="4"/>
      <c r="P128" s="4"/>
      <c r="Q128" s="4"/>
      <c r="R128" s="4"/>
      <c r="S128" s="4"/>
      <c r="T128" s="4"/>
      <c r="U128" s="220"/>
      <c r="V128" s="220"/>
      <c r="W128" s="220"/>
    </row>
    <row r="129" spans="1:23" ht="5.0999999999999996" customHeight="1" thickBot="1" x14ac:dyDescent="0.2">
      <c r="A129" s="220"/>
      <c r="B129" s="4"/>
      <c r="C129" s="4"/>
      <c r="D129" s="72"/>
      <c r="E129" s="4"/>
      <c r="F129" s="4"/>
      <c r="G129" s="4"/>
      <c r="H129" s="4"/>
      <c r="I129" s="4"/>
      <c r="J129" s="4"/>
      <c r="K129" s="4"/>
      <c r="L129" s="4"/>
      <c r="M129" s="4"/>
      <c r="N129" s="4"/>
      <c r="O129" s="4"/>
      <c r="P129" s="4"/>
      <c r="Q129" s="4"/>
      <c r="R129" s="4"/>
      <c r="S129" s="4"/>
      <c r="T129" s="4"/>
      <c r="U129" s="220"/>
      <c r="V129" s="220"/>
      <c r="W129" s="220"/>
    </row>
    <row r="130" spans="1:23" ht="14.25" thickBot="1" x14ac:dyDescent="0.2">
      <c r="A130" s="220"/>
      <c r="B130" s="4"/>
      <c r="C130" s="4"/>
      <c r="D130" s="43"/>
      <c r="E130" s="4" t="s">
        <v>34</v>
      </c>
      <c r="F130" s="4"/>
      <c r="G130" s="4"/>
      <c r="H130" s="4"/>
      <c r="I130" s="4"/>
      <c r="J130" s="4"/>
      <c r="K130" s="4"/>
      <c r="L130" s="4"/>
      <c r="M130" s="128" t="str">
        <f>M128</f>
        <v>※代表申請者または共同申請者が荷主等の場合、申請可能です</v>
      </c>
      <c r="N130" s="4"/>
      <c r="O130" s="4"/>
      <c r="P130" s="4"/>
      <c r="Q130" s="4"/>
      <c r="R130" s="4"/>
      <c r="S130" s="4"/>
      <c r="T130" s="4"/>
      <c r="U130" s="220"/>
      <c r="V130" s="220"/>
      <c r="W130" s="220"/>
    </row>
    <row r="131" spans="1:23" ht="5.0999999999999996" customHeight="1" thickBot="1" x14ac:dyDescent="0.2">
      <c r="A131" s="220"/>
      <c r="B131" s="4"/>
      <c r="C131" s="4"/>
      <c r="D131" s="72"/>
      <c r="E131" s="4"/>
      <c r="F131" s="4"/>
      <c r="G131" s="4"/>
      <c r="H131" s="4"/>
      <c r="I131" s="4"/>
      <c r="J131" s="4"/>
      <c r="K131" s="4"/>
      <c r="L131" s="4"/>
      <c r="M131" s="128"/>
      <c r="N131" s="4"/>
      <c r="O131" s="4"/>
      <c r="P131" s="4"/>
      <c r="Q131" s="4"/>
      <c r="R131" s="4"/>
      <c r="S131" s="4"/>
      <c r="T131" s="4"/>
      <c r="U131" s="220"/>
      <c r="V131" s="220"/>
      <c r="W131" s="220"/>
    </row>
    <row r="132" spans="1:23" ht="14.25" thickBot="1" x14ac:dyDescent="0.2">
      <c r="A132" s="220"/>
      <c r="B132" s="4"/>
      <c r="C132" s="4"/>
      <c r="D132" s="43"/>
      <c r="E132" s="4" t="s">
        <v>35</v>
      </c>
      <c r="F132" s="4"/>
      <c r="G132" s="4"/>
      <c r="H132" s="4"/>
      <c r="I132" s="4"/>
      <c r="J132" s="4"/>
      <c r="K132" s="4"/>
      <c r="L132" s="4"/>
      <c r="M132" s="128" t="str">
        <f>M130</f>
        <v>※代表申請者または共同申請者が荷主等の場合、申請可能です</v>
      </c>
      <c r="N132" s="4"/>
      <c r="O132" s="4"/>
      <c r="P132" s="4"/>
      <c r="Q132" s="4"/>
      <c r="R132" s="4"/>
      <c r="S132" s="4"/>
      <c r="T132" s="4"/>
      <c r="U132" s="220"/>
      <c r="V132" s="220"/>
      <c r="W132" s="220"/>
    </row>
    <row r="133" spans="1:23" ht="5.0999999999999996" customHeight="1" thickBot="1" x14ac:dyDescent="0.2">
      <c r="A133" s="220"/>
      <c r="B133" s="4"/>
      <c r="C133" s="4"/>
      <c r="D133" s="72"/>
      <c r="E133" s="4"/>
      <c r="F133" s="4"/>
      <c r="G133" s="4"/>
      <c r="H133" s="4"/>
      <c r="I133" s="4"/>
      <c r="J133" s="4"/>
      <c r="K133" s="4"/>
      <c r="L133" s="4"/>
      <c r="M133" s="128"/>
      <c r="N133" s="4"/>
      <c r="O133" s="4"/>
      <c r="P133" s="4"/>
      <c r="Q133" s="4"/>
      <c r="R133" s="4"/>
      <c r="S133" s="4"/>
      <c r="T133" s="4"/>
      <c r="U133" s="220"/>
      <c r="V133" s="220"/>
      <c r="W133" s="220"/>
    </row>
    <row r="134" spans="1:23" ht="14.25" thickBot="1" x14ac:dyDescent="0.2">
      <c r="A134" s="220"/>
      <c r="B134" s="4"/>
      <c r="C134" s="4"/>
      <c r="D134" s="43"/>
      <c r="E134" s="4" t="s">
        <v>36</v>
      </c>
      <c r="F134" s="4"/>
      <c r="G134" s="4"/>
      <c r="H134" s="4"/>
      <c r="I134" s="4"/>
      <c r="J134" s="4"/>
      <c r="K134" s="4"/>
      <c r="L134" s="4"/>
      <c r="M134" s="128" t="str">
        <f>M132</f>
        <v>※代表申請者または共同申請者が荷主等の場合、申請可能です</v>
      </c>
      <c r="N134" s="4"/>
      <c r="O134" s="4"/>
      <c r="P134" s="4"/>
      <c r="Q134" s="4"/>
      <c r="R134" s="4"/>
      <c r="S134" s="4"/>
      <c r="T134" s="4"/>
      <c r="U134" s="220"/>
      <c r="V134" s="220"/>
      <c r="W134" s="220"/>
    </row>
    <row r="135" spans="1:23" ht="5.0999999999999996" customHeight="1" thickBot="1" x14ac:dyDescent="0.2">
      <c r="A135" s="220"/>
      <c r="B135" s="4"/>
      <c r="C135" s="4"/>
      <c r="D135" s="72"/>
      <c r="E135" s="4"/>
      <c r="F135" s="4"/>
      <c r="G135" s="4"/>
      <c r="H135" s="4"/>
      <c r="I135" s="4"/>
      <c r="J135" s="4"/>
      <c r="K135" s="4"/>
      <c r="L135" s="4"/>
      <c r="M135" s="128"/>
      <c r="N135" s="4"/>
      <c r="O135" s="4"/>
      <c r="P135" s="4"/>
      <c r="Q135" s="4"/>
      <c r="R135" s="4"/>
      <c r="S135" s="4"/>
      <c r="T135" s="4"/>
      <c r="U135" s="220"/>
      <c r="V135" s="220"/>
      <c r="W135" s="220"/>
    </row>
    <row r="136" spans="1:23" ht="14.25" thickBot="1" x14ac:dyDescent="0.2">
      <c r="A136" s="220"/>
      <c r="B136" s="4"/>
      <c r="C136" s="4"/>
      <c r="D136" s="43"/>
      <c r="E136" s="4" t="s">
        <v>37</v>
      </c>
      <c r="F136" s="4"/>
      <c r="G136" s="4"/>
      <c r="H136" s="4"/>
      <c r="I136" s="4"/>
      <c r="J136" s="4"/>
      <c r="K136" s="4"/>
      <c r="L136" s="4"/>
      <c r="M136" s="128" t="str">
        <f>M134</f>
        <v>※代表申請者または共同申請者が荷主等の場合、申請可能です</v>
      </c>
      <c r="N136" s="4"/>
      <c r="O136" s="4"/>
      <c r="P136" s="4"/>
      <c r="Q136" s="4"/>
      <c r="R136" s="4"/>
      <c r="S136" s="4"/>
      <c r="T136" s="4"/>
      <c r="U136" s="220"/>
      <c r="V136" s="220"/>
      <c r="W136" s="220"/>
    </row>
    <row r="137" spans="1:23" ht="11.25" customHeight="1" thickBot="1" x14ac:dyDescent="0.2">
      <c r="A137" s="220"/>
      <c r="B137" s="4"/>
      <c r="C137" s="4"/>
      <c r="D137" s="4"/>
      <c r="E137" s="4"/>
      <c r="F137" s="4"/>
      <c r="G137" s="4"/>
      <c r="H137" s="4"/>
      <c r="I137" s="4"/>
      <c r="J137" s="4"/>
      <c r="K137" s="4"/>
      <c r="L137" s="4"/>
      <c r="M137" s="4"/>
      <c r="N137" s="4"/>
      <c r="O137" s="4"/>
      <c r="P137" s="4"/>
      <c r="Q137" s="4"/>
      <c r="R137" s="4"/>
      <c r="S137" s="4"/>
      <c r="T137" s="4"/>
      <c r="U137" s="220"/>
      <c r="V137" s="220"/>
      <c r="W137" s="220"/>
    </row>
    <row r="138" spans="1:23" ht="14.25" thickBot="1" x14ac:dyDescent="0.2">
      <c r="A138" s="220"/>
      <c r="B138" s="4"/>
      <c r="C138" s="4"/>
      <c r="D138" s="43"/>
      <c r="E138" s="4" t="s">
        <v>38</v>
      </c>
      <c r="F138" s="4"/>
      <c r="G138" s="4"/>
      <c r="H138" s="4"/>
      <c r="I138" s="4"/>
      <c r="J138" s="4"/>
      <c r="K138" s="4"/>
      <c r="L138" s="4"/>
      <c r="M138" s="4"/>
      <c r="N138" s="4"/>
      <c r="O138" s="4"/>
      <c r="P138" s="4"/>
      <c r="Q138" s="4"/>
      <c r="R138" s="4"/>
      <c r="S138" s="4"/>
      <c r="T138" s="4"/>
      <c r="U138" s="220"/>
      <c r="V138" s="220"/>
      <c r="W138" s="220"/>
    </row>
    <row r="139" spans="1:23" ht="5.0999999999999996" customHeight="1" thickBot="1" x14ac:dyDescent="0.2">
      <c r="A139" s="220"/>
      <c r="B139" s="4"/>
      <c r="C139" s="4"/>
      <c r="D139" s="72"/>
      <c r="E139" s="4"/>
      <c r="F139" s="4"/>
      <c r="G139" s="4"/>
      <c r="H139" s="4"/>
      <c r="I139" s="4"/>
      <c r="J139" s="4"/>
      <c r="K139" s="4"/>
      <c r="L139" s="4"/>
      <c r="M139" s="4"/>
      <c r="N139" s="4"/>
      <c r="O139" s="4"/>
      <c r="P139" s="4"/>
      <c r="Q139" s="4"/>
      <c r="R139" s="4"/>
      <c r="S139" s="4"/>
      <c r="T139" s="4"/>
      <c r="U139" s="220"/>
      <c r="V139" s="220"/>
      <c r="W139" s="220"/>
    </row>
    <row r="140" spans="1:23" ht="14.25" thickBot="1" x14ac:dyDescent="0.2">
      <c r="A140" s="220"/>
      <c r="B140" s="4"/>
      <c r="C140" s="4"/>
      <c r="D140" s="43"/>
      <c r="E140" s="4" t="s">
        <v>339</v>
      </c>
      <c r="F140" s="4"/>
      <c r="G140" s="4"/>
      <c r="H140" s="4"/>
      <c r="I140" s="4"/>
      <c r="J140" s="4"/>
      <c r="K140" s="4"/>
      <c r="L140" s="4"/>
      <c r="M140" s="128" t="str">
        <f>IF(AND(反映シート!C116=FALSE,反映シート!C120=FALSE,反映シート!C122=FALSE,反映シート!C124=FALSE,反映シート!C126=FALSE,反映シート!C128=FALSE,反映シート!C130=FALSE,D140="✓"),"※AI・IoTによるシステム連係ツールのみの申請はできません","")</f>
        <v/>
      </c>
      <c r="N140" s="4"/>
      <c r="O140" s="4"/>
      <c r="P140" s="4"/>
      <c r="Q140" s="4"/>
      <c r="R140" s="4"/>
      <c r="S140" s="4"/>
      <c r="T140" s="4"/>
      <c r="U140" s="220"/>
      <c r="V140" s="220"/>
      <c r="W140" s="220"/>
    </row>
    <row r="141" spans="1:23" x14ac:dyDescent="0.15">
      <c r="A141" s="220"/>
      <c r="B141" s="4"/>
      <c r="C141" s="4"/>
      <c r="D141" s="4" t="s">
        <v>40</v>
      </c>
      <c r="E141" s="4"/>
      <c r="F141" s="4"/>
      <c r="G141" s="4"/>
      <c r="H141" s="4"/>
      <c r="I141" s="4"/>
      <c r="J141" s="4"/>
      <c r="K141" s="4"/>
      <c r="L141" s="4"/>
      <c r="M141" s="4"/>
      <c r="N141" s="4"/>
      <c r="O141" s="4"/>
      <c r="P141" s="4"/>
      <c r="Q141" s="4"/>
      <c r="R141" s="4"/>
      <c r="S141" s="4"/>
      <c r="T141" s="4"/>
      <c r="U141" s="220"/>
      <c r="V141" s="220"/>
      <c r="W141" s="220"/>
    </row>
    <row r="142" spans="1:23" x14ac:dyDescent="0.15">
      <c r="A142" s="220"/>
      <c r="B142" s="4"/>
      <c r="C142" s="4"/>
      <c r="D142" s="4" t="s">
        <v>41</v>
      </c>
      <c r="E142" s="4"/>
      <c r="F142" s="4"/>
      <c r="G142" s="4"/>
      <c r="H142" s="4"/>
      <c r="I142" s="4"/>
      <c r="J142" s="4"/>
      <c r="K142" s="4"/>
      <c r="L142" s="4"/>
      <c r="M142" s="4"/>
      <c r="N142" s="4"/>
      <c r="O142" s="4"/>
      <c r="P142" s="4"/>
      <c r="Q142" s="4"/>
      <c r="R142" s="4"/>
      <c r="S142" s="4"/>
      <c r="T142" s="4"/>
      <c r="U142" s="220"/>
      <c r="V142" s="220"/>
      <c r="W142" s="220"/>
    </row>
    <row r="143" spans="1:23" ht="19.5" customHeight="1" x14ac:dyDescent="0.15">
      <c r="A143" s="220"/>
      <c r="B143" s="4"/>
      <c r="C143" s="70" t="str">
        <f>IF($D$124="✓","↓以下の枠内に入力をしてください。","")</f>
        <v/>
      </c>
      <c r="D143" s="4"/>
      <c r="E143" s="4"/>
      <c r="F143" s="4"/>
      <c r="G143" s="4"/>
      <c r="H143" s="4"/>
      <c r="I143" s="4"/>
      <c r="J143" s="4"/>
      <c r="K143" s="4"/>
      <c r="L143" s="4"/>
      <c r="M143" s="4"/>
      <c r="N143" s="4"/>
      <c r="O143" s="4"/>
      <c r="P143" s="4"/>
      <c r="Q143" s="4"/>
      <c r="R143" s="4"/>
      <c r="S143" s="4"/>
      <c r="T143" s="4"/>
      <c r="U143" s="220"/>
      <c r="V143" s="220"/>
      <c r="W143" s="220"/>
    </row>
    <row r="144" spans="1:23" ht="19.5" customHeight="1" x14ac:dyDescent="0.15">
      <c r="A144" s="220"/>
      <c r="B144" s="4"/>
      <c r="C144" s="53" t="s">
        <v>31</v>
      </c>
      <c r="D144" s="54"/>
      <c r="E144" s="54"/>
      <c r="F144" s="54"/>
      <c r="G144" s="54"/>
      <c r="H144" s="54"/>
      <c r="I144" s="54"/>
      <c r="J144" s="54"/>
      <c r="K144" s="54"/>
      <c r="L144" s="54"/>
      <c r="M144" s="54"/>
      <c r="N144" s="54"/>
      <c r="O144" s="54"/>
      <c r="P144" s="54"/>
      <c r="Q144" s="54"/>
      <c r="R144" s="54"/>
      <c r="S144" s="55"/>
      <c r="T144" s="4"/>
      <c r="U144" s="220"/>
      <c r="V144" s="220"/>
      <c r="W144" s="220"/>
    </row>
    <row r="145" spans="1:23" ht="5.0999999999999996" customHeight="1" x14ac:dyDescent="0.15">
      <c r="A145" s="220"/>
      <c r="B145" s="4"/>
      <c r="C145" s="56"/>
      <c r="D145" s="72"/>
      <c r="E145" s="4"/>
      <c r="F145" s="4"/>
      <c r="G145" s="4"/>
      <c r="H145" s="4"/>
      <c r="I145" s="4"/>
      <c r="J145" s="4"/>
      <c r="K145" s="4"/>
      <c r="L145" s="4"/>
      <c r="M145" s="4"/>
      <c r="N145" s="4"/>
      <c r="O145" s="4"/>
      <c r="P145" s="4"/>
      <c r="Q145" s="4"/>
      <c r="R145" s="4"/>
      <c r="S145" s="57"/>
      <c r="T145" s="4"/>
      <c r="U145" s="220"/>
      <c r="V145" s="220"/>
      <c r="W145" s="220"/>
    </row>
    <row r="146" spans="1:23" ht="14.25" customHeight="1" x14ac:dyDescent="0.15">
      <c r="A146" s="220"/>
      <c r="B146" s="4"/>
      <c r="C146" s="56"/>
      <c r="D146" s="66" t="s">
        <v>325</v>
      </c>
      <c r="E146" s="4"/>
      <c r="F146" s="4"/>
      <c r="G146" s="4"/>
      <c r="H146" s="4"/>
      <c r="I146" s="4"/>
      <c r="J146" s="4"/>
      <c r="K146" s="4"/>
      <c r="L146" s="4"/>
      <c r="M146" s="4"/>
      <c r="N146" s="4"/>
      <c r="O146" s="4"/>
      <c r="P146" s="4"/>
      <c r="Q146" s="4"/>
      <c r="R146" s="4"/>
      <c r="S146" s="57"/>
      <c r="T146" s="4"/>
      <c r="U146" s="220"/>
      <c r="V146" s="220"/>
      <c r="W146" s="220"/>
    </row>
    <row r="147" spans="1:23" ht="5.0999999999999996" customHeight="1" thickBot="1" x14ac:dyDescent="0.2">
      <c r="A147" s="220"/>
      <c r="B147" s="4"/>
      <c r="C147" s="56"/>
      <c r="D147" s="70"/>
      <c r="E147" s="4"/>
      <c r="F147" s="4"/>
      <c r="G147" s="4"/>
      <c r="H147" s="4"/>
      <c r="I147" s="4"/>
      <c r="J147" s="4"/>
      <c r="K147" s="4"/>
      <c r="L147" s="4"/>
      <c r="M147" s="4"/>
      <c r="N147" s="4"/>
      <c r="O147" s="4"/>
      <c r="P147" s="4"/>
      <c r="Q147" s="4"/>
      <c r="R147" s="4"/>
      <c r="S147" s="57"/>
      <c r="T147" s="4"/>
      <c r="U147" s="220"/>
      <c r="V147" s="220"/>
      <c r="W147" s="220"/>
    </row>
    <row r="148" spans="1:23" ht="14.25" customHeight="1" thickBot="1" x14ac:dyDescent="0.2">
      <c r="A148" s="220"/>
      <c r="B148" s="4"/>
      <c r="C148" s="71"/>
      <c r="D148" s="70"/>
      <c r="E148" s="70"/>
      <c r="F148" s="70"/>
      <c r="G148" s="4"/>
      <c r="H148" s="58" t="s">
        <v>305</v>
      </c>
      <c r="I148" s="8"/>
      <c r="J148" s="4" t="s">
        <v>315</v>
      </c>
      <c r="K148" s="4"/>
      <c r="L148" s="4"/>
      <c r="M148" s="4"/>
      <c r="N148" s="4"/>
      <c r="O148" s="4"/>
      <c r="P148" s="4"/>
      <c r="Q148" s="4"/>
      <c r="R148" s="4"/>
      <c r="S148" s="57"/>
      <c r="T148" s="4"/>
      <c r="U148" s="220"/>
      <c r="V148" s="220"/>
      <c r="W148" s="220"/>
    </row>
    <row r="149" spans="1:23" ht="5.0999999999999996" customHeight="1" thickBot="1" x14ac:dyDescent="0.2">
      <c r="A149" s="220"/>
      <c r="B149" s="4"/>
      <c r="C149" s="56"/>
      <c r="D149" s="72"/>
      <c r="E149" s="4"/>
      <c r="F149" s="4"/>
      <c r="G149" s="4"/>
      <c r="H149" s="4"/>
      <c r="I149" s="4"/>
      <c r="J149" s="4"/>
      <c r="K149" s="4"/>
      <c r="L149" s="4"/>
      <c r="M149" s="4"/>
      <c r="N149" s="4"/>
      <c r="O149" s="4"/>
      <c r="P149" s="4"/>
      <c r="Q149" s="4"/>
      <c r="R149" s="4"/>
      <c r="S149" s="57"/>
      <c r="T149" s="4"/>
      <c r="U149" s="220"/>
      <c r="V149" s="220"/>
      <c r="W149" s="220"/>
    </row>
    <row r="150" spans="1:23" ht="14.25" customHeight="1" thickBot="1" x14ac:dyDescent="0.2">
      <c r="A150" s="220"/>
      <c r="B150" s="4"/>
      <c r="C150" s="71"/>
      <c r="D150" s="4"/>
      <c r="E150" s="4"/>
      <c r="F150" s="4"/>
      <c r="G150" s="4"/>
      <c r="H150" s="58" t="s">
        <v>306</v>
      </c>
      <c r="I150" s="8"/>
      <c r="J150" s="4" t="s">
        <v>315</v>
      </c>
      <c r="K150" s="4"/>
      <c r="L150" s="4"/>
      <c r="M150" s="4"/>
      <c r="N150" s="129" t="str">
        <f>IF($I$152="要確認","50台を超過しているため、事業用、自家用の","")</f>
        <v/>
      </c>
      <c r="O150" s="4"/>
      <c r="P150" s="4"/>
      <c r="Q150" s="4"/>
      <c r="R150" s="4"/>
      <c r="S150" s="57"/>
      <c r="T150" s="4"/>
      <c r="U150" s="220"/>
      <c r="V150" s="220"/>
      <c r="W150" s="220"/>
    </row>
    <row r="151" spans="1:23" ht="5.0999999999999996" customHeight="1" thickBot="1" x14ac:dyDescent="0.2">
      <c r="A151" s="220"/>
      <c r="B151" s="4"/>
      <c r="C151" s="56"/>
      <c r="D151" s="72"/>
      <c r="E151" s="4"/>
      <c r="F151" s="4"/>
      <c r="G151" s="4"/>
      <c r="H151" s="4"/>
      <c r="I151" s="4"/>
      <c r="J151" s="4"/>
      <c r="K151" s="4"/>
      <c r="L151" s="4"/>
      <c r="M151" s="4"/>
      <c r="N151" s="4"/>
      <c r="O151" s="4"/>
      <c r="P151" s="4"/>
      <c r="Q151" s="4"/>
      <c r="R151" s="4"/>
      <c r="S151" s="57"/>
      <c r="T151" s="4"/>
      <c r="U151" s="220"/>
      <c r="V151" s="220"/>
      <c r="W151" s="220"/>
    </row>
    <row r="152" spans="1:23" ht="14.25" customHeight="1" thickBot="1" x14ac:dyDescent="0.2">
      <c r="A152" s="220"/>
      <c r="B152" s="4"/>
      <c r="C152" s="71"/>
      <c r="D152" s="4"/>
      <c r="E152" s="4"/>
      <c r="F152" s="4"/>
      <c r="G152" s="4"/>
      <c r="H152" s="58" t="s">
        <v>307</v>
      </c>
      <c r="I152" s="107">
        <f>IF(I148+I150&gt;50,"要確認",I148+I150)</f>
        <v>0</v>
      </c>
      <c r="J152" s="4" t="s">
        <v>316</v>
      </c>
      <c r="K152" s="4"/>
      <c r="L152" s="4"/>
      <c r="M152" s="4"/>
      <c r="N152" s="129" t="str">
        <f>IF($I$152="要確認","申請する車両台数を修正してください。","")</f>
        <v/>
      </c>
      <c r="O152" s="4"/>
      <c r="P152" s="4"/>
      <c r="Q152" s="4"/>
      <c r="R152" s="4"/>
      <c r="S152" s="57"/>
      <c r="T152" s="4"/>
      <c r="U152" s="220"/>
      <c r="V152" s="220"/>
      <c r="W152" s="220"/>
    </row>
    <row r="153" spans="1:23" ht="5.0999999999999996" customHeight="1" thickBot="1" x14ac:dyDescent="0.2">
      <c r="A153" s="220"/>
      <c r="B153" s="4"/>
      <c r="C153" s="56"/>
      <c r="D153" s="72"/>
      <c r="E153" s="4"/>
      <c r="F153" s="4"/>
      <c r="G153" s="4"/>
      <c r="H153" s="4"/>
      <c r="I153" s="4"/>
      <c r="J153" s="4"/>
      <c r="K153" s="4"/>
      <c r="L153" s="4"/>
      <c r="M153" s="4"/>
      <c r="N153" s="4"/>
      <c r="O153" s="4"/>
      <c r="P153" s="4"/>
      <c r="Q153" s="4"/>
      <c r="R153" s="4"/>
      <c r="S153" s="57"/>
      <c r="T153" s="4"/>
      <c r="U153" s="220"/>
      <c r="V153" s="220"/>
      <c r="W153" s="220"/>
    </row>
    <row r="154" spans="1:23" ht="14.25" customHeight="1" thickBot="1" x14ac:dyDescent="0.2">
      <c r="A154" s="220"/>
      <c r="B154" s="4"/>
      <c r="C154" s="71"/>
      <c r="D154" s="4"/>
      <c r="E154" s="4"/>
      <c r="F154" s="4"/>
      <c r="G154" s="4"/>
      <c r="H154" s="58" t="s">
        <v>309</v>
      </c>
      <c r="I154" s="8"/>
      <c r="J154" s="4" t="s">
        <v>317</v>
      </c>
      <c r="K154" s="4"/>
      <c r="L154" s="4"/>
      <c r="M154" s="4"/>
      <c r="N154" s="4"/>
      <c r="O154" s="4"/>
      <c r="P154" s="4"/>
      <c r="Q154" s="4"/>
      <c r="R154" s="4"/>
      <c r="S154" s="57"/>
      <c r="T154" s="4"/>
      <c r="U154" s="220"/>
      <c r="V154" s="220"/>
      <c r="W154" s="220"/>
    </row>
    <row r="155" spans="1:23" ht="11.25" customHeight="1" x14ac:dyDescent="0.15">
      <c r="A155" s="220"/>
      <c r="B155" s="4"/>
      <c r="C155" s="56"/>
      <c r="D155" s="4"/>
      <c r="E155" s="4"/>
      <c r="F155" s="4"/>
      <c r="G155" s="4"/>
      <c r="H155" s="4"/>
      <c r="I155" s="4"/>
      <c r="J155" s="4"/>
      <c r="K155" s="4"/>
      <c r="L155" s="4"/>
      <c r="M155" s="4"/>
      <c r="N155" s="4"/>
      <c r="O155" s="4"/>
      <c r="P155" s="4"/>
      <c r="Q155" s="4"/>
      <c r="R155" s="4"/>
      <c r="S155" s="57"/>
      <c r="T155" s="4"/>
      <c r="U155" s="220"/>
      <c r="V155" s="220"/>
      <c r="W155" s="220"/>
    </row>
    <row r="156" spans="1:23" ht="14.25" customHeight="1" x14ac:dyDescent="0.15">
      <c r="A156" s="220"/>
      <c r="B156" s="4"/>
      <c r="C156" s="56"/>
      <c r="D156" s="66" t="s">
        <v>326</v>
      </c>
      <c r="E156" s="4"/>
      <c r="F156" s="58"/>
      <c r="G156" s="4"/>
      <c r="H156" s="4"/>
      <c r="I156" s="4"/>
      <c r="J156" s="4"/>
      <c r="K156" s="4"/>
      <c r="L156" s="4"/>
      <c r="M156" s="4"/>
      <c r="N156" s="4"/>
      <c r="O156" s="4"/>
      <c r="P156" s="4"/>
      <c r="Q156" s="4"/>
      <c r="R156" s="4"/>
      <c r="S156" s="57"/>
      <c r="T156" s="4"/>
      <c r="U156" s="220"/>
      <c r="V156" s="220"/>
      <c r="W156" s="220"/>
    </row>
    <row r="157" spans="1:23" ht="5.0999999999999996" customHeight="1" thickBot="1" x14ac:dyDescent="0.2">
      <c r="A157" s="220"/>
      <c r="B157" s="4"/>
      <c r="C157" s="56"/>
      <c r="D157" s="70"/>
      <c r="E157" s="4"/>
      <c r="F157" s="4"/>
      <c r="G157" s="4"/>
      <c r="H157" s="4"/>
      <c r="I157" s="4"/>
      <c r="J157" s="4"/>
      <c r="K157" s="4"/>
      <c r="L157" s="4"/>
      <c r="M157" s="4"/>
      <c r="N157" s="4"/>
      <c r="O157" s="4"/>
      <c r="P157" s="4"/>
      <c r="Q157" s="4"/>
      <c r="R157" s="4"/>
      <c r="S157" s="57"/>
      <c r="T157" s="4"/>
      <c r="U157" s="220"/>
      <c r="V157" s="220"/>
      <c r="W157" s="220"/>
    </row>
    <row r="158" spans="1:23" ht="14.25" customHeight="1" thickBot="1" x14ac:dyDescent="0.2">
      <c r="A158" s="220"/>
      <c r="B158" s="4"/>
      <c r="C158" s="71"/>
      <c r="D158" s="4"/>
      <c r="E158" s="70"/>
      <c r="F158" s="70"/>
      <c r="G158" s="4"/>
      <c r="H158" s="58" t="s">
        <v>308</v>
      </c>
      <c r="I158" s="8"/>
      <c r="J158" s="4" t="s">
        <v>315</v>
      </c>
      <c r="K158" s="4"/>
      <c r="L158" s="4"/>
      <c r="M158" s="4"/>
      <c r="N158" s="4"/>
      <c r="O158" s="4"/>
      <c r="P158" s="4"/>
      <c r="Q158" s="4"/>
      <c r="R158" s="4"/>
      <c r="S158" s="57"/>
      <c r="T158" s="4"/>
      <c r="U158" s="220"/>
      <c r="V158" s="220"/>
      <c r="W158" s="220"/>
    </row>
    <row r="159" spans="1:23" ht="11.25" customHeight="1" x14ac:dyDescent="0.15">
      <c r="A159" s="220"/>
      <c r="B159" s="4"/>
      <c r="C159" s="56"/>
      <c r="D159" s="4"/>
      <c r="E159" s="4"/>
      <c r="F159" s="4"/>
      <c r="G159" s="4"/>
      <c r="H159" s="4"/>
      <c r="I159" s="4"/>
      <c r="J159" s="4"/>
      <c r="K159" s="4"/>
      <c r="L159" s="4"/>
      <c r="M159" s="4"/>
      <c r="N159" s="4"/>
      <c r="O159" s="4"/>
      <c r="P159" s="4"/>
      <c r="Q159" s="4"/>
      <c r="R159" s="4"/>
      <c r="S159" s="57"/>
      <c r="T159" s="4"/>
      <c r="U159" s="220"/>
      <c r="V159" s="220"/>
      <c r="W159" s="220"/>
    </row>
    <row r="160" spans="1:23" ht="14.25" customHeight="1" x14ac:dyDescent="0.15">
      <c r="A160" s="220"/>
      <c r="B160" s="4"/>
      <c r="C160" s="56"/>
      <c r="D160" s="19" t="s">
        <v>492</v>
      </c>
      <c r="E160" s="4"/>
      <c r="F160" s="4"/>
      <c r="G160" s="4"/>
      <c r="H160" s="4"/>
      <c r="I160" s="130" t="s">
        <v>342</v>
      </c>
      <c r="J160" s="4"/>
      <c r="K160" s="4"/>
      <c r="L160" s="4"/>
      <c r="M160" s="4"/>
      <c r="N160" s="4"/>
      <c r="O160" s="4"/>
      <c r="P160" s="4"/>
      <c r="Q160" s="4"/>
      <c r="R160" s="4"/>
      <c r="S160" s="57"/>
      <c r="T160" s="4"/>
      <c r="U160" s="220"/>
      <c r="V160" s="220"/>
      <c r="W160" s="220"/>
    </row>
    <row r="161" spans="1:30" ht="5.0999999999999996" customHeight="1" thickBot="1" x14ac:dyDescent="0.2">
      <c r="A161" s="220"/>
      <c r="B161" s="4"/>
      <c r="C161" s="56"/>
      <c r="D161" s="70"/>
      <c r="E161" s="4"/>
      <c r="F161" s="4"/>
      <c r="G161" s="4"/>
      <c r="H161" s="4"/>
      <c r="I161" s="4"/>
      <c r="J161" s="4"/>
      <c r="K161" s="4"/>
      <c r="L161" s="4"/>
      <c r="M161" s="4"/>
      <c r="N161" s="4"/>
      <c r="O161" s="4"/>
      <c r="P161" s="4"/>
      <c r="Q161" s="4"/>
      <c r="R161" s="4"/>
      <c r="S161" s="57"/>
      <c r="T161" s="4"/>
      <c r="U161" s="220"/>
      <c r="V161" s="220"/>
      <c r="W161" s="220"/>
    </row>
    <row r="162" spans="1:30" ht="14.25" customHeight="1" thickBot="1" x14ac:dyDescent="0.2">
      <c r="A162" s="220"/>
      <c r="B162" s="4"/>
      <c r="C162" s="71"/>
      <c r="D162" s="4"/>
      <c r="E162" s="4"/>
      <c r="F162" s="4"/>
      <c r="G162" s="4"/>
      <c r="H162" s="58" t="s">
        <v>312</v>
      </c>
      <c r="I162" s="41"/>
      <c r="J162" s="58"/>
      <c r="K162" s="58"/>
      <c r="L162" s="58"/>
      <c r="M162" s="58"/>
      <c r="N162" s="58"/>
      <c r="O162" s="58"/>
      <c r="P162" s="58"/>
      <c r="Q162" s="58"/>
      <c r="R162" s="58"/>
      <c r="S162" s="73"/>
      <c r="T162" s="58"/>
      <c r="U162" s="229"/>
      <c r="V162" s="229"/>
      <c r="W162" s="229"/>
      <c r="X162" s="232"/>
      <c r="Y162" s="232"/>
      <c r="Z162" s="232"/>
      <c r="AA162" s="232"/>
      <c r="AB162" s="232"/>
      <c r="AC162" s="232"/>
      <c r="AD162" s="232"/>
    </row>
    <row r="163" spans="1:30" ht="5.0999999999999996" customHeight="1" thickBot="1" x14ac:dyDescent="0.2">
      <c r="A163" s="220"/>
      <c r="B163" s="4"/>
      <c r="C163" s="56"/>
      <c r="D163" s="72"/>
      <c r="E163" s="4"/>
      <c r="F163" s="4"/>
      <c r="G163" s="4"/>
      <c r="H163" s="4"/>
      <c r="I163" s="4"/>
      <c r="J163" s="4"/>
      <c r="K163" s="4"/>
      <c r="L163" s="4"/>
      <c r="M163" s="4"/>
      <c r="N163" s="4"/>
      <c r="O163" s="4"/>
      <c r="P163" s="4"/>
      <c r="Q163" s="4"/>
      <c r="R163" s="4"/>
      <c r="S163" s="57"/>
      <c r="T163" s="4"/>
      <c r="U163" s="220"/>
      <c r="V163" s="220"/>
      <c r="W163" s="220"/>
    </row>
    <row r="164" spans="1:30" ht="14.25" customHeight="1" thickBot="1" x14ac:dyDescent="0.2">
      <c r="A164" s="220"/>
      <c r="B164" s="4"/>
      <c r="C164" s="74"/>
      <c r="D164" s="4"/>
      <c r="E164" s="4"/>
      <c r="F164" s="4"/>
      <c r="G164" s="4"/>
      <c r="H164" s="58" t="s">
        <v>313</v>
      </c>
      <c r="I164" s="41"/>
      <c r="J164" s="58"/>
      <c r="K164" s="66" t="s">
        <v>310</v>
      </c>
      <c r="L164" s="58"/>
      <c r="M164" s="58"/>
      <c r="N164" s="58"/>
      <c r="O164" s="58"/>
      <c r="P164" s="58"/>
      <c r="Q164" s="58"/>
      <c r="R164" s="58"/>
      <c r="S164" s="73"/>
      <c r="T164" s="58"/>
      <c r="U164" s="229"/>
      <c r="V164" s="229"/>
      <c r="W164" s="229"/>
      <c r="X164" s="232"/>
      <c r="Y164" s="232"/>
      <c r="Z164" s="232"/>
      <c r="AA164" s="232"/>
      <c r="AB164" s="232"/>
      <c r="AC164" s="232"/>
      <c r="AD164" s="232"/>
    </row>
    <row r="165" spans="1:30" ht="5.0999999999999996" customHeight="1" thickBot="1" x14ac:dyDescent="0.2">
      <c r="A165" s="220"/>
      <c r="B165" s="4"/>
      <c r="C165" s="56"/>
      <c r="D165" s="72"/>
      <c r="E165" s="4"/>
      <c r="F165" s="4"/>
      <c r="G165" s="4"/>
      <c r="H165" s="4"/>
      <c r="I165" s="4"/>
      <c r="J165" s="4"/>
      <c r="K165" s="4"/>
      <c r="L165" s="4"/>
      <c r="M165" s="4"/>
      <c r="N165" s="4"/>
      <c r="O165" s="4"/>
      <c r="P165" s="4"/>
      <c r="Q165" s="4"/>
      <c r="R165" s="4"/>
      <c r="S165" s="57"/>
      <c r="T165" s="4"/>
      <c r="U165" s="220"/>
      <c r="V165" s="220"/>
      <c r="W165" s="220"/>
    </row>
    <row r="166" spans="1:30" ht="14.25" customHeight="1" thickBot="1" x14ac:dyDescent="0.2">
      <c r="A166" s="220"/>
      <c r="B166" s="4"/>
      <c r="C166" s="74"/>
      <c r="D166" s="4"/>
      <c r="E166" s="4"/>
      <c r="F166" s="4"/>
      <c r="G166" s="4"/>
      <c r="H166" s="58" t="s">
        <v>314</v>
      </c>
      <c r="I166" s="41"/>
      <c r="J166" s="58"/>
      <c r="K166" s="4" t="s">
        <v>311</v>
      </c>
      <c r="L166" s="58"/>
      <c r="M166" s="58"/>
      <c r="N166" s="58"/>
      <c r="O166" s="58"/>
      <c r="P166" s="58"/>
      <c r="Q166" s="58"/>
      <c r="R166" s="58"/>
      <c r="S166" s="73"/>
      <c r="T166" s="58"/>
      <c r="U166" s="229"/>
      <c r="V166" s="229"/>
      <c r="W166" s="229"/>
      <c r="X166" s="232"/>
      <c r="Y166" s="232"/>
      <c r="Z166" s="232"/>
      <c r="AA166" s="232"/>
      <c r="AB166" s="232"/>
      <c r="AC166" s="232"/>
      <c r="AD166" s="232"/>
    </row>
    <row r="167" spans="1:30" ht="5.0999999999999996" customHeight="1" x14ac:dyDescent="0.15">
      <c r="A167" s="220"/>
      <c r="B167" s="4"/>
      <c r="C167" s="59"/>
      <c r="D167" s="75"/>
      <c r="E167" s="60"/>
      <c r="F167" s="60"/>
      <c r="G167" s="60"/>
      <c r="H167" s="60"/>
      <c r="I167" s="60"/>
      <c r="J167" s="60"/>
      <c r="K167" s="60"/>
      <c r="L167" s="60"/>
      <c r="M167" s="60"/>
      <c r="N167" s="60"/>
      <c r="O167" s="60"/>
      <c r="P167" s="60"/>
      <c r="Q167" s="60"/>
      <c r="R167" s="60"/>
      <c r="S167" s="61"/>
      <c r="T167" s="4"/>
      <c r="U167" s="220"/>
      <c r="V167" s="220"/>
      <c r="W167" s="220"/>
    </row>
    <row r="168" spans="1:30" ht="14.25" customHeight="1" x14ac:dyDescent="0.15">
      <c r="A168" s="220"/>
      <c r="B168" s="4"/>
      <c r="C168" s="19"/>
      <c r="D168" s="4"/>
      <c r="E168" s="4"/>
      <c r="F168" s="4"/>
      <c r="G168" s="58"/>
      <c r="H168" s="58"/>
      <c r="I168" s="58"/>
      <c r="J168" s="58"/>
      <c r="K168" s="58"/>
      <c r="L168" s="58"/>
      <c r="M168" s="4"/>
      <c r="N168" s="58"/>
      <c r="O168" s="58"/>
      <c r="P168" s="58"/>
      <c r="Q168" s="58"/>
      <c r="R168" s="58"/>
      <c r="S168" s="58"/>
      <c r="T168" s="58"/>
      <c r="U168" s="229"/>
      <c r="V168" s="229"/>
      <c r="W168" s="229"/>
      <c r="X168" s="232"/>
      <c r="Y168" s="232"/>
      <c r="Z168" s="232"/>
      <c r="AA168" s="232"/>
      <c r="AB168" s="232"/>
      <c r="AC168" s="232"/>
      <c r="AD168" s="232"/>
    </row>
    <row r="169" spans="1:30" ht="19.5" customHeight="1" x14ac:dyDescent="0.15">
      <c r="A169" s="220"/>
      <c r="B169" s="4"/>
      <c r="C169" s="53" t="s">
        <v>283</v>
      </c>
      <c r="D169" s="54"/>
      <c r="E169" s="54"/>
      <c r="F169" s="54"/>
      <c r="G169" s="54"/>
      <c r="H169" s="54"/>
      <c r="I169" s="54"/>
      <c r="J169" s="54"/>
      <c r="K169" s="54"/>
      <c r="L169" s="54"/>
      <c r="M169" s="54"/>
      <c r="N169" s="54"/>
      <c r="O169" s="54"/>
      <c r="P169" s="54"/>
      <c r="Q169" s="54"/>
      <c r="R169" s="54"/>
      <c r="S169" s="55"/>
      <c r="T169" s="4"/>
      <c r="U169" s="220"/>
      <c r="V169" s="220"/>
      <c r="W169" s="220"/>
    </row>
    <row r="170" spans="1:30" ht="5.0999999999999996" customHeight="1" x14ac:dyDescent="0.15">
      <c r="A170" s="220"/>
      <c r="B170" s="4"/>
      <c r="C170" s="56"/>
      <c r="D170" s="72"/>
      <c r="E170" s="4"/>
      <c r="F170" s="4"/>
      <c r="G170" s="4"/>
      <c r="H170" s="4"/>
      <c r="I170" s="4"/>
      <c r="J170" s="4"/>
      <c r="K170" s="4"/>
      <c r="L170" s="4"/>
      <c r="M170" s="4"/>
      <c r="N170" s="4"/>
      <c r="O170" s="4"/>
      <c r="P170" s="4"/>
      <c r="Q170" s="4"/>
      <c r="R170" s="4"/>
      <c r="S170" s="57"/>
      <c r="T170" s="4"/>
      <c r="U170" s="220"/>
      <c r="V170" s="220"/>
      <c r="W170" s="220"/>
    </row>
    <row r="171" spans="1:30" x14ac:dyDescent="0.15">
      <c r="A171" s="220"/>
      <c r="B171" s="4"/>
      <c r="C171" s="56"/>
      <c r="D171" s="4" t="s">
        <v>328</v>
      </c>
      <c r="E171" s="4"/>
      <c r="F171" s="4"/>
      <c r="G171" s="4"/>
      <c r="H171" s="4"/>
      <c r="I171" s="4"/>
      <c r="J171" s="4"/>
      <c r="K171" s="4"/>
      <c r="L171" s="4"/>
      <c r="M171" s="4"/>
      <c r="N171" s="4"/>
      <c r="O171" s="4"/>
      <c r="P171" s="4"/>
      <c r="Q171" s="4"/>
      <c r="R171" s="4"/>
      <c r="S171" s="57"/>
      <c r="T171" s="4"/>
      <c r="U171" s="220"/>
      <c r="V171" s="220"/>
      <c r="W171" s="220"/>
    </row>
    <row r="172" spans="1:30" ht="5.0999999999999996" customHeight="1" thickBot="1" x14ac:dyDescent="0.2">
      <c r="A172" s="220"/>
      <c r="B172" s="4"/>
      <c r="C172" s="56"/>
      <c r="D172" s="70"/>
      <c r="E172" s="4"/>
      <c r="F172" s="4"/>
      <c r="G172" s="4"/>
      <c r="H172" s="4"/>
      <c r="I172" s="4"/>
      <c r="J172" s="4"/>
      <c r="K172" s="4"/>
      <c r="L172" s="4"/>
      <c r="M172" s="4"/>
      <c r="N172" s="4"/>
      <c r="O172" s="4"/>
      <c r="P172" s="4"/>
      <c r="Q172" s="4"/>
      <c r="R172" s="4"/>
      <c r="S172" s="57"/>
      <c r="T172" s="4"/>
      <c r="U172" s="220"/>
      <c r="V172" s="220"/>
      <c r="W172" s="220"/>
    </row>
    <row r="173" spans="1:30" ht="14.25" thickBot="1" x14ac:dyDescent="0.2">
      <c r="A173" s="220"/>
      <c r="B173" s="4"/>
      <c r="C173" s="56"/>
      <c r="D173" s="244" t="s">
        <v>322</v>
      </c>
      <c r="E173" s="244"/>
      <c r="F173" s="244"/>
      <c r="G173" s="244"/>
      <c r="H173" s="245"/>
      <c r="I173" s="8"/>
      <c r="J173" s="4" t="s">
        <v>319</v>
      </c>
      <c r="K173" s="4"/>
      <c r="L173" s="4"/>
      <c r="M173" s="4"/>
      <c r="N173" s="4"/>
      <c r="O173" s="4"/>
      <c r="P173" s="4"/>
      <c r="Q173" s="4"/>
      <c r="R173" s="4"/>
      <c r="S173" s="57"/>
      <c r="T173" s="4"/>
      <c r="U173" s="220"/>
      <c r="V173" s="220"/>
      <c r="W173" s="220"/>
    </row>
    <row r="174" spans="1:30" ht="5.0999999999999996" customHeight="1" thickBot="1" x14ac:dyDescent="0.2">
      <c r="A174" s="220"/>
      <c r="B174" s="4"/>
      <c r="C174" s="56"/>
      <c r="D174" s="76"/>
      <c r="E174" s="58"/>
      <c r="F174" s="58"/>
      <c r="G174" s="58"/>
      <c r="H174" s="58"/>
      <c r="I174" s="4"/>
      <c r="J174" s="4"/>
      <c r="K174" s="4"/>
      <c r="L174" s="4"/>
      <c r="M174" s="4"/>
      <c r="N174" s="4"/>
      <c r="O174" s="4"/>
      <c r="P174" s="4"/>
      <c r="Q174" s="4"/>
      <c r="R174" s="4"/>
      <c r="S174" s="57"/>
      <c r="T174" s="4"/>
      <c r="U174" s="220"/>
      <c r="V174" s="220"/>
      <c r="W174" s="220"/>
    </row>
    <row r="175" spans="1:30" ht="14.25" thickBot="1" x14ac:dyDescent="0.2">
      <c r="A175" s="220"/>
      <c r="B175" s="4"/>
      <c r="C175" s="56"/>
      <c r="D175" s="244" t="s">
        <v>323</v>
      </c>
      <c r="E175" s="244"/>
      <c r="F175" s="244"/>
      <c r="G175" s="244"/>
      <c r="H175" s="245"/>
      <c r="I175" s="8"/>
      <c r="J175" s="4" t="s">
        <v>319</v>
      </c>
      <c r="K175" s="4"/>
      <c r="L175" s="4"/>
      <c r="M175" s="4"/>
      <c r="N175" s="4"/>
      <c r="O175" s="4"/>
      <c r="P175" s="4"/>
      <c r="Q175" s="4"/>
      <c r="R175" s="4"/>
      <c r="S175" s="57"/>
      <c r="T175" s="4"/>
      <c r="U175" s="220"/>
      <c r="V175" s="220"/>
      <c r="W175" s="220"/>
    </row>
    <row r="176" spans="1:30" ht="5.0999999999999996" customHeight="1" thickBot="1" x14ac:dyDescent="0.2">
      <c r="A176" s="220"/>
      <c r="B176" s="4"/>
      <c r="C176" s="56"/>
      <c r="D176" s="76"/>
      <c r="E176" s="58"/>
      <c r="F176" s="58"/>
      <c r="G176" s="58"/>
      <c r="H176" s="58"/>
      <c r="I176" s="4"/>
      <c r="J176" s="4"/>
      <c r="K176" s="4"/>
      <c r="L176" s="4"/>
      <c r="M176" s="4"/>
      <c r="N176" s="4"/>
      <c r="O176" s="4"/>
      <c r="P176" s="4"/>
      <c r="Q176" s="4"/>
      <c r="R176" s="4"/>
      <c r="S176" s="57"/>
      <c r="T176" s="4"/>
      <c r="U176" s="220"/>
      <c r="V176" s="220"/>
      <c r="W176" s="220"/>
    </row>
    <row r="177" spans="1:23" ht="14.25" thickBot="1" x14ac:dyDescent="0.2">
      <c r="A177" s="220"/>
      <c r="B177" s="4"/>
      <c r="C177" s="56"/>
      <c r="D177" s="244" t="s">
        <v>334</v>
      </c>
      <c r="E177" s="244"/>
      <c r="F177" s="244"/>
      <c r="G177" s="244"/>
      <c r="H177" s="245"/>
      <c r="I177" s="8"/>
      <c r="J177" s="4" t="s">
        <v>319</v>
      </c>
      <c r="K177" s="4"/>
      <c r="L177" s="4"/>
      <c r="M177" s="4"/>
      <c r="N177" s="4"/>
      <c r="O177" s="4"/>
      <c r="P177" s="4"/>
      <c r="Q177" s="4"/>
      <c r="R177" s="4"/>
      <c r="S177" s="57"/>
      <c r="T177" s="4"/>
      <c r="U177" s="220"/>
      <c r="V177" s="220"/>
      <c r="W177" s="220"/>
    </row>
    <row r="178" spans="1:23" ht="5.0999999999999996" customHeight="1" thickBot="1" x14ac:dyDescent="0.2">
      <c r="A178" s="220"/>
      <c r="B178" s="4"/>
      <c r="C178" s="56"/>
      <c r="D178" s="76"/>
      <c r="E178" s="58"/>
      <c r="F178" s="58"/>
      <c r="G178" s="58"/>
      <c r="H178" s="58"/>
      <c r="I178" s="4"/>
      <c r="J178" s="4"/>
      <c r="K178" s="4"/>
      <c r="L178" s="4"/>
      <c r="M178" s="4"/>
      <c r="N178" s="4"/>
      <c r="O178" s="4"/>
      <c r="P178" s="4"/>
      <c r="Q178" s="4"/>
      <c r="R178" s="4"/>
      <c r="S178" s="57"/>
      <c r="T178" s="4"/>
      <c r="U178" s="220"/>
      <c r="V178" s="220"/>
      <c r="W178" s="220"/>
    </row>
    <row r="179" spans="1:23" ht="14.25" thickBot="1" x14ac:dyDescent="0.2">
      <c r="A179" s="220"/>
      <c r="B179" s="4"/>
      <c r="C179" s="56"/>
      <c r="D179" s="244" t="s">
        <v>335</v>
      </c>
      <c r="E179" s="244"/>
      <c r="F179" s="244"/>
      <c r="G179" s="244"/>
      <c r="H179" s="245"/>
      <c r="I179" s="8"/>
      <c r="J179" s="4" t="s">
        <v>319</v>
      </c>
      <c r="K179" s="4"/>
      <c r="L179" s="4"/>
      <c r="M179" s="4"/>
      <c r="N179" s="4"/>
      <c r="O179" s="4"/>
      <c r="P179" s="4"/>
      <c r="Q179" s="4"/>
      <c r="R179" s="4"/>
      <c r="S179" s="57"/>
      <c r="T179" s="4"/>
      <c r="U179" s="220"/>
      <c r="V179" s="220"/>
      <c r="W179" s="220"/>
    </row>
    <row r="180" spans="1:23" ht="5.0999999999999996" customHeight="1" thickBot="1" x14ac:dyDescent="0.2">
      <c r="A180" s="220"/>
      <c r="B180" s="4"/>
      <c r="C180" s="56"/>
      <c r="D180" s="76"/>
      <c r="E180" s="58"/>
      <c r="F180" s="58"/>
      <c r="G180" s="58"/>
      <c r="H180" s="58"/>
      <c r="I180" s="4"/>
      <c r="J180" s="4"/>
      <c r="K180" s="4"/>
      <c r="L180" s="4"/>
      <c r="M180" s="4"/>
      <c r="N180" s="4"/>
      <c r="O180" s="4"/>
      <c r="P180" s="4"/>
      <c r="Q180" s="4"/>
      <c r="R180" s="4"/>
      <c r="S180" s="57"/>
      <c r="T180" s="4"/>
      <c r="U180" s="220"/>
      <c r="V180" s="220"/>
      <c r="W180" s="220"/>
    </row>
    <row r="181" spans="1:23" ht="14.25" thickBot="1" x14ac:dyDescent="0.2">
      <c r="A181" s="220"/>
      <c r="B181" s="4"/>
      <c r="C181" s="56"/>
      <c r="D181" s="244" t="s">
        <v>324</v>
      </c>
      <c r="E181" s="244"/>
      <c r="F181" s="244"/>
      <c r="G181" s="244"/>
      <c r="H181" s="245"/>
      <c r="I181" s="8"/>
      <c r="J181" s="4" t="s">
        <v>319</v>
      </c>
      <c r="K181" s="4"/>
      <c r="L181" s="4"/>
      <c r="M181" s="4"/>
      <c r="N181" s="4"/>
      <c r="O181" s="4"/>
      <c r="P181" s="4"/>
      <c r="Q181" s="4"/>
      <c r="R181" s="4"/>
      <c r="S181" s="57"/>
      <c r="T181" s="4"/>
      <c r="U181" s="220"/>
      <c r="V181" s="220"/>
      <c r="W181" s="220"/>
    </row>
    <row r="182" spans="1:23" ht="5.0999999999999996" customHeight="1" thickBot="1" x14ac:dyDescent="0.2">
      <c r="A182" s="220"/>
      <c r="B182" s="4"/>
      <c r="C182" s="56"/>
      <c r="D182" s="72"/>
      <c r="E182" s="4"/>
      <c r="F182" s="4"/>
      <c r="G182" s="4"/>
      <c r="H182" s="4"/>
      <c r="I182" s="4"/>
      <c r="J182" s="4"/>
      <c r="K182" s="4"/>
      <c r="L182" s="4"/>
      <c r="M182" s="4"/>
      <c r="N182" s="4"/>
      <c r="O182" s="4"/>
      <c r="P182" s="4"/>
      <c r="Q182" s="4"/>
      <c r="R182" s="4"/>
      <c r="S182" s="57"/>
      <c r="T182" s="4"/>
      <c r="U182" s="220"/>
      <c r="V182" s="220"/>
      <c r="W182" s="220"/>
    </row>
    <row r="183" spans="1:23" ht="14.25" thickBot="1" x14ac:dyDescent="0.2">
      <c r="A183" s="220"/>
      <c r="B183" s="4"/>
      <c r="C183" s="56"/>
      <c r="D183" s="244" t="s">
        <v>336</v>
      </c>
      <c r="E183" s="244"/>
      <c r="F183" s="244"/>
      <c r="G183" s="244"/>
      <c r="H183" s="245"/>
      <c r="I183" s="62">
        <f>反映シート!I176</f>
        <v>0</v>
      </c>
      <c r="J183" s="4" t="s">
        <v>318</v>
      </c>
      <c r="K183" s="4"/>
      <c r="L183" s="4"/>
      <c r="M183" s="4"/>
      <c r="N183" s="4"/>
      <c r="O183" s="4"/>
      <c r="P183" s="4"/>
      <c r="Q183" s="4"/>
      <c r="R183" s="4"/>
      <c r="S183" s="57"/>
      <c r="T183" s="4"/>
      <c r="U183" s="220"/>
      <c r="V183" s="220"/>
      <c r="W183" s="220"/>
    </row>
    <row r="184" spans="1:23" x14ac:dyDescent="0.15">
      <c r="A184" s="220"/>
      <c r="B184" s="4"/>
      <c r="C184" s="56"/>
      <c r="D184" s="4"/>
      <c r="E184" s="4"/>
      <c r="F184" s="4"/>
      <c r="G184" s="4"/>
      <c r="H184" s="4"/>
      <c r="I184" s="4"/>
      <c r="J184" s="4"/>
      <c r="K184" s="4"/>
      <c r="L184" s="4"/>
      <c r="M184" s="4"/>
      <c r="N184" s="4"/>
      <c r="O184" s="4"/>
      <c r="P184" s="4"/>
      <c r="Q184" s="4"/>
      <c r="R184" s="4"/>
      <c r="S184" s="57"/>
      <c r="T184" s="4"/>
      <c r="U184" s="220"/>
      <c r="V184" s="220"/>
      <c r="W184" s="220"/>
    </row>
    <row r="185" spans="1:23" x14ac:dyDescent="0.15">
      <c r="A185" s="220"/>
      <c r="B185" s="4"/>
      <c r="C185" s="56"/>
      <c r="D185" s="4" t="s">
        <v>332</v>
      </c>
      <c r="E185" s="4"/>
      <c r="F185" s="4"/>
      <c r="G185" s="4"/>
      <c r="H185" s="4"/>
      <c r="I185" s="4"/>
      <c r="J185" s="4"/>
      <c r="K185" s="4"/>
      <c r="L185" s="4"/>
      <c r="M185" s="4"/>
      <c r="N185" s="4"/>
      <c r="O185" s="4"/>
      <c r="P185" s="4"/>
      <c r="Q185" s="4"/>
      <c r="R185" s="4"/>
      <c r="S185" s="57"/>
      <c r="T185" s="4"/>
      <c r="U185" s="220"/>
      <c r="V185" s="220"/>
      <c r="W185" s="220"/>
    </row>
    <row r="186" spans="1:23" ht="5.0999999999999996" customHeight="1" thickBot="1" x14ac:dyDescent="0.2">
      <c r="A186" s="220"/>
      <c r="B186" s="4"/>
      <c r="C186" s="56"/>
      <c r="D186" s="72"/>
      <c r="E186" s="4"/>
      <c r="F186" s="4"/>
      <c r="G186" s="4"/>
      <c r="H186" s="4"/>
      <c r="I186" s="4"/>
      <c r="J186" s="4"/>
      <c r="K186" s="4"/>
      <c r="L186" s="4"/>
      <c r="M186" s="4"/>
      <c r="N186" s="4"/>
      <c r="O186" s="4"/>
      <c r="P186" s="4"/>
      <c r="Q186" s="4"/>
      <c r="R186" s="4"/>
      <c r="S186" s="57"/>
      <c r="T186" s="4"/>
      <c r="U186" s="220"/>
      <c r="V186" s="220"/>
      <c r="W186" s="220"/>
    </row>
    <row r="187" spans="1:23" ht="14.25" thickBot="1" x14ac:dyDescent="0.2">
      <c r="A187" s="220"/>
      <c r="B187" s="4"/>
      <c r="C187" s="56"/>
      <c r="D187" s="72"/>
      <c r="E187" s="77"/>
      <c r="F187" s="77"/>
      <c r="G187" s="77"/>
      <c r="H187" s="58" t="s">
        <v>331</v>
      </c>
      <c r="I187" s="8"/>
      <c r="J187" s="4" t="s">
        <v>321</v>
      </c>
      <c r="K187" s="4"/>
      <c r="L187" s="4"/>
      <c r="M187" s="4"/>
      <c r="N187" s="4"/>
      <c r="O187" s="4"/>
      <c r="P187" s="4"/>
      <c r="Q187" s="4"/>
      <c r="R187" s="4"/>
      <c r="S187" s="57"/>
      <c r="T187" s="4"/>
      <c r="U187" s="220"/>
      <c r="V187" s="220"/>
      <c r="W187" s="220"/>
    </row>
    <row r="188" spans="1:23" x14ac:dyDescent="0.15">
      <c r="A188" s="220"/>
      <c r="B188" s="4"/>
      <c r="C188" s="56"/>
      <c r="D188" s="4"/>
      <c r="E188" s="4"/>
      <c r="F188" s="4"/>
      <c r="G188" s="4"/>
      <c r="H188" s="4"/>
      <c r="I188" s="4"/>
      <c r="J188" s="4"/>
      <c r="K188" s="4"/>
      <c r="L188" s="4"/>
      <c r="M188" s="4"/>
      <c r="N188" s="4"/>
      <c r="O188" s="4"/>
      <c r="P188" s="4"/>
      <c r="Q188" s="4"/>
      <c r="R188" s="4"/>
      <c r="S188" s="57"/>
      <c r="T188" s="4"/>
      <c r="U188" s="220"/>
      <c r="V188" s="220"/>
      <c r="W188" s="220"/>
    </row>
    <row r="189" spans="1:23" x14ac:dyDescent="0.15">
      <c r="A189" s="220"/>
      <c r="B189" s="4"/>
      <c r="C189" s="56"/>
      <c r="D189" s="66" t="s">
        <v>330</v>
      </c>
      <c r="E189" s="4"/>
      <c r="F189" s="4"/>
      <c r="G189" s="4"/>
      <c r="H189" s="4"/>
      <c r="I189" s="4"/>
      <c r="J189" s="4"/>
      <c r="K189" s="4"/>
      <c r="L189" s="4"/>
      <c r="M189" s="4"/>
      <c r="N189" s="4"/>
      <c r="O189" s="4"/>
      <c r="P189" s="4"/>
      <c r="Q189" s="4"/>
      <c r="R189" s="4"/>
      <c r="S189" s="57"/>
      <c r="T189" s="4"/>
      <c r="U189" s="220"/>
      <c r="V189" s="220"/>
      <c r="W189" s="220"/>
    </row>
    <row r="190" spans="1:23" ht="5.0999999999999996" customHeight="1" thickBot="1" x14ac:dyDescent="0.2">
      <c r="A190" s="220"/>
      <c r="B190" s="4"/>
      <c r="C190" s="56"/>
      <c r="D190" s="72"/>
      <c r="E190" s="4"/>
      <c r="F190" s="4"/>
      <c r="G190" s="4"/>
      <c r="H190" s="4"/>
      <c r="I190" s="4"/>
      <c r="J190" s="4"/>
      <c r="K190" s="4"/>
      <c r="L190" s="4"/>
      <c r="M190" s="4"/>
      <c r="N190" s="4"/>
      <c r="O190" s="4"/>
      <c r="P190" s="4"/>
      <c r="Q190" s="4"/>
      <c r="R190" s="4"/>
      <c r="S190" s="57"/>
      <c r="T190" s="4"/>
      <c r="U190" s="220"/>
      <c r="V190" s="220"/>
      <c r="W190" s="220"/>
    </row>
    <row r="191" spans="1:23" ht="14.25" thickBot="1" x14ac:dyDescent="0.2">
      <c r="A191" s="220"/>
      <c r="B191" s="4"/>
      <c r="C191" s="56"/>
      <c r="D191" s="4"/>
      <c r="E191" s="4"/>
      <c r="F191" s="4"/>
      <c r="G191" s="4"/>
      <c r="H191" s="58" t="s">
        <v>305</v>
      </c>
      <c r="I191" s="8"/>
      <c r="J191" s="4" t="s">
        <v>315</v>
      </c>
      <c r="K191" s="4"/>
      <c r="L191" s="4"/>
      <c r="M191" s="4"/>
      <c r="N191" s="4"/>
      <c r="O191" s="4"/>
      <c r="P191" s="4"/>
      <c r="Q191" s="4"/>
      <c r="R191" s="4"/>
      <c r="S191" s="57"/>
      <c r="T191" s="4"/>
      <c r="U191" s="220"/>
      <c r="V191" s="220"/>
      <c r="W191" s="220"/>
    </row>
    <row r="192" spans="1:23" ht="5.0999999999999996" customHeight="1" thickBot="1" x14ac:dyDescent="0.2">
      <c r="A192" s="220"/>
      <c r="B192" s="4"/>
      <c r="C192" s="56"/>
      <c r="D192" s="72"/>
      <c r="E192" s="4"/>
      <c r="F192" s="4"/>
      <c r="G192" s="4"/>
      <c r="H192" s="4"/>
      <c r="I192" s="4"/>
      <c r="J192" s="4"/>
      <c r="K192" s="4"/>
      <c r="L192" s="4"/>
      <c r="M192" s="4"/>
      <c r="N192" s="4"/>
      <c r="O192" s="4"/>
      <c r="P192" s="4"/>
      <c r="Q192" s="4"/>
      <c r="R192" s="4"/>
      <c r="S192" s="57"/>
      <c r="T192" s="4"/>
      <c r="U192" s="220"/>
      <c r="V192" s="220"/>
      <c r="W192" s="220"/>
    </row>
    <row r="193" spans="1:23" ht="14.25" thickBot="1" x14ac:dyDescent="0.2">
      <c r="A193" s="220"/>
      <c r="B193" s="4"/>
      <c r="C193" s="56"/>
      <c r="D193" s="4"/>
      <c r="E193" s="4"/>
      <c r="F193" s="4"/>
      <c r="G193" s="4"/>
      <c r="H193" s="58" t="s">
        <v>306</v>
      </c>
      <c r="I193" s="8"/>
      <c r="J193" s="4" t="s">
        <v>315</v>
      </c>
      <c r="K193" s="4"/>
      <c r="L193" s="4"/>
      <c r="M193" s="4"/>
      <c r="N193" s="4"/>
      <c r="O193" s="4"/>
      <c r="P193" s="4"/>
      <c r="Q193" s="4"/>
      <c r="R193" s="4"/>
      <c r="S193" s="57"/>
      <c r="T193" s="4"/>
      <c r="U193" s="220"/>
      <c r="V193" s="220"/>
      <c r="W193" s="220"/>
    </row>
    <row r="194" spans="1:23" ht="5.0999999999999996" customHeight="1" thickBot="1" x14ac:dyDescent="0.2">
      <c r="A194" s="220"/>
      <c r="B194" s="4"/>
      <c r="C194" s="56"/>
      <c r="D194" s="72"/>
      <c r="E194" s="4"/>
      <c r="F194" s="4"/>
      <c r="G194" s="4"/>
      <c r="H194" s="4"/>
      <c r="I194" s="4"/>
      <c r="J194" s="4"/>
      <c r="K194" s="4"/>
      <c r="L194" s="4"/>
      <c r="M194" s="4"/>
      <c r="N194" s="4"/>
      <c r="O194" s="4"/>
      <c r="P194" s="4"/>
      <c r="Q194" s="4"/>
      <c r="R194" s="4"/>
      <c r="S194" s="57"/>
      <c r="T194" s="4"/>
      <c r="U194" s="220"/>
      <c r="V194" s="220"/>
      <c r="W194" s="220"/>
    </row>
    <row r="195" spans="1:23" ht="14.25" thickBot="1" x14ac:dyDescent="0.2">
      <c r="A195" s="220"/>
      <c r="B195" s="4"/>
      <c r="C195" s="56"/>
      <c r="D195" s="4"/>
      <c r="E195" s="4"/>
      <c r="F195" s="4"/>
      <c r="G195" s="4"/>
      <c r="H195" s="58" t="s">
        <v>307</v>
      </c>
      <c r="I195" s="62">
        <f>I191+I193</f>
        <v>0</v>
      </c>
      <c r="J195" s="4" t="s">
        <v>316</v>
      </c>
      <c r="K195" s="4"/>
      <c r="L195" s="4"/>
      <c r="M195" s="4"/>
      <c r="N195" s="4"/>
      <c r="O195" s="4"/>
      <c r="P195" s="4"/>
      <c r="Q195" s="4"/>
      <c r="R195" s="4"/>
      <c r="S195" s="57"/>
      <c r="T195" s="4"/>
      <c r="U195" s="220"/>
      <c r="V195" s="220"/>
      <c r="W195" s="220"/>
    </row>
    <row r="196" spans="1:23" x14ac:dyDescent="0.15">
      <c r="A196" s="220"/>
      <c r="B196" s="4"/>
      <c r="C196" s="56"/>
      <c r="D196" s="4"/>
      <c r="E196" s="4"/>
      <c r="F196" s="4"/>
      <c r="G196" s="4"/>
      <c r="H196" s="4"/>
      <c r="I196" s="4"/>
      <c r="J196" s="4"/>
      <c r="K196" s="4"/>
      <c r="L196" s="4"/>
      <c r="M196" s="4"/>
      <c r="N196" s="4"/>
      <c r="O196" s="4"/>
      <c r="P196" s="4"/>
      <c r="Q196" s="4"/>
      <c r="R196" s="4"/>
      <c r="S196" s="57"/>
      <c r="T196" s="4"/>
      <c r="U196" s="220"/>
      <c r="V196" s="220"/>
      <c r="W196" s="220"/>
    </row>
    <row r="197" spans="1:23" x14ac:dyDescent="0.15">
      <c r="A197" s="220"/>
      <c r="B197" s="4"/>
      <c r="C197" s="56"/>
      <c r="D197" s="66" t="s">
        <v>333</v>
      </c>
      <c r="E197" s="4"/>
      <c r="F197" s="4"/>
      <c r="G197" s="4"/>
      <c r="H197" s="4"/>
      <c r="I197" s="4"/>
      <c r="J197" s="4"/>
      <c r="K197" s="4"/>
      <c r="L197" s="4"/>
      <c r="M197" s="4"/>
      <c r="N197" s="4"/>
      <c r="O197" s="4"/>
      <c r="P197" s="4"/>
      <c r="Q197" s="4"/>
      <c r="R197" s="4"/>
      <c r="S197" s="57"/>
      <c r="T197" s="4"/>
      <c r="U197" s="220"/>
      <c r="V197" s="220"/>
      <c r="W197" s="220"/>
    </row>
    <row r="198" spans="1:23" ht="5.0999999999999996" customHeight="1" thickBot="1" x14ac:dyDescent="0.2">
      <c r="A198" s="220"/>
      <c r="B198" s="4"/>
      <c r="C198" s="56"/>
      <c r="D198" s="72"/>
      <c r="E198" s="4"/>
      <c r="F198" s="4"/>
      <c r="G198" s="4"/>
      <c r="H198" s="4"/>
      <c r="I198" s="4"/>
      <c r="J198" s="4"/>
      <c r="K198" s="4"/>
      <c r="L198" s="4"/>
      <c r="M198" s="4"/>
      <c r="N198" s="4"/>
      <c r="O198" s="4"/>
      <c r="P198" s="4"/>
      <c r="Q198" s="4"/>
      <c r="R198" s="4"/>
      <c r="S198" s="57"/>
      <c r="T198" s="4"/>
      <c r="U198" s="220"/>
      <c r="V198" s="220"/>
      <c r="W198" s="220"/>
    </row>
    <row r="199" spans="1:23" ht="14.25" thickBot="1" x14ac:dyDescent="0.2">
      <c r="A199" s="220"/>
      <c r="B199" s="4"/>
      <c r="C199" s="56"/>
      <c r="D199" s="4"/>
      <c r="E199" s="4"/>
      <c r="F199" s="4"/>
      <c r="G199" s="4"/>
      <c r="H199" s="58" t="s">
        <v>308</v>
      </c>
      <c r="I199" s="8"/>
      <c r="J199" s="4" t="s">
        <v>315</v>
      </c>
      <c r="K199" s="4"/>
      <c r="L199" s="4"/>
      <c r="M199" s="4"/>
      <c r="N199" s="4"/>
      <c r="O199" s="4"/>
      <c r="P199" s="4"/>
      <c r="Q199" s="4"/>
      <c r="R199" s="4"/>
      <c r="S199" s="57"/>
      <c r="T199" s="4"/>
      <c r="U199" s="220"/>
      <c r="V199" s="220"/>
      <c r="W199" s="220"/>
    </row>
    <row r="200" spans="1:23" ht="5.0999999999999996" customHeight="1" x14ac:dyDescent="0.15">
      <c r="A200" s="220"/>
      <c r="B200" s="4"/>
      <c r="C200" s="59"/>
      <c r="D200" s="75"/>
      <c r="E200" s="60"/>
      <c r="F200" s="60"/>
      <c r="G200" s="60"/>
      <c r="H200" s="60"/>
      <c r="I200" s="60"/>
      <c r="J200" s="60"/>
      <c r="K200" s="60"/>
      <c r="L200" s="60"/>
      <c r="M200" s="60"/>
      <c r="N200" s="60"/>
      <c r="O200" s="60"/>
      <c r="P200" s="60"/>
      <c r="Q200" s="60"/>
      <c r="R200" s="60"/>
      <c r="S200" s="61"/>
      <c r="T200" s="4"/>
      <c r="U200" s="220"/>
      <c r="V200" s="220"/>
      <c r="W200" s="220"/>
    </row>
    <row r="201" spans="1:23" x14ac:dyDescent="0.15">
      <c r="A201" s="220"/>
      <c r="B201" s="4"/>
      <c r="C201" s="4"/>
      <c r="D201" s="4"/>
      <c r="E201" s="4"/>
      <c r="F201" s="4"/>
      <c r="G201" s="4"/>
      <c r="H201" s="4"/>
      <c r="I201" s="4"/>
      <c r="J201" s="4"/>
      <c r="K201" s="4"/>
      <c r="L201" s="4"/>
      <c r="M201" s="4"/>
      <c r="N201" s="4"/>
      <c r="O201" s="4"/>
      <c r="P201" s="4"/>
      <c r="Q201" s="4"/>
      <c r="R201" s="4"/>
      <c r="S201" s="4"/>
      <c r="T201" s="4"/>
      <c r="U201" s="220"/>
      <c r="V201" s="220"/>
      <c r="W201" s="220"/>
    </row>
    <row r="202" spans="1:23" ht="19.5" customHeight="1" x14ac:dyDescent="0.15">
      <c r="A202" s="220"/>
      <c r="B202" s="4"/>
      <c r="C202" s="53" t="s">
        <v>459</v>
      </c>
      <c r="D202" s="54"/>
      <c r="E202" s="54"/>
      <c r="F202" s="54"/>
      <c r="G202" s="54"/>
      <c r="H202" s="54"/>
      <c r="I202" s="54"/>
      <c r="J202" s="54"/>
      <c r="K202" s="54"/>
      <c r="L202" s="54"/>
      <c r="M202" s="54"/>
      <c r="N202" s="54"/>
      <c r="O202" s="54"/>
      <c r="P202" s="54"/>
      <c r="Q202" s="54"/>
      <c r="R202" s="54"/>
      <c r="S202" s="55"/>
      <c r="T202" s="4"/>
      <c r="U202" s="220"/>
      <c r="V202" s="220"/>
      <c r="W202" s="220"/>
    </row>
    <row r="203" spans="1:23" ht="5.0999999999999996" customHeight="1" x14ac:dyDescent="0.15">
      <c r="A203" s="220"/>
      <c r="B203" s="4"/>
      <c r="C203" s="56"/>
      <c r="D203" s="72"/>
      <c r="E203" s="4"/>
      <c r="F203" s="4"/>
      <c r="G203" s="4"/>
      <c r="H203" s="4"/>
      <c r="I203" s="4"/>
      <c r="J203" s="4"/>
      <c r="K203" s="4"/>
      <c r="L203" s="4"/>
      <c r="M203" s="4"/>
      <c r="N203" s="4"/>
      <c r="O203" s="4"/>
      <c r="P203" s="4"/>
      <c r="Q203" s="4"/>
      <c r="R203" s="4"/>
      <c r="S203" s="57"/>
      <c r="T203" s="4"/>
      <c r="U203" s="220"/>
      <c r="V203" s="220"/>
      <c r="W203" s="220"/>
    </row>
    <row r="204" spans="1:23" x14ac:dyDescent="0.15">
      <c r="A204" s="220"/>
      <c r="B204" s="4"/>
      <c r="C204" s="56"/>
      <c r="D204" s="4" t="s">
        <v>338</v>
      </c>
      <c r="E204" s="4"/>
      <c r="F204" s="4"/>
      <c r="G204" s="4"/>
      <c r="H204" s="4"/>
      <c r="I204" s="4"/>
      <c r="J204" s="4"/>
      <c r="K204" s="4"/>
      <c r="L204" s="4"/>
      <c r="M204" s="4"/>
      <c r="N204" s="4"/>
      <c r="O204" s="4"/>
      <c r="P204" s="4"/>
      <c r="Q204" s="4"/>
      <c r="R204" s="4"/>
      <c r="S204" s="57"/>
      <c r="T204" s="4"/>
      <c r="U204" s="220"/>
      <c r="V204" s="220"/>
      <c r="W204" s="220"/>
    </row>
    <row r="205" spans="1:23" ht="5.0999999999999996" customHeight="1" thickBot="1" x14ac:dyDescent="0.2">
      <c r="A205" s="220"/>
      <c r="B205" s="4"/>
      <c r="C205" s="56"/>
      <c r="D205" s="72"/>
      <c r="E205" s="4"/>
      <c r="F205" s="4"/>
      <c r="G205" s="4"/>
      <c r="H205" s="4"/>
      <c r="I205" s="4"/>
      <c r="J205" s="4"/>
      <c r="K205" s="4"/>
      <c r="L205" s="4"/>
      <c r="M205" s="4"/>
      <c r="N205" s="4"/>
      <c r="O205" s="4"/>
      <c r="P205" s="4"/>
      <c r="Q205" s="4"/>
      <c r="R205" s="4"/>
      <c r="S205" s="57"/>
      <c r="T205" s="4"/>
      <c r="U205" s="220"/>
      <c r="V205" s="220"/>
      <c r="W205" s="220"/>
    </row>
    <row r="206" spans="1:23" ht="14.25" thickBot="1" x14ac:dyDescent="0.2">
      <c r="A206" s="220"/>
      <c r="B206" s="4"/>
      <c r="C206" s="56"/>
      <c r="D206" s="4"/>
      <c r="E206" s="77"/>
      <c r="F206" s="77"/>
      <c r="G206" s="77"/>
      <c r="H206" s="78" t="s">
        <v>337</v>
      </c>
      <c r="I206" s="8"/>
      <c r="J206" s="4" t="s">
        <v>319</v>
      </c>
      <c r="K206" s="4"/>
      <c r="L206" s="4"/>
      <c r="M206" s="4"/>
      <c r="N206" s="4"/>
      <c r="O206" s="4"/>
      <c r="P206" s="4"/>
      <c r="Q206" s="4"/>
      <c r="R206" s="4"/>
      <c r="S206" s="57"/>
      <c r="T206" s="4"/>
      <c r="U206" s="220"/>
      <c r="V206" s="220"/>
      <c r="W206" s="220"/>
    </row>
    <row r="207" spans="1:23" x14ac:dyDescent="0.15">
      <c r="A207" s="220"/>
      <c r="B207" s="4"/>
      <c r="C207" s="56"/>
      <c r="D207" s="4"/>
      <c r="E207" s="4"/>
      <c r="F207" s="4"/>
      <c r="G207" s="4"/>
      <c r="H207" s="4"/>
      <c r="I207" s="4"/>
      <c r="J207" s="4"/>
      <c r="K207" s="4"/>
      <c r="L207" s="4"/>
      <c r="M207" s="4"/>
      <c r="N207" s="4"/>
      <c r="O207" s="4"/>
      <c r="P207" s="4"/>
      <c r="Q207" s="4"/>
      <c r="R207" s="4"/>
      <c r="S207" s="57"/>
      <c r="T207" s="4"/>
      <c r="U207" s="220"/>
      <c r="V207" s="220"/>
      <c r="W207" s="220"/>
    </row>
    <row r="208" spans="1:23" x14ac:dyDescent="0.15">
      <c r="A208" s="220"/>
      <c r="B208" s="4"/>
      <c r="C208" s="56"/>
      <c r="D208" s="4" t="s">
        <v>332</v>
      </c>
      <c r="E208" s="4"/>
      <c r="F208" s="4"/>
      <c r="G208" s="4"/>
      <c r="H208" s="4"/>
      <c r="I208" s="4"/>
      <c r="J208" s="4"/>
      <c r="K208" s="4"/>
      <c r="L208" s="4"/>
      <c r="M208" s="4"/>
      <c r="N208" s="4"/>
      <c r="O208" s="4"/>
      <c r="P208" s="4"/>
      <c r="Q208" s="4"/>
      <c r="R208" s="4"/>
      <c r="S208" s="57"/>
      <c r="T208" s="4"/>
      <c r="U208" s="220"/>
      <c r="V208" s="220"/>
      <c r="W208" s="220"/>
    </row>
    <row r="209" spans="1:23" ht="5.0999999999999996" customHeight="1" thickBot="1" x14ac:dyDescent="0.2">
      <c r="A209" s="220"/>
      <c r="B209" s="4"/>
      <c r="C209" s="56"/>
      <c r="D209" s="72"/>
      <c r="E209" s="4"/>
      <c r="F209" s="4"/>
      <c r="G209" s="4"/>
      <c r="H209" s="4"/>
      <c r="I209" s="4"/>
      <c r="J209" s="4"/>
      <c r="K209" s="4"/>
      <c r="L209" s="4"/>
      <c r="M209" s="4"/>
      <c r="N209" s="4"/>
      <c r="O209" s="4"/>
      <c r="P209" s="4"/>
      <c r="Q209" s="4"/>
      <c r="R209" s="4"/>
      <c r="S209" s="57"/>
      <c r="T209" s="4"/>
      <c r="U209" s="220"/>
      <c r="V209" s="220"/>
      <c r="W209" s="220"/>
    </row>
    <row r="210" spans="1:23" ht="14.25" thickBot="1" x14ac:dyDescent="0.2">
      <c r="A210" s="220"/>
      <c r="B210" s="4"/>
      <c r="C210" s="56"/>
      <c r="D210" s="72"/>
      <c r="E210" s="77"/>
      <c r="F210" s="77"/>
      <c r="G210" s="77"/>
      <c r="H210" s="58" t="s">
        <v>331</v>
      </c>
      <c r="I210" s="8"/>
      <c r="J210" s="4" t="s">
        <v>321</v>
      </c>
      <c r="K210" s="4"/>
      <c r="L210" s="4"/>
      <c r="M210" s="4"/>
      <c r="N210" s="4"/>
      <c r="O210" s="4"/>
      <c r="P210" s="4"/>
      <c r="Q210" s="4"/>
      <c r="R210" s="4"/>
      <c r="S210" s="57"/>
      <c r="T210" s="4"/>
      <c r="U210" s="220"/>
      <c r="V210" s="220"/>
      <c r="W210" s="220"/>
    </row>
    <row r="211" spans="1:23" x14ac:dyDescent="0.15">
      <c r="A211" s="220"/>
      <c r="B211" s="4"/>
      <c r="C211" s="56"/>
      <c r="D211" s="4"/>
      <c r="E211" s="4"/>
      <c r="F211" s="4"/>
      <c r="G211" s="4"/>
      <c r="H211" s="4"/>
      <c r="I211" s="4"/>
      <c r="J211" s="4"/>
      <c r="K211" s="4"/>
      <c r="L211" s="4"/>
      <c r="M211" s="4"/>
      <c r="N211" s="4"/>
      <c r="O211" s="4"/>
      <c r="P211" s="4"/>
      <c r="Q211" s="4"/>
      <c r="R211" s="4"/>
      <c r="S211" s="57"/>
      <c r="T211" s="4"/>
      <c r="U211" s="220"/>
      <c r="V211" s="220"/>
      <c r="W211" s="220"/>
    </row>
    <row r="212" spans="1:23" x14ac:dyDescent="0.15">
      <c r="A212" s="220"/>
      <c r="B212" s="4"/>
      <c r="C212" s="56"/>
      <c r="D212" s="66" t="s">
        <v>330</v>
      </c>
      <c r="E212" s="4"/>
      <c r="F212" s="4"/>
      <c r="G212" s="4"/>
      <c r="H212" s="4"/>
      <c r="I212" s="4"/>
      <c r="J212" s="4"/>
      <c r="K212" s="4"/>
      <c r="L212" s="4"/>
      <c r="M212" s="4"/>
      <c r="N212" s="4"/>
      <c r="O212" s="4"/>
      <c r="P212" s="4"/>
      <c r="Q212" s="4"/>
      <c r="R212" s="4"/>
      <c r="S212" s="57"/>
      <c r="T212" s="4"/>
      <c r="U212" s="220"/>
      <c r="V212" s="220"/>
      <c r="W212" s="220"/>
    </row>
    <row r="213" spans="1:23" ht="5.0999999999999996" customHeight="1" thickBot="1" x14ac:dyDescent="0.2">
      <c r="A213" s="220"/>
      <c r="B213" s="4"/>
      <c r="C213" s="56"/>
      <c r="D213" s="72"/>
      <c r="E213" s="4"/>
      <c r="F213" s="4"/>
      <c r="G213" s="4"/>
      <c r="H213" s="4"/>
      <c r="I213" s="4"/>
      <c r="J213" s="4"/>
      <c r="K213" s="4"/>
      <c r="L213" s="4"/>
      <c r="M213" s="4"/>
      <c r="N213" s="4"/>
      <c r="O213" s="4"/>
      <c r="P213" s="4"/>
      <c r="Q213" s="4"/>
      <c r="R213" s="4"/>
      <c r="S213" s="57"/>
      <c r="T213" s="4"/>
      <c r="U213" s="220"/>
      <c r="V213" s="220"/>
      <c r="W213" s="220"/>
    </row>
    <row r="214" spans="1:23" ht="14.25" thickBot="1" x14ac:dyDescent="0.2">
      <c r="A214" s="220"/>
      <c r="B214" s="4"/>
      <c r="C214" s="56"/>
      <c r="D214" s="4"/>
      <c r="E214" s="4"/>
      <c r="F214" s="4"/>
      <c r="G214" s="4"/>
      <c r="H214" s="58" t="s">
        <v>305</v>
      </c>
      <c r="I214" s="8"/>
      <c r="J214" s="4" t="s">
        <v>315</v>
      </c>
      <c r="K214" s="4"/>
      <c r="L214" s="4"/>
      <c r="M214" s="4"/>
      <c r="N214" s="4"/>
      <c r="O214" s="4"/>
      <c r="P214" s="4"/>
      <c r="Q214" s="4"/>
      <c r="R214" s="4"/>
      <c r="S214" s="57"/>
      <c r="T214" s="4"/>
      <c r="U214" s="220"/>
      <c r="V214" s="220"/>
      <c r="W214" s="220"/>
    </row>
    <row r="215" spans="1:23" ht="5.0999999999999996" customHeight="1" thickBot="1" x14ac:dyDescent="0.2">
      <c r="A215" s="220"/>
      <c r="B215" s="4"/>
      <c r="C215" s="56"/>
      <c r="D215" s="72"/>
      <c r="E215" s="4"/>
      <c r="F215" s="4"/>
      <c r="G215" s="4"/>
      <c r="H215" s="4"/>
      <c r="I215" s="4"/>
      <c r="J215" s="4"/>
      <c r="K215" s="4"/>
      <c r="L215" s="4"/>
      <c r="M215" s="4"/>
      <c r="N215" s="4"/>
      <c r="O215" s="4"/>
      <c r="P215" s="4"/>
      <c r="Q215" s="4"/>
      <c r="R215" s="4"/>
      <c r="S215" s="57"/>
      <c r="T215" s="4"/>
      <c r="U215" s="220"/>
      <c r="V215" s="220"/>
      <c r="W215" s="220"/>
    </row>
    <row r="216" spans="1:23" ht="14.25" thickBot="1" x14ac:dyDescent="0.2">
      <c r="A216" s="220"/>
      <c r="B216" s="4"/>
      <c r="C216" s="56"/>
      <c r="D216" s="4"/>
      <c r="E216" s="4"/>
      <c r="F216" s="4"/>
      <c r="G216" s="4"/>
      <c r="H216" s="58" t="s">
        <v>306</v>
      </c>
      <c r="I216" s="8"/>
      <c r="J216" s="4" t="s">
        <v>315</v>
      </c>
      <c r="K216" s="4"/>
      <c r="L216" s="4"/>
      <c r="M216" s="4"/>
      <c r="N216" s="4"/>
      <c r="O216" s="4"/>
      <c r="P216" s="4"/>
      <c r="Q216" s="4"/>
      <c r="R216" s="4"/>
      <c r="S216" s="57"/>
      <c r="T216" s="4"/>
      <c r="U216" s="220"/>
      <c r="V216" s="220"/>
      <c r="W216" s="220"/>
    </row>
    <row r="217" spans="1:23" ht="5.0999999999999996" customHeight="1" thickBot="1" x14ac:dyDescent="0.2">
      <c r="A217" s="220"/>
      <c r="B217" s="4"/>
      <c r="C217" s="56"/>
      <c r="D217" s="72"/>
      <c r="E217" s="4"/>
      <c r="F217" s="4"/>
      <c r="G217" s="4"/>
      <c r="H217" s="4"/>
      <c r="I217" s="4"/>
      <c r="J217" s="4"/>
      <c r="K217" s="4"/>
      <c r="L217" s="4"/>
      <c r="M217" s="4"/>
      <c r="N217" s="4"/>
      <c r="O217" s="4"/>
      <c r="P217" s="4"/>
      <c r="Q217" s="4"/>
      <c r="R217" s="4"/>
      <c r="S217" s="57"/>
      <c r="T217" s="4"/>
      <c r="U217" s="220"/>
      <c r="V217" s="220"/>
      <c r="W217" s="220"/>
    </row>
    <row r="218" spans="1:23" ht="14.25" thickBot="1" x14ac:dyDescent="0.2">
      <c r="A218" s="220"/>
      <c r="B218" s="4"/>
      <c r="C218" s="56"/>
      <c r="D218" s="4"/>
      <c r="E218" s="4"/>
      <c r="F218" s="4"/>
      <c r="G218" s="4"/>
      <c r="H218" s="58" t="s">
        <v>307</v>
      </c>
      <c r="I218" s="62">
        <f>I214+I216</f>
        <v>0</v>
      </c>
      <c r="J218" s="4" t="s">
        <v>316</v>
      </c>
      <c r="K218" s="4"/>
      <c r="L218" s="4"/>
      <c r="M218" s="4"/>
      <c r="N218" s="4"/>
      <c r="O218" s="4"/>
      <c r="P218" s="4"/>
      <c r="Q218" s="4"/>
      <c r="R218" s="4"/>
      <c r="S218" s="57"/>
      <c r="T218" s="4"/>
      <c r="U218" s="220"/>
      <c r="V218" s="220"/>
      <c r="W218" s="220"/>
    </row>
    <row r="219" spans="1:23" x14ac:dyDescent="0.15">
      <c r="A219" s="220"/>
      <c r="B219" s="4"/>
      <c r="C219" s="56"/>
      <c r="D219" s="4"/>
      <c r="E219" s="4"/>
      <c r="F219" s="4"/>
      <c r="G219" s="4"/>
      <c r="H219" s="4"/>
      <c r="I219" s="4"/>
      <c r="J219" s="4"/>
      <c r="K219" s="4"/>
      <c r="L219" s="4"/>
      <c r="M219" s="4"/>
      <c r="N219" s="4"/>
      <c r="O219" s="4"/>
      <c r="P219" s="4"/>
      <c r="Q219" s="4"/>
      <c r="R219" s="4"/>
      <c r="S219" s="57"/>
      <c r="T219" s="4"/>
      <c r="U219" s="220"/>
      <c r="V219" s="220"/>
      <c r="W219" s="220"/>
    </row>
    <row r="220" spans="1:23" x14ac:dyDescent="0.15">
      <c r="A220" s="220"/>
      <c r="B220" s="4"/>
      <c r="C220" s="56"/>
      <c r="D220" s="66" t="s">
        <v>333</v>
      </c>
      <c r="E220" s="4"/>
      <c r="F220" s="4"/>
      <c r="G220" s="4"/>
      <c r="H220" s="4"/>
      <c r="I220" s="4"/>
      <c r="J220" s="4"/>
      <c r="K220" s="4"/>
      <c r="L220" s="4"/>
      <c r="M220" s="4"/>
      <c r="N220" s="4"/>
      <c r="O220" s="4"/>
      <c r="P220" s="4"/>
      <c r="Q220" s="4"/>
      <c r="R220" s="4"/>
      <c r="S220" s="57"/>
      <c r="T220" s="4"/>
      <c r="U220" s="220"/>
      <c r="V220" s="220"/>
      <c r="W220" s="220"/>
    </row>
    <row r="221" spans="1:23" ht="5.0999999999999996" customHeight="1" thickBot="1" x14ac:dyDescent="0.2">
      <c r="A221" s="220"/>
      <c r="B221" s="4"/>
      <c r="C221" s="56"/>
      <c r="D221" s="72"/>
      <c r="E221" s="4"/>
      <c r="F221" s="4"/>
      <c r="G221" s="4"/>
      <c r="H221" s="4"/>
      <c r="I221" s="4"/>
      <c r="J221" s="4"/>
      <c r="K221" s="4"/>
      <c r="L221" s="4"/>
      <c r="M221" s="4"/>
      <c r="N221" s="4"/>
      <c r="O221" s="4"/>
      <c r="P221" s="4"/>
      <c r="Q221" s="4"/>
      <c r="R221" s="4"/>
      <c r="S221" s="57"/>
      <c r="T221" s="4"/>
      <c r="U221" s="220"/>
      <c r="V221" s="220"/>
      <c r="W221" s="220"/>
    </row>
    <row r="222" spans="1:23" ht="14.25" thickBot="1" x14ac:dyDescent="0.2">
      <c r="A222" s="220"/>
      <c r="B222" s="4"/>
      <c r="C222" s="56"/>
      <c r="D222" s="4"/>
      <c r="E222" s="4"/>
      <c r="F222" s="4"/>
      <c r="G222" s="4"/>
      <c r="H222" s="58" t="s">
        <v>308</v>
      </c>
      <c r="I222" s="8"/>
      <c r="J222" s="4" t="s">
        <v>315</v>
      </c>
      <c r="K222" s="4"/>
      <c r="L222" s="4"/>
      <c r="M222" s="4"/>
      <c r="N222" s="4"/>
      <c r="O222" s="4"/>
      <c r="P222" s="4"/>
      <c r="Q222" s="4"/>
      <c r="R222" s="4"/>
      <c r="S222" s="57"/>
      <c r="T222" s="4"/>
      <c r="U222" s="220"/>
      <c r="V222" s="220"/>
      <c r="W222" s="220"/>
    </row>
    <row r="223" spans="1:23" ht="5.0999999999999996" customHeight="1" x14ac:dyDescent="0.15">
      <c r="A223" s="220"/>
      <c r="B223" s="4"/>
      <c r="C223" s="59"/>
      <c r="D223" s="75"/>
      <c r="E223" s="60"/>
      <c r="F223" s="60"/>
      <c r="G223" s="60"/>
      <c r="H223" s="60"/>
      <c r="I223" s="60"/>
      <c r="J223" s="60"/>
      <c r="K223" s="60"/>
      <c r="L223" s="60"/>
      <c r="M223" s="60"/>
      <c r="N223" s="60"/>
      <c r="O223" s="60"/>
      <c r="P223" s="60"/>
      <c r="Q223" s="60"/>
      <c r="R223" s="60"/>
      <c r="S223" s="61"/>
      <c r="T223" s="4"/>
      <c r="U223" s="220"/>
      <c r="V223" s="220"/>
      <c r="W223" s="220"/>
    </row>
    <row r="224" spans="1:23" x14ac:dyDescent="0.15">
      <c r="A224" s="220"/>
      <c r="B224" s="4"/>
      <c r="C224" s="4"/>
      <c r="D224" s="4"/>
      <c r="E224" s="4"/>
      <c r="F224" s="4"/>
      <c r="G224" s="4"/>
      <c r="H224" s="4"/>
      <c r="I224" s="4"/>
      <c r="J224" s="4"/>
      <c r="K224" s="4"/>
      <c r="L224" s="4"/>
      <c r="M224" s="4"/>
      <c r="N224" s="4"/>
      <c r="O224" s="4"/>
      <c r="P224" s="4"/>
      <c r="Q224" s="4"/>
      <c r="R224" s="4"/>
      <c r="S224" s="4"/>
      <c r="T224" s="4"/>
      <c r="U224" s="220"/>
      <c r="V224" s="220"/>
      <c r="W224" s="220"/>
    </row>
    <row r="225" spans="1:23" ht="19.5" customHeight="1" x14ac:dyDescent="0.15">
      <c r="A225" s="220"/>
      <c r="B225" s="4"/>
      <c r="C225" s="53" t="s">
        <v>339</v>
      </c>
      <c r="D225" s="54"/>
      <c r="E225" s="54"/>
      <c r="F225" s="54"/>
      <c r="G225" s="54"/>
      <c r="H225" s="54"/>
      <c r="I225" s="54"/>
      <c r="J225" s="54"/>
      <c r="K225" s="54"/>
      <c r="L225" s="54"/>
      <c r="M225" s="54"/>
      <c r="N225" s="54"/>
      <c r="O225" s="54"/>
      <c r="P225" s="54"/>
      <c r="Q225" s="54"/>
      <c r="R225" s="54"/>
      <c r="S225" s="55"/>
      <c r="T225" s="4"/>
      <c r="U225" s="220"/>
      <c r="V225" s="220"/>
      <c r="W225" s="220"/>
    </row>
    <row r="226" spans="1:23" ht="5.0999999999999996" customHeight="1" x14ac:dyDescent="0.15">
      <c r="A226" s="220"/>
      <c r="B226" s="4"/>
      <c r="C226" s="56"/>
      <c r="D226" s="72"/>
      <c r="E226" s="4"/>
      <c r="F226" s="4"/>
      <c r="G226" s="4"/>
      <c r="H226" s="4"/>
      <c r="I226" s="4"/>
      <c r="J226" s="4"/>
      <c r="K226" s="4"/>
      <c r="L226" s="4"/>
      <c r="M226" s="4"/>
      <c r="N226" s="4"/>
      <c r="O226" s="4"/>
      <c r="P226" s="4"/>
      <c r="Q226" s="4"/>
      <c r="R226" s="4"/>
      <c r="S226" s="57"/>
      <c r="T226" s="4"/>
      <c r="U226" s="220"/>
      <c r="V226" s="220"/>
      <c r="W226" s="220"/>
    </row>
    <row r="227" spans="1:23" x14ac:dyDescent="0.15">
      <c r="A227" s="220"/>
      <c r="B227" s="4"/>
      <c r="C227" s="56"/>
      <c r="D227" s="4" t="s">
        <v>340</v>
      </c>
      <c r="E227" s="4"/>
      <c r="F227" s="4"/>
      <c r="G227" s="4"/>
      <c r="H227" s="4"/>
      <c r="I227" s="4"/>
      <c r="J227" s="4"/>
      <c r="K227" s="4"/>
      <c r="L227" s="4"/>
      <c r="M227" s="4"/>
      <c r="N227" s="4"/>
      <c r="O227" s="4"/>
      <c r="P227" s="4"/>
      <c r="Q227" s="4"/>
      <c r="R227" s="4"/>
      <c r="S227" s="57"/>
      <c r="T227" s="4"/>
      <c r="U227" s="220"/>
      <c r="V227" s="220"/>
      <c r="W227" s="220"/>
    </row>
    <row r="228" spans="1:23" ht="5.0999999999999996" customHeight="1" thickBot="1" x14ac:dyDescent="0.2">
      <c r="A228" s="220"/>
      <c r="B228" s="4"/>
      <c r="C228" s="56"/>
      <c r="D228" s="72"/>
      <c r="E228" s="4"/>
      <c r="F228" s="4"/>
      <c r="G228" s="4"/>
      <c r="H228" s="4"/>
      <c r="I228" s="4"/>
      <c r="J228" s="4"/>
      <c r="K228" s="4"/>
      <c r="L228" s="4"/>
      <c r="M228" s="4"/>
      <c r="N228" s="4"/>
      <c r="O228" s="4"/>
      <c r="P228" s="4"/>
      <c r="Q228" s="4"/>
      <c r="R228" s="4"/>
      <c r="S228" s="57"/>
      <c r="T228" s="4"/>
      <c r="U228" s="220"/>
      <c r="V228" s="220"/>
      <c r="W228" s="220"/>
    </row>
    <row r="229" spans="1:23" ht="14.25" thickBot="1" x14ac:dyDescent="0.2">
      <c r="A229" s="220"/>
      <c r="B229" s="4"/>
      <c r="C229" s="56"/>
      <c r="D229" s="4"/>
      <c r="E229" s="77"/>
      <c r="F229" s="77"/>
      <c r="G229" s="77"/>
      <c r="H229" s="78" t="s">
        <v>337</v>
      </c>
      <c r="I229" s="8"/>
      <c r="J229" s="4" t="s">
        <v>319</v>
      </c>
      <c r="K229" s="4"/>
      <c r="L229" s="4"/>
      <c r="M229" s="4"/>
      <c r="N229" s="4"/>
      <c r="O229" s="4"/>
      <c r="P229" s="4"/>
      <c r="Q229" s="4"/>
      <c r="R229" s="4"/>
      <c r="S229" s="57"/>
      <c r="T229" s="4"/>
      <c r="U229" s="220"/>
      <c r="V229" s="220"/>
      <c r="W229" s="220"/>
    </row>
    <row r="230" spans="1:23" ht="5.0999999999999996" customHeight="1" x14ac:dyDescent="0.15">
      <c r="A230" s="220"/>
      <c r="B230" s="4"/>
      <c r="C230" s="59"/>
      <c r="D230" s="75"/>
      <c r="E230" s="60"/>
      <c r="F230" s="60"/>
      <c r="G230" s="60"/>
      <c r="H230" s="60"/>
      <c r="I230" s="60"/>
      <c r="J230" s="60"/>
      <c r="K230" s="60"/>
      <c r="L230" s="60"/>
      <c r="M230" s="60"/>
      <c r="N230" s="60"/>
      <c r="O230" s="60"/>
      <c r="P230" s="60"/>
      <c r="Q230" s="60"/>
      <c r="R230" s="60"/>
      <c r="S230" s="61"/>
      <c r="T230" s="4"/>
      <c r="U230" s="220"/>
      <c r="V230" s="220"/>
      <c r="W230" s="220"/>
    </row>
    <row r="231" spans="1:23" x14ac:dyDescent="0.15">
      <c r="A231" s="220"/>
      <c r="B231" s="4"/>
      <c r="C231" s="4"/>
      <c r="D231" s="4"/>
      <c r="E231" s="4"/>
      <c r="F231" s="4"/>
      <c r="G231" s="4"/>
      <c r="H231" s="4"/>
      <c r="I231" s="4"/>
      <c r="J231" s="4"/>
      <c r="K231" s="4"/>
      <c r="L231" s="4"/>
      <c r="M231" s="4"/>
      <c r="N231" s="4"/>
      <c r="O231" s="4"/>
      <c r="P231" s="4"/>
      <c r="Q231" s="4"/>
      <c r="R231" s="4"/>
      <c r="S231" s="4"/>
      <c r="T231" s="4"/>
      <c r="U231" s="220"/>
      <c r="V231" s="220"/>
      <c r="W231" s="220"/>
    </row>
    <row r="232" spans="1:23" x14ac:dyDescent="0.15">
      <c r="A232" s="220"/>
      <c r="B232" s="220"/>
      <c r="C232" s="220"/>
      <c r="D232" s="220"/>
      <c r="E232" s="220"/>
      <c r="F232" s="220"/>
      <c r="G232" s="220"/>
      <c r="H232" s="220"/>
      <c r="I232" s="220"/>
      <c r="J232" s="220"/>
      <c r="K232" s="220"/>
      <c r="L232" s="220"/>
      <c r="M232" s="220"/>
      <c r="N232" s="220"/>
      <c r="O232" s="220"/>
      <c r="P232" s="220"/>
      <c r="Q232" s="220"/>
      <c r="R232" s="220"/>
      <c r="S232" s="220"/>
      <c r="T232" s="220"/>
      <c r="U232" s="220"/>
      <c r="V232" s="220"/>
      <c r="W232" s="220"/>
    </row>
    <row r="233" spans="1:23" ht="5.0999999999999996" customHeight="1" x14ac:dyDescent="0.15">
      <c r="A233" s="220"/>
      <c r="B233" s="2"/>
      <c r="C233" s="2"/>
      <c r="D233" s="2"/>
      <c r="E233" s="2"/>
      <c r="F233" s="2"/>
      <c r="G233" s="2"/>
      <c r="H233" s="2"/>
      <c r="I233" s="2"/>
      <c r="J233" s="2"/>
      <c r="K233" s="2"/>
      <c r="L233" s="2"/>
      <c r="M233" s="2"/>
      <c r="N233" s="2"/>
      <c r="O233" s="2"/>
      <c r="P233" s="2"/>
      <c r="Q233" s="2"/>
      <c r="R233" s="2"/>
      <c r="S233" s="2"/>
      <c r="T233" s="2"/>
      <c r="U233" s="220"/>
      <c r="V233" s="220"/>
      <c r="W233" s="220"/>
    </row>
    <row r="234" spans="1:23" x14ac:dyDescent="0.15">
      <c r="A234" s="220"/>
      <c r="B234" s="2" t="s">
        <v>635</v>
      </c>
      <c r="C234" s="2"/>
      <c r="D234" s="2"/>
      <c r="E234" s="2"/>
      <c r="F234" s="2"/>
      <c r="G234" s="2"/>
      <c r="H234" s="2"/>
      <c r="I234" s="2"/>
      <c r="J234" s="2"/>
      <c r="K234" s="2"/>
      <c r="L234" s="2"/>
      <c r="M234" s="2"/>
      <c r="N234" s="2"/>
      <c r="O234" s="2"/>
      <c r="P234" s="2"/>
      <c r="Q234" s="2"/>
      <c r="R234" s="2"/>
      <c r="S234" s="2"/>
      <c r="T234" s="2"/>
      <c r="U234" s="220"/>
      <c r="V234" s="220"/>
      <c r="W234" s="220"/>
    </row>
    <row r="235" spans="1:23" ht="5.0999999999999996" customHeight="1" x14ac:dyDescent="0.15">
      <c r="A235" s="220"/>
      <c r="B235" s="2"/>
      <c r="C235" s="2"/>
      <c r="D235" s="2"/>
      <c r="E235" s="2"/>
      <c r="F235" s="2"/>
      <c r="G235" s="2"/>
      <c r="H235" s="2"/>
      <c r="I235" s="2"/>
      <c r="J235" s="2"/>
      <c r="K235" s="2"/>
      <c r="L235" s="2"/>
      <c r="M235" s="2"/>
      <c r="N235" s="2"/>
      <c r="O235" s="2"/>
      <c r="P235" s="2"/>
      <c r="Q235" s="2"/>
      <c r="R235" s="2"/>
      <c r="S235" s="2"/>
      <c r="T235" s="2"/>
      <c r="U235" s="220"/>
      <c r="V235" s="220"/>
      <c r="W235" s="220"/>
    </row>
    <row r="236" spans="1:23" x14ac:dyDescent="0.15">
      <c r="A236" s="220"/>
      <c r="B236" s="2"/>
      <c r="C236" s="2" t="s">
        <v>42</v>
      </c>
      <c r="D236" s="2"/>
      <c r="E236" s="2"/>
      <c r="F236" s="2"/>
      <c r="G236" s="2"/>
      <c r="H236" s="2"/>
      <c r="I236" s="2"/>
      <c r="J236" s="2"/>
      <c r="K236" s="2"/>
      <c r="L236" s="2"/>
      <c r="M236" s="2"/>
      <c r="N236" s="2"/>
      <c r="O236" s="2"/>
      <c r="P236" s="2"/>
      <c r="Q236" s="2"/>
      <c r="R236" s="2"/>
      <c r="S236" s="2"/>
      <c r="T236" s="2"/>
      <c r="U236" s="220"/>
      <c r="V236" s="220"/>
      <c r="W236" s="220"/>
    </row>
    <row r="237" spans="1:23" ht="5.0999999999999996" customHeight="1" x14ac:dyDescent="0.15">
      <c r="A237" s="220"/>
      <c r="B237" s="2"/>
      <c r="C237" s="2"/>
      <c r="D237" s="2"/>
      <c r="E237" s="2"/>
      <c r="F237" s="2"/>
      <c r="G237" s="2"/>
      <c r="H237" s="2"/>
      <c r="I237" s="2"/>
      <c r="J237" s="2"/>
      <c r="K237" s="2"/>
      <c r="L237" s="2"/>
      <c r="M237" s="2"/>
      <c r="N237" s="2"/>
      <c r="O237" s="2"/>
      <c r="P237" s="2"/>
      <c r="Q237" s="2"/>
      <c r="R237" s="2"/>
      <c r="S237" s="2"/>
      <c r="T237" s="2"/>
      <c r="U237" s="220"/>
      <c r="V237" s="220"/>
      <c r="W237" s="220"/>
    </row>
    <row r="238" spans="1:23" x14ac:dyDescent="0.15">
      <c r="A238" s="220"/>
      <c r="B238" s="2"/>
      <c r="C238" s="2" t="s">
        <v>43</v>
      </c>
      <c r="D238" s="2"/>
      <c r="E238" s="2"/>
      <c r="F238" s="2"/>
      <c r="G238" s="2"/>
      <c r="H238" s="2"/>
      <c r="I238" s="246" t="s">
        <v>649</v>
      </c>
      <c r="J238" s="246"/>
      <c r="K238" s="246"/>
      <c r="L238" s="2"/>
      <c r="M238" s="2"/>
      <c r="N238" s="2"/>
      <c r="O238" s="2"/>
      <c r="P238" s="2"/>
      <c r="Q238" s="2"/>
      <c r="R238" s="2"/>
      <c r="S238" s="2"/>
      <c r="T238" s="2"/>
      <c r="U238" s="220"/>
      <c r="V238" s="220"/>
      <c r="W238" s="220"/>
    </row>
    <row r="239" spans="1:23" ht="5.0999999999999996" customHeight="1" thickBot="1" x14ac:dyDescent="0.2">
      <c r="A239" s="220"/>
      <c r="B239" s="2"/>
      <c r="C239" s="2"/>
      <c r="D239" s="2"/>
      <c r="E239" s="2"/>
      <c r="F239" s="2"/>
      <c r="G239" s="2"/>
      <c r="H239" s="2"/>
      <c r="I239" s="2"/>
      <c r="J239" s="2"/>
      <c r="K239" s="2"/>
      <c r="L239" s="2"/>
      <c r="M239" s="2"/>
      <c r="N239" s="2"/>
      <c r="O239" s="2"/>
      <c r="P239" s="2"/>
      <c r="Q239" s="2"/>
      <c r="R239" s="2"/>
      <c r="S239" s="2"/>
      <c r="T239" s="2"/>
      <c r="U239" s="220"/>
      <c r="V239" s="220"/>
      <c r="W239" s="220"/>
    </row>
    <row r="240" spans="1:23" ht="14.25" thickBot="1" x14ac:dyDescent="0.2">
      <c r="A240" s="220"/>
      <c r="B240" s="2"/>
      <c r="C240" s="2"/>
      <c r="D240" s="2"/>
      <c r="E240" s="2"/>
      <c r="F240" s="2"/>
      <c r="G240" s="63" t="s">
        <v>44</v>
      </c>
      <c r="H240" s="63"/>
      <c r="I240" s="273">
        <f ca="1">IF(I152&lt;&gt;"要確認",金額入力シート!Q4,"")</f>
        <v>0</v>
      </c>
      <c r="J240" s="274"/>
      <c r="K240" s="275"/>
      <c r="L240" s="2"/>
      <c r="M240" s="65" t="s">
        <v>473</v>
      </c>
      <c r="N240" s="2"/>
      <c r="O240" s="2"/>
      <c r="P240" s="2"/>
      <c r="Q240" s="2"/>
      <c r="R240" s="2"/>
      <c r="S240" s="2"/>
      <c r="T240" s="2"/>
      <c r="U240" s="220"/>
      <c r="V240" s="220"/>
      <c r="W240" s="220"/>
    </row>
    <row r="241" spans="1:23" ht="5.0999999999999996" customHeight="1" thickBot="1" x14ac:dyDescent="0.2">
      <c r="A241" s="220"/>
      <c r="B241" s="2"/>
      <c r="C241" s="2"/>
      <c r="D241" s="2"/>
      <c r="E241" s="2"/>
      <c r="F241" s="2"/>
      <c r="G241" s="2"/>
      <c r="H241" s="2"/>
      <c r="I241" s="2"/>
      <c r="J241" s="2"/>
      <c r="K241" s="2"/>
      <c r="L241" s="2"/>
      <c r="M241" s="2"/>
      <c r="N241" s="2"/>
      <c r="O241" s="2"/>
      <c r="P241" s="2"/>
      <c r="Q241" s="2"/>
      <c r="R241" s="2"/>
      <c r="S241" s="2"/>
      <c r="T241" s="2"/>
      <c r="U241" s="220"/>
      <c r="V241" s="220"/>
      <c r="W241" s="220"/>
    </row>
    <row r="242" spans="1:23" ht="14.25" thickBot="1" x14ac:dyDescent="0.2">
      <c r="A242" s="220"/>
      <c r="B242" s="2"/>
      <c r="C242" s="2"/>
      <c r="D242" s="2"/>
      <c r="E242" s="2"/>
      <c r="F242" s="2"/>
      <c r="G242" s="63" t="s">
        <v>45</v>
      </c>
      <c r="H242" s="63"/>
      <c r="I242" s="273">
        <f ca="1">IF(I152&lt;&gt;"要確認",金額入力シート!Q6,"")</f>
        <v>0</v>
      </c>
      <c r="J242" s="274"/>
      <c r="K242" s="275"/>
      <c r="L242" s="2"/>
      <c r="M242" s="65" t="s">
        <v>473</v>
      </c>
      <c r="N242" s="2"/>
      <c r="O242" s="2"/>
      <c r="P242" s="2"/>
      <c r="Q242" s="2"/>
      <c r="R242" s="2"/>
      <c r="S242" s="2"/>
      <c r="T242" s="2"/>
      <c r="U242" s="220"/>
      <c r="V242" s="220"/>
      <c r="W242" s="220"/>
    </row>
    <row r="243" spans="1:23" ht="5.0999999999999996" customHeight="1" thickBot="1" x14ac:dyDescent="0.2">
      <c r="A243" s="220"/>
      <c r="B243" s="2"/>
      <c r="C243" s="2"/>
      <c r="D243" s="2"/>
      <c r="E243" s="2"/>
      <c r="F243" s="2"/>
      <c r="G243" s="2"/>
      <c r="H243" s="2"/>
      <c r="I243" s="2"/>
      <c r="J243" s="2"/>
      <c r="K243" s="2"/>
      <c r="L243" s="2"/>
      <c r="M243" s="2"/>
      <c r="N243" s="2"/>
      <c r="O243" s="2"/>
      <c r="P243" s="2"/>
      <c r="Q243" s="2"/>
      <c r="R243" s="2"/>
      <c r="S243" s="2"/>
      <c r="T243" s="2"/>
      <c r="U243" s="220"/>
      <c r="V243" s="220"/>
      <c r="W243" s="220"/>
    </row>
    <row r="244" spans="1:23" ht="14.25" thickBot="1" x14ac:dyDescent="0.2">
      <c r="A244" s="220"/>
      <c r="B244" s="2"/>
      <c r="C244" s="2"/>
      <c r="D244" s="2"/>
      <c r="E244" s="2"/>
      <c r="F244" s="2"/>
      <c r="G244" s="63" t="s">
        <v>47</v>
      </c>
      <c r="H244" s="63"/>
      <c r="I244" s="273">
        <f ca="1">IFERROR(I240+I242,0)</f>
        <v>0</v>
      </c>
      <c r="J244" s="274"/>
      <c r="K244" s="275"/>
      <c r="L244" s="2"/>
      <c r="M244" s="2" t="s">
        <v>641</v>
      </c>
      <c r="N244" s="2"/>
      <c r="O244" s="2"/>
      <c r="P244" s="2"/>
      <c r="Q244" s="2"/>
      <c r="R244" s="2"/>
      <c r="S244" s="2"/>
      <c r="T244" s="2"/>
      <c r="U244" s="220"/>
      <c r="V244" s="220"/>
      <c r="W244" s="220"/>
    </row>
    <row r="245" spans="1:23" ht="5.0999999999999996" customHeight="1" thickBot="1" x14ac:dyDescent="0.2">
      <c r="A245" s="220"/>
      <c r="B245" s="2"/>
      <c r="C245" s="2"/>
      <c r="D245" s="2"/>
      <c r="E245" s="2"/>
      <c r="F245" s="2"/>
      <c r="G245" s="2"/>
      <c r="H245" s="2"/>
      <c r="I245" s="2"/>
      <c r="J245" s="2"/>
      <c r="K245" s="2"/>
      <c r="L245" s="2"/>
      <c r="M245" s="2"/>
      <c r="N245" s="2"/>
      <c r="O245" s="2"/>
      <c r="P245" s="2"/>
      <c r="Q245" s="2"/>
      <c r="R245" s="2"/>
      <c r="S245" s="2"/>
      <c r="T245" s="2"/>
      <c r="U245" s="220"/>
      <c r="V245" s="220"/>
      <c r="W245" s="220"/>
    </row>
    <row r="246" spans="1:23" ht="14.25" thickBot="1" x14ac:dyDescent="0.2">
      <c r="A246" s="220"/>
      <c r="B246" s="2"/>
      <c r="C246" s="2"/>
      <c r="D246" s="2"/>
      <c r="E246" s="2"/>
      <c r="F246" s="2"/>
      <c r="G246" s="63" t="s">
        <v>48</v>
      </c>
      <c r="H246" s="63"/>
      <c r="I246" s="273">
        <f ca="1">IFERROR(金額入力シート!O12,0)</f>
        <v>0</v>
      </c>
      <c r="J246" s="274"/>
      <c r="K246" s="275"/>
      <c r="L246" s="2"/>
      <c r="M246" s="2" t="s">
        <v>641</v>
      </c>
      <c r="N246" s="2"/>
      <c r="O246" s="2"/>
      <c r="P246" s="2"/>
      <c r="Q246" s="2"/>
      <c r="R246" s="2"/>
      <c r="S246" s="2"/>
      <c r="T246" s="2"/>
      <c r="U246" s="220"/>
      <c r="V246" s="220"/>
      <c r="W246" s="220"/>
    </row>
    <row r="247" spans="1:23" ht="5.0999999999999996" customHeight="1" x14ac:dyDescent="0.15">
      <c r="A247" s="220"/>
      <c r="B247" s="2"/>
      <c r="C247" s="2"/>
      <c r="D247" s="2"/>
      <c r="E247" s="2"/>
      <c r="F247" s="2"/>
      <c r="G247" s="2"/>
      <c r="H247" s="2"/>
      <c r="I247" s="2"/>
      <c r="J247" s="2"/>
      <c r="K247" s="2"/>
      <c r="L247" s="2"/>
      <c r="M247" s="2"/>
      <c r="N247" s="2"/>
      <c r="O247" s="2"/>
      <c r="P247" s="2"/>
      <c r="Q247" s="2"/>
      <c r="R247" s="2"/>
      <c r="S247" s="2"/>
      <c r="T247" s="2"/>
      <c r="U247" s="220"/>
      <c r="V247" s="220"/>
      <c r="W247" s="220"/>
    </row>
    <row r="248" spans="1:23" x14ac:dyDescent="0.15">
      <c r="A248" s="220"/>
      <c r="B248" s="2"/>
      <c r="C248" s="2" t="s">
        <v>49</v>
      </c>
      <c r="D248" s="2"/>
      <c r="E248" s="2"/>
      <c r="F248" s="2"/>
      <c r="G248" s="2"/>
      <c r="H248" s="2"/>
      <c r="I248" s="2"/>
      <c r="J248" s="2"/>
      <c r="K248" s="2"/>
      <c r="L248" s="2"/>
      <c r="M248" s="2"/>
      <c r="N248" s="2"/>
      <c r="O248" s="2"/>
      <c r="P248" s="2"/>
      <c r="Q248" s="2"/>
      <c r="R248" s="2"/>
      <c r="S248" s="2"/>
      <c r="T248" s="2"/>
      <c r="U248" s="220"/>
      <c r="V248" s="220"/>
      <c r="W248" s="220"/>
    </row>
    <row r="249" spans="1:23" ht="5.0999999999999996" customHeight="1" thickBot="1" x14ac:dyDescent="0.2">
      <c r="A249" s="220"/>
      <c r="B249" s="2"/>
      <c r="C249" s="2"/>
      <c r="D249" s="2"/>
      <c r="E249" s="2"/>
      <c r="F249" s="2"/>
      <c r="G249" s="2"/>
      <c r="H249" s="2"/>
      <c r="I249" s="2"/>
      <c r="J249" s="2"/>
      <c r="K249" s="2"/>
      <c r="L249" s="2"/>
      <c r="M249" s="2"/>
      <c r="N249" s="2"/>
      <c r="O249" s="2"/>
      <c r="P249" s="2"/>
      <c r="Q249" s="2"/>
      <c r="R249" s="2"/>
      <c r="S249" s="2"/>
      <c r="T249" s="2"/>
      <c r="U249" s="220"/>
      <c r="V249" s="220"/>
      <c r="W249" s="220"/>
    </row>
    <row r="250" spans="1:23" ht="14.25" thickBot="1" x14ac:dyDescent="0.2">
      <c r="A250" s="220"/>
      <c r="B250" s="2"/>
      <c r="C250" s="2"/>
      <c r="D250" s="2"/>
      <c r="E250" s="2"/>
      <c r="F250" s="2"/>
      <c r="G250" s="63" t="s">
        <v>50</v>
      </c>
      <c r="H250" s="63"/>
      <c r="I250" s="313"/>
      <c r="J250" s="314"/>
      <c r="K250" s="315"/>
      <c r="L250" s="2"/>
      <c r="M250" s="65" t="s">
        <v>51</v>
      </c>
      <c r="N250" s="2"/>
      <c r="O250" s="2"/>
      <c r="P250" s="2"/>
      <c r="Q250" s="2"/>
      <c r="R250" s="2"/>
      <c r="S250" s="2"/>
      <c r="T250" s="2"/>
      <c r="U250" s="220"/>
      <c r="V250" s="220"/>
      <c r="W250" s="220"/>
    </row>
    <row r="251" spans="1:23" ht="5.0999999999999996" customHeight="1" thickBot="1" x14ac:dyDescent="0.2">
      <c r="A251" s="220"/>
      <c r="B251" s="2"/>
      <c r="C251" s="2"/>
      <c r="D251" s="2"/>
      <c r="E251" s="2"/>
      <c r="F251" s="2"/>
      <c r="G251" s="2"/>
      <c r="H251" s="2"/>
      <c r="I251" s="2"/>
      <c r="J251" s="2"/>
      <c r="K251" s="2"/>
      <c r="L251" s="2"/>
      <c r="M251" s="2"/>
      <c r="N251" s="2"/>
      <c r="O251" s="2"/>
      <c r="P251" s="2"/>
      <c r="Q251" s="2"/>
      <c r="R251" s="2"/>
      <c r="S251" s="2"/>
      <c r="T251" s="2"/>
      <c r="U251" s="220"/>
      <c r="V251" s="220"/>
      <c r="W251" s="220"/>
    </row>
    <row r="252" spans="1:23" ht="14.25" thickBot="1" x14ac:dyDescent="0.2">
      <c r="A252" s="220"/>
      <c r="B252" s="2"/>
      <c r="C252" s="2"/>
      <c r="D252" s="2"/>
      <c r="E252" s="2"/>
      <c r="F252" s="2"/>
      <c r="G252" s="63" t="s">
        <v>44</v>
      </c>
      <c r="H252" s="63"/>
      <c r="I252" s="313"/>
      <c r="J252" s="314"/>
      <c r="K252" s="315"/>
      <c r="L252" s="2"/>
      <c r="M252" s="65" t="s">
        <v>52</v>
      </c>
      <c r="N252" s="2"/>
      <c r="O252" s="2"/>
      <c r="P252" s="2"/>
      <c r="Q252" s="2"/>
      <c r="R252" s="2"/>
      <c r="S252" s="2"/>
      <c r="T252" s="2"/>
      <c r="U252" s="220"/>
      <c r="V252" s="220"/>
      <c r="W252" s="220"/>
    </row>
    <row r="253" spans="1:23" ht="5.0999999999999996" customHeight="1" thickBot="1" x14ac:dyDescent="0.2">
      <c r="A253" s="220"/>
      <c r="B253" s="2"/>
      <c r="C253" s="2"/>
      <c r="D253" s="2"/>
      <c r="E253" s="2"/>
      <c r="F253" s="2"/>
      <c r="G253" s="2"/>
      <c r="H253" s="2"/>
      <c r="I253" s="2"/>
      <c r="J253" s="2"/>
      <c r="K253" s="2"/>
      <c r="L253" s="2"/>
      <c r="M253" s="2"/>
      <c r="N253" s="2"/>
      <c r="O253" s="2"/>
      <c r="P253" s="2"/>
      <c r="Q253" s="2"/>
      <c r="R253" s="2"/>
      <c r="S253" s="2"/>
      <c r="T253" s="2"/>
      <c r="U253" s="220"/>
      <c r="V253" s="220"/>
      <c r="W253" s="220"/>
    </row>
    <row r="254" spans="1:23" ht="14.25" thickBot="1" x14ac:dyDescent="0.2">
      <c r="A254" s="220"/>
      <c r="B254" s="2"/>
      <c r="C254" s="2"/>
      <c r="D254" s="2"/>
      <c r="E254" s="2"/>
      <c r="F254" s="2"/>
      <c r="G254" s="63" t="s">
        <v>45</v>
      </c>
      <c r="H254" s="63"/>
      <c r="I254" s="313"/>
      <c r="J254" s="314"/>
      <c r="K254" s="315"/>
      <c r="L254" s="2"/>
      <c r="M254" s="65" t="s">
        <v>46</v>
      </c>
      <c r="N254" s="2"/>
      <c r="O254" s="2"/>
      <c r="P254" s="2"/>
      <c r="Q254" s="2"/>
      <c r="R254" s="2"/>
      <c r="S254" s="2"/>
      <c r="T254" s="2"/>
      <c r="U254" s="220"/>
      <c r="V254" s="220"/>
      <c r="W254" s="220"/>
    </row>
    <row r="255" spans="1:23" ht="5.0999999999999996" customHeight="1" thickBot="1" x14ac:dyDescent="0.2">
      <c r="A255" s="220"/>
      <c r="B255" s="2"/>
      <c r="C255" s="2"/>
      <c r="D255" s="2"/>
      <c r="E255" s="2"/>
      <c r="F255" s="2"/>
      <c r="G255" s="2"/>
      <c r="H255" s="2"/>
      <c r="I255" s="2"/>
      <c r="J255" s="2"/>
      <c r="K255" s="2"/>
      <c r="L255" s="2"/>
      <c r="M255" s="2"/>
      <c r="N255" s="2"/>
      <c r="O255" s="2"/>
      <c r="P255" s="2"/>
      <c r="Q255" s="2"/>
      <c r="R255" s="2"/>
      <c r="S255" s="2"/>
      <c r="T255" s="2"/>
      <c r="U255" s="220"/>
      <c r="V255" s="220"/>
      <c r="W255" s="220"/>
    </row>
    <row r="256" spans="1:23" ht="14.25" thickBot="1" x14ac:dyDescent="0.2">
      <c r="A256" s="220"/>
      <c r="B256" s="2"/>
      <c r="C256" s="2"/>
      <c r="D256" s="2"/>
      <c r="E256" s="2"/>
      <c r="F256" s="2"/>
      <c r="G256" s="63" t="s">
        <v>47</v>
      </c>
      <c r="H256" s="63"/>
      <c r="I256" s="273">
        <f>I250+I252+I254</f>
        <v>0</v>
      </c>
      <c r="J256" s="274"/>
      <c r="K256" s="275"/>
      <c r="L256" s="2"/>
      <c r="M256" s="2" t="s">
        <v>641</v>
      </c>
      <c r="N256" s="2"/>
      <c r="O256" s="2"/>
      <c r="P256" s="2"/>
      <c r="Q256" s="2"/>
      <c r="R256" s="2"/>
      <c r="S256" s="2"/>
      <c r="T256" s="2"/>
      <c r="U256" s="220"/>
      <c r="V256" s="220"/>
      <c r="W256" s="220"/>
    </row>
    <row r="257" spans="1:23" ht="5.0999999999999996" customHeight="1" thickBot="1" x14ac:dyDescent="0.2">
      <c r="A257" s="220"/>
      <c r="B257" s="2"/>
      <c r="C257" s="2"/>
      <c r="D257" s="2"/>
      <c r="E257" s="2"/>
      <c r="F257" s="2"/>
      <c r="G257" s="2"/>
      <c r="H257" s="2"/>
      <c r="I257" s="2"/>
      <c r="J257" s="2"/>
      <c r="K257" s="2"/>
      <c r="L257" s="2"/>
      <c r="M257" s="2"/>
      <c r="N257" s="2"/>
      <c r="O257" s="2"/>
      <c r="P257" s="2"/>
      <c r="Q257" s="2"/>
      <c r="R257" s="2"/>
      <c r="S257" s="2"/>
      <c r="T257" s="2"/>
      <c r="U257" s="220"/>
      <c r="V257" s="220"/>
      <c r="W257" s="220"/>
    </row>
    <row r="258" spans="1:23" ht="14.25" thickBot="1" x14ac:dyDescent="0.2">
      <c r="A258" s="220"/>
      <c r="B258" s="2"/>
      <c r="C258" s="2"/>
      <c r="D258" s="2"/>
      <c r="E258" s="2"/>
      <c r="F258" s="2"/>
      <c r="G258" s="63" t="s">
        <v>48</v>
      </c>
      <c r="H258" s="63"/>
      <c r="I258" s="273">
        <f>IF(ROUNDDOWN(I256/2,-3)&gt;=反映シート!$AB$120,反映シート!$AB$120,ROUNDDOWN(I256/2,-3))</f>
        <v>0</v>
      </c>
      <c r="J258" s="274"/>
      <c r="K258" s="275"/>
      <c r="L258" s="2"/>
      <c r="M258" s="2" t="s">
        <v>641</v>
      </c>
      <c r="N258" s="2"/>
      <c r="O258" s="2"/>
      <c r="P258" s="2"/>
      <c r="Q258" s="2"/>
      <c r="R258" s="2"/>
      <c r="S258" s="2"/>
      <c r="T258" s="2"/>
      <c r="U258" s="220"/>
      <c r="V258" s="220"/>
      <c r="W258" s="220"/>
    </row>
    <row r="259" spans="1:23" ht="5.0999999999999996" customHeight="1" x14ac:dyDescent="0.15">
      <c r="A259" s="220"/>
      <c r="B259" s="2"/>
      <c r="C259" s="2"/>
      <c r="D259" s="2"/>
      <c r="E259" s="2"/>
      <c r="F259" s="2"/>
      <c r="G259" s="2"/>
      <c r="H259" s="2"/>
      <c r="I259" s="2"/>
      <c r="J259" s="2"/>
      <c r="K259" s="2"/>
      <c r="L259" s="2"/>
      <c r="M259" s="2"/>
      <c r="N259" s="2"/>
      <c r="O259" s="2"/>
      <c r="P259" s="2"/>
      <c r="Q259" s="2"/>
      <c r="R259" s="2"/>
      <c r="S259" s="2"/>
      <c r="T259" s="2"/>
      <c r="U259" s="220"/>
      <c r="V259" s="220"/>
      <c r="W259" s="220"/>
    </row>
    <row r="260" spans="1:23" x14ac:dyDescent="0.15">
      <c r="A260" s="220"/>
      <c r="B260" s="2"/>
      <c r="C260" s="2" t="s">
        <v>53</v>
      </c>
      <c r="D260" s="2"/>
      <c r="E260" s="2"/>
      <c r="F260" s="2"/>
      <c r="G260" s="2"/>
      <c r="H260" s="2"/>
      <c r="I260" s="2"/>
      <c r="J260" s="2"/>
      <c r="K260" s="2"/>
      <c r="L260" s="2"/>
      <c r="M260" s="2"/>
      <c r="N260" s="2"/>
      <c r="O260" s="2"/>
      <c r="P260" s="2"/>
      <c r="Q260" s="2"/>
      <c r="R260" s="2"/>
      <c r="S260" s="2"/>
      <c r="T260" s="2"/>
      <c r="U260" s="220"/>
      <c r="V260" s="220"/>
      <c r="W260" s="220"/>
    </row>
    <row r="261" spans="1:23" ht="5.0999999999999996" customHeight="1" thickBot="1" x14ac:dyDescent="0.2">
      <c r="A261" s="220"/>
      <c r="B261" s="2"/>
      <c r="C261" s="2"/>
      <c r="D261" s="2"/>
      <c r="E261" s="2"/>
      <c r="F261" s="2"/>
      <c r="G261" s="2"/>
      <c r="H261" s="2"/>
      <c r="I261" s="2"/>
      <c r="J261" s="2"/>
      <c r="K261" s="2"/>
      <c r="L261" s="2"/>
      <c r="M261" s="2"/>
      <c r="N261" s="2"/>
      <c r="O261" s="2"/>
      <c r="P261" s="2"/>
      <c r="Q261" s="2"/>
      <c r="R261" s="2"/>
      <c r="S261" s="2"/>
      <c r="T261" s="2"/>
      <c r="U261" s="220"/>
      <c r="V261" s="220"/>
      <c r="W261" s="220"/>
    </row>
    <row r="262" spans="1:23" ht="14.25" thickBot="1" x14ac:dyDescent="0.2">
      <c r="A262" s="220"/>
      <c r="B262" s="2"/>
      <c r="C262" s="2"/>
      <c r="D262" s="2"/>
      <c r="E262" s="2"/>
      <c r="F262" s="2"/>
      <c r="G262" s="63" t="s">
        <v>50</v>
      </c>
      <c r="H262" s="63"/>
      <c r="I262" s="313"/>
      <c r="J262" s="314"/>
      <c r="K262" s="315"/>
      <c r="L262" s="2"/>
      <c r="M262" s="65" t="s">
        <v>51</v>
      </c>
      <c r="N262" s="2"/>
      <c r="O262" s="2"/>
      <c r="P262" s="2"/>
      <c r="Q262" s="2"/>
      <c r="R262" s="2"/>
      <c r="S262" s="2"/>
      <c r="T262" s="2"/>
      <c r="U262" s="220"/>
      <c r="V262" s="220"/>
      <c r="W262" s="220"/>
    </row>
    <row r="263" spans="1:23" ht="5.0999999999999996" customHeight="1" thickBot="1" x14ac:dyDescent="0.2">
      <c r="A263" s="220"/>
      <c r="B263" s="2"/>
      <c r="C263" s="2"/>
      <c r="D263" s="2"/>
      <c r="E263" s="2"/>
      <c r="F263" s="2"/>
      <c r="G263" s="2"/>
      <c r="H263" s="2"/>
      <c r="I263" s="2"/>
      <c r="J263" s="2"/>
      <c r="K263" s="2"/>
      <c r="L263" s="2"/>
      <c r="M263" s="2"/>
      <c r="N263" s="2"/>
      <c r="O263" s="2"/>
      <c r="P263" s="2"/>
      <c r="Q263" s="2"/>
      <c r="R263" s="2"/>
      <c r="S263" s="2"/>
      <c r="T263" s="2"/>
      <c r="U263" s="220"/>
      <c r="V263" s="220"/>
      <c r="W263" s="220"/>
    </row>
    <row r="264" spans="1:23" ht="14.25" thickBot="1" x14ac:dyDescent="0.2">
      <c r="A264" s="220"/>
      <c r="B264" s="2"/>
      <c r="C264" s="2"/>
      <c r="D264" s="2"/>
      <c r="E264" s="2"/>
      <c r="F264" s="2"/>
      <c r="G264" s="63" t="s">
        <v>44</v>
      </c>
      <c r="H264" s="63"/>
      <c r="I264" s="313"/>
      <c r="J264" s="314"/>
      <c r="K264" s="315"/>
      <c r="L264" s="2"/>
      <c r="M264" s="65" t="s">
        <v>52</v>
      </c>
      <c r="N264" s="2"/>
      <c r="O264" s="2"/>
      <c r="P264" s="2"/>
      <c r="Q264" s="2"/>
      <c r="R264" s="2"/>
      <c r="S264" s="2"/>
      <c r="T264" s="2"/>
      <c r="U264" s="220"/>
      <c r="V264" s="220"/>
      <c r="W264" s="220"/>
    </row>
    <row r="265" spans="1:23" ht="5.0999999999999996" customHeight="1" thickBot="1" x14ac:dyDescent="0.2">
      <c r="A265" s="220"/>
      <c r="B265" s="2"/>
      <c r="C265" s="2"/>
      <c r="D265" s="2"/>
      <c r="E265" s="2"/>
      <c r="F265" s="2"/>
      <c r="G265" s="2"/>
      <c r="H265" s="2"/>
      <c r="I265" s="2"/>
      <c r="J265" s="2"/>
      <c r="K265" s="2"/>
      <c r="L265" s="2"/>
      <c r="M265" s="2"/>
      <c r="N265" s="2"/>
      <c r="O265" s="2"/>
      <c r="P265" s="2"/>
      <c r="Q265" s="2"/>
      <c r="R265" s="2"/>
      <c r="S265" s="2"/>
      <c r="T265" s="2"/>
      <c r="U265" s="220"/>
      <c r="V265" s="220"/>
      <c r="W265" s="220"/>
    </row>
    <row r="266" spans="1:23" ht="14.25" thickBot="1" x14ac:dyDescent="0.2">
      <c r="A266" s="220"/>
      <c r="B266" s="2"/>
      <c r="C266" s="2"/>
      <c r="D266" s="2"/>
      <c r="E266" s="2"/>
      <c r="F266" s="2"/>
      <c r="G266" s="63" t="s">
        <v>45</v>
      </c>
      <c r="H266" s="63"/>
      <c r="I266" s="313"/>
      <c r="J266" s="314"/>
      <c r="K266" s="315"/>
      <c r="L266" s="2"/>
      <c r="M266" s="65" t="s">
        <v>46</v>
      </c>
      <c r="N266" s="2"/>
      <c r="O266" s="2"/>
      <c r="P266" s="2"/>
      <c r="Q266" s="2"/>
      <c r="R266" s="2"/>
      <c r="S266" s="2"/>
      <c r="T266" s="2"/>
      <c r="U266" s="220"/>
      <c r="V266" s="220"/>
      <c r="W266" s="220"/>
    </row>
    <row r="267" spans="1:23" ht="5.0999999999999996" customHeight="1" thickBot="1" x14ac:dyDescent="0.2">
      <c r="A267" s="220"/>
      <c r="B267" s="2"/>
      <c r="C267" s="2"/>
      <c r="D267" s="2"/>
      <c r="E267" s="2"/>
      <c r="F267" s="2"/>
      <c r="G267" s="2"/>
      <c r="H267" s="2"/>
      <c r="I267" s="2"/>
      <c r="J267" s="2"/>
      <c r="K267" s="2"/>
      <c r="L267" s="2"/>
      <c r="M267" s="2"/>
      <c r="N267" s="2"/>
      <c r="O267" s="2"/>
      <c r="P267" s="2"/>
      <c r="Q267" s="2"/>
      <c r="R267" s="2"/>
      <c r="S267" s="2"/>
      <c r="T267" s="2"/>
      <c r="U267" s="220"/>
      <c r="V267" s="220"/>
      <c r="W267" s="220"/>
    </row>
    <row r="268" spans="1:23" ht="14.25" thickBot="1" x14ac:dyDescent="0.2">
      <c r="A268" s="220"/>
      <c r="B268" s="2"/>
      <c r="C268" s="2"/>
      <c r="D268" s="2"/>
      <c r="E268" s="2"/>
      <c r="F268" s="2"/>
      <c r="G268" s="63" t="s">
        <v>47</v>
      </c>
      <c r="H268" s="63"/>
      <c r="I268" s="273">
        <f>I262+I264+I266</f>
        <v>0</v>
      </c>
      <c r="J268" s="274"/>
      <c r="K268" s="275"/>
      <c r="L268" s="2"/>
      <c r="M268" s="2" t="s">
        <v>641</v>
      </c>
      <c r="N268" s="2"/>
      <c r="O268" s="2"/>
      <c r="P268" s="2"/>
      <c r="Q268" s="2"/>
      <c r="R268" s="2"/>
      <c r="S268" s="2"/>
      <c r="T268" s="2"/>
      <c r="U268" s="220"/>
      <c r="V268" s="220"/>
      <c r="W268" s="220"/>
    </row>
    <row r="269" spans="1:23" ht="5.0999999999999996" customHeight="1" thickBot="1" x14ac:dyDescent="0.2">
      <c r="A269" s="220"/>
      <c r="B269" s="2"/>
      <c r="C269" s="2"/>
      <c r="D269" s="2"/>
      <c r="E269" s="2"/>
      <c r="F269" s="2"/>
      <c r="G269" s="2"/>
      <c r="H269" s="2"/>
      <c r="I269" s="2"/>
      <c r="J269" s="2"/>
      <c r="K269" s="2"/>
      <c r="L269" s="2"/>
      <c r="M269" s="2"/>
      <c r="N269" s="2"/>
      <c r="O269" s="2"/>
      <c r="P269" s="2"/>
      <c r="Q269" s="2"/>
      <c r="R269" s="2"/>
      <c r="S269" s="2"/>
      <c r="T269" s="2"/>
      <c r="U269" s="220"/>
      <c r="V269" s="220"/>
      <c r="W269" s="220"/>
    </row>
    <row r="270" spans="1:23" ht="14.25" thickBot="1" x14ac:dyDescent="0.2">
      <c r="A270" s="220"/>
      <c r="B270" s="2"/>
      <c r="C270" s="2"/>
      <c r="D270" s="2"/>
      <c r="E270" s="2"/>
      <c r="F270" s="2"/>
      <c r="G270" s="63" t="s">
        <v>48</v>
      </c>
      <c r="H270" s="63"/>
      <c r="I270" s="273">
        <f>IF(ROUNDDOWN(I268/2,-3)&gt;=25000000,25000000,ROUNDDOWN(I268/2,-3))</f>
        <v>0</v>
      </c>
      <c r="J270" s="274"/>
      <c r="K270" s="275"/>
      <c r="L270" s="2"/>
      <c r="M270" s="2" t="s">
        <v>641</v>
      </c>
      <c r="N270" s="2"/>
      <c r="O270" s="2"/>
      <c r="P270" s="2"/>
      <c r="Q270" s="2"/>
      <c r="R270" s="2"/>
      <c r="S270" s="2"/>
      <c r="T270" s="2"/>
      <c r="U270" s="220"/>
      <c r="V270" s="220"/>
      <c r="W270" s="220"/>
    </row>
    <row r="271" spans="1:23" ht="5.0999999999999996" customHeight="1" x14ac:dyDescent="0.15">
      <c r="A271" s="220"/>
      <c r="B271" s="2"/>
      <c r="C271" s="2"/>
      <c r="D271" s="2"/>
      <c r="E271" s="2"/>
      <c r="F271" s="2"/>
      <c r="G271" s="2"/>
      <c r="H271" s="2"/>
      <c r="I271" s="2"/>
      <c r="J271" s="2"/>
      <c r="K271" s="2"/>
      <c r="L271" s="2"/>
      <c r="M271" s="2"/>
      <c r="N271" s="2"/>
      <c r="O271" s="2"/>
      <c r="P271" s="2"/>
      <c r="Q271" s="2"/>
      <c r="R271" s="2"/>
      <c r="S271" s="2"/>
      <c r="T271" s="2"/>
      <c r="U271" s="220"/>
      <c r="V271" s="220"/>
      <c r="W271" s="220"/>
    </row>
    <row r="272" spans="1:23" x14ac:dyDescent="0.15">
      <c r="A272" s="220"/>
      <c r="B272" s="2"/>
      <c r="C272" s="2" t="s">
        <v>54</v>
      </c>
      <c r="D272" s="2"/>
      <c r="E272" s="2"/>
      <c r="F272" s="2"/>
      <c r="G272" s="2"/>
      <c r="H272" s="2"/>
      <c r="I272" s="2"/>
      <c r="J272" s="2"/>
      <c r="K272" s="2"/>
      <c r="L272" s="2"/>
      <c r="M272" s="2"/>
      <c r="N272" s="2"/>
      <c r="O272" s="2"/>
      <c r="P272" s="2"/>
      <c r="Q272" s="2"/>
      <c r="R272" s="2"/>
      <c r="S272" s="2"/>
      <c r="T272" s="2"/>
      <c r="U272" s="220"/>
      <c r="V272" s="220"/>
      <c r="W272" s="220"/>
    </row>
    <row r="273" spans="1:23" ht="5.0999999999999996" customHeight="1" thickBot="1" x14ac:dyDescent="0.2">
      <c r="A273" s="220"/>
      <c r="B273" s="2"/>
      <c r="C273" s="2"/>
      <c r="D273" s="2"/>
      <c r="E273" s="2"/>
      <c r="F273" s="2"/>
      <c r="G273" s="2"/>
      <c r="H273" s="2"/>
      <c r="I273" s="2"/>
      <c r="J273" s="2"/>
      <c r="K273" s="2"/>
      <c r="L273" s="2"/>
      <c r="M273" s="2"/>
      <c r="N273" s="2"/>
      <c r="O273" s="2"/>
      <c r="P273" s="2"/>
      <c r="Q273" s="2"/>
      <c r="R273" s="2"/>
      <c r="S273" s="2"/>
      <c r="T273" s="2"/>
      <c r="U273" s="220"/>
      <c r="V273" s="220"/>
      <c r="W273" s="220"/>
    </row>
    <row r="274" spans="1:23" ht="14.25" thickBot="1" x14ac:dyDescent="0.2">
      <c r="A274" s="220"/>
      <c r="B274" s="2"/>
      <c r="C274" s="2"/>
      <c r="D274" s="2"/>
      <c r="E274" s="2"/>
      <c r="F274" s="2"/>
      <c r="G274" s="63" t="s">
        <v>50</v>
      </c>
      <c r="H274" s="63"/>
      <c r="I274" s="313"/>
      <c r="J274" s="314"/>
      <c r="K274" s="315"/>
      <c r="L274" s="2"/>
      <c r="M274" s="65" t="s">
        <v>51</v>
      </c>
      <c r="N274" s="2"/>
      <c r="O274" s="2"/>
      <c r="P274" s="2"/>
      <c r="Q274" s="2"/>
      <c r="R274" s="2"/>
      <c r="S274" s="2"/>
      <c r="T274" s="2"/>
      <c r="U274" s="220"/>
      <c r="V274" s="220"/>
      <c r="W274" s="220"/>
    </row>
    <row r="275" spans="1:23" ht="5.0999999999999996" customHeight="1" thickBot="1" x14ac:dyDescent="0.2">
      <c r="A275" s="220"/>
      <c r="B275" s="2"/>
      <c r="C275" s="2"/>
      <c r="D275" s="2"/>
      <c r="E275" s="2"/>
      <c r="F275" s="2"/>
      <c r="G275" s="2"/>
      <c r="H275" s="2"/>
      <c r="I275" s="2"/>
      <c r="J275" s="2"/>
      <c r="K275" s="2"/>
      <c r="L275" s="2"/>
      <c r="M275" s="2"/>
      <c r="N275" s="2"/>
      <c r="O275" s="2"/>
      <c r="P275" s="2"/>
      <c r="Q275" s="2"/>
      <c r="R275" s="2"/>
      <c r="S275" s="2"/>
      <c r="T275" s="2"/>
      <c r="U275" s="220"/>
      <c r="V275" s="220"/>
      <c r="W275" s="220"/>
    </row>
    <row r="276" spans="1:23" ht="14.25" thickBot="1" x14ac:dyDescent="0.2">
      <c r="A276" s="220"/>
      <c r="B276" s="2"/>
      <c r="C276" s="2"/>
      <c r="D276" s="2"/>
      <c r="E276" s="2"/>
      <c r="F276" s="2"/>
      <c r="G276" s="63" t="s">
        <v>44</v>
      </c>
      <c r="H276" s="63"/>
      <c r="I276" s="313"/>
      <c r="J276" s="314"/>
      <c r="K276" s="315"/>
      <c r="L276" s="2"/>
      <c r="M276" s="65" t="s">
        <v>52</v>
      </c>
      <c r="N276" s="2"/>
      <c r="O276" s="2"/>
      <c r="P276" s="2"/>
      <c r="Q276" s="2"/>
      <c r="R276" s="2"/>
      <c r="S276" s="2"/>
      <c r="T276" s="2"/>
      <c r="U276" s="220"/>
      <c r="V276" s="220"/>
      <c r="W276" s="220"/>
    </row>
    <row r="277" spans="1:23" ht="5.0999999999999996" customHeight="1" thickBot="1" x14ac:dyDescent="0.2">
      <c r="A277" s="220"/>
      <c r="B277" s="2"/>
      <c r="C277" s="2"/>
      <c r="D277" s="2"/>
      <c r="E277" s="2"/>
      <c r="F277" s="2"/>
      <c r="G277" s="2"/>
      <c r="H277" s="2"/>
      <c r="I277" s="2"/>
      <c r="J277" s="2"/>
      <c r="K277" s="2"/>
      <c r="L277" s="2"/>
      <c r="M277" s="2"/>
      <c r="N277" s="2"/>
      <c r="O277" s="2"/>
      <c r="P277" s="2"/>
      <c r="Q277" s="2"/>
      <c r="R277" s="2"/>
      <c r="S277" s="2"/>
      <c r="T277" s="2"/>
      <c r="U277" s="220"/>
      <c r="V277" s="220"/>
      <c r="W277" s="220"/>
    </row>
    <row r="278" spans="1:23" ht="14.25" thickBot="1" x14ac:dyDescent="0.2">
      <c r="A278" s="220"/>
      <c r="B278" s="2"/>
      <c r="C278" s="2"/>
      <c r="D278" s="2"/>
      <c r="E278" s="2"/>
      <c r="F278" s="2"/>
      <c r="G278" s="63" t="s">
        <v>45</v>
      </c>
      <c r="H278" s="63"/>
      <c r="I278" s="313"/>
      <c r="J278" s="314"/>
      <c r="K278" s="315"/>
      <c r="L278" s="2"/>
      <c r="M278" s="65" t="s">
        <v>46</v>
      </c>
      <c r="N278" s="2"/>
      <c r="O278" s="2"/>
      <c r="P278" s="2"/>
      <c r="Q278" s="2"/>
      <c r="R278" s="2"/>
      <c r="S278" s="2"/>
      <c r="T278" s="2"/>
      <c r="U278" s="220"/>
      <c r="V278" s="220"/>
      <c r="W278" s="220"/>
    </row>
    <row r="279" spans="1:23" ht="5.0999999999999996" customHeight="1" thickBot="1" x14ac:dyDescent="0.2">
      <c r="A279" s="220"/>
      <c r="B279" s="2"/>
      <c r="C279" s="2"/>
      <c r="D279" s="2"/>
      <c r="E279" s="2"/>
      <c r="F279" s="2"/>
      <c r="G279" s="2"/>
      <c r="H279" s="2"/>
      <c r="I279" s="2"/>
      <c r="J279" s="2"/>
      <c r="K279" s="2"/>
      <c r="L279" s="2"/>
      <c r="M279" s="2"/>
      <c r="N279" s="2"/>
      <c r="O279" s="2"/>
      <c r="P279" s="2"/>
      <c r="Q279" s="2"/>
      <c r="R279" s="2"/>
      <c r="S279" s="2"/>
      <c r="T279" s="2"/>
      <c r="U279" s="220"/>
      <c r="V279" s="220"/>
      <c r="W279" s="220"/>
    </row>
    <row r="280" spans="1:23" ht="14.25" thickBot="1" x14ac:dyDescent="0.2">
      <c r="A280" s="220"/>
      <c r="B280" s="2"/>
      <c r="C280" s="2"/>
      <c r="D280" s="2"/>
      <c r="E280" s="2"/>
      <c r="F280" s="2"/>
      <c r="G280" s="63" t="s">
        <v>47</v>
      </c>
      <c r="H280" s="63"/>
      <c r="I280" s="273">
        <f>I274+I276+I278</f>
        <v>0</v>
      </c>
      <c r="J280" s="274"/>
      <c r="K280" s="275"/>
      <c r="L280" s="2"/>
      <c r="M280" s="2" t="s">
        <v>641</v>
      </c>
      <c r="N280" s="2"/>
      <c r="O280" s="2"/>
      <c r="P280" s="2"/>
      <c r="Q280" s="2"/>
      <c r="R280" s="2"/>
      <c r="S280" s="2"/>
      <c r="T280" s="2"/>
      <c r="U280" s="220"/>
      <c r="V280" s="220"/>
      <c r="W280" s="220"/>
    </row>
    <row r="281" spans="1:23" ht="5.0999999999999996" customHeight="1" thickBot="1" x14ac:dyDescent="0.2">
      <c r="A281" s="220"/>
      <c r="B281" s="2"/>
      <c r="C281" s="2"/>
      <c r="D281" s="2"/>
      <c r="E281" s="2"/>
      <c r="F281" s="2"/>
      <c r="G281" s="2"/>
      <c r="H281" s="2"/>
      <c r="I281" s="2"/>
      <c r="J281" s="2"/>
      <c r="K281" s="2"/>
      <c r="L281" s="2"/>
      <c r="M281" s="2"/>
      <c r="N281" s="2"/>
      <c r="O281" s="2"/>
      <c r="P281" s="2"/>
      <c r="Q281" s="2"/>
      <c r="R281" s="2"/>
      <c r="S281" s="2"/>
      <c r="T281" s="2"/>
      <c r="U281" s="220"/>
      <c r="V281" s="220"/>
      <c r="W281" s="220"/>
    </row>
    <row r="282" spans="1:23" ht="14.25" thickBot="1" x14ac:dyDescent="0.2">
      <c r="A282" s="220"/>
      <c r="B282" s="2"/>
      <c r="C282" s="2"/>
      <c r="D282" s="2"/>
      <c r="E282" s="2"/>
      <c r="F282" s="2"/>
      <c r="G282" s="63" t="s">
        <v>48</v>
      </c>
      <c r="H282" s="63"/>
      <c r="I282" s="273">
        <f>ROUNDDOWN(I280/2,-3)</f>
        <v>0</v>
      </c>
      <c r="J282" s="274"/>
      <c r="K282" s="275"/>
      <c r="L282" s="2"/>
      <c r="M282" s="2" t="s">
        <v>641</v>
      </c>
      <c r="N282" s="2"/>
      <c r="O282" s="2"/>
      <c r="P282" s="2"/>
      <c r="Q282" s="2"/>
      <c r="R282" s="2"/>
      <c r="S282" s="2"/>
      <c r="T282" s="2"/>
      <c r="U282" s="220"/>
      <c r="V282" s="220"/>
      <c r="W282" s="220"/>
    </row>
    <row r="283" spans="1:23" ht="5.0999999999999996" customHeight="1" x14ac:dyDescent="0.15">
      <c r="A283" s="220"/>
      <c r="B283" s="2"/>
      <c r="C283" s="2"/>
      <c r="D283" s="2"/>
      <c r="E283" s="2"/>
      <c r="F283" s="2"/>
      <c r="G283" s="2"/>
      <c r="H283" s="2"/>
      <c r="I283" s="2"/>
      <c r="J283" s="2"/>
      <c r="K283" s="2"/>
      <c r="L283" s="2"/>
      <c r="M283" s="2"/>
      <c r="N283" s="2"/>
      <c r="O283" s="2"/>
      <c r="P283" s="2"/>
      <c r="Q283" s="2"/>
      <c r="R283" s="2"/>
      <c r="S283" s="2"/>
      <c r="T283" s="2"/>
      <c r="U283" s="220"/>
      <c r="V283" s="220"/>
      <c r="W283" s="220"/>
    </row>
    <row r="284" spans="1:23" x14ac:dyDescent="0.15">
      <c r="A284" s="220"/>
      <c r="B284" s="2"/>
      <c r="C284" s="2" t="s">
        <v>55</v>
      </c>
      <c r="D284" s="2"/>
      <c r="E284" s="2"/>
      <c r="F284" s="2"/>
      <c r="G284" s="2"/>
      <c r="H284" s="2"/>
      <c r="I284" s="2"/>
      <c r="J284" s="2"/>
      <c r="K284" s="2"/>
      <c r="L284" s="2"/>
      <c r="M284" s="2"/>
      <c r="N284" s="2"/>
      <c r="O284" s="2"/>
      <c r="P284" s="2"/>
      <c r="Q284" s="2"/>
      <c r="R284" s="2"/>
      <c r="S284" s="2"/>
      <c r="T284" s="2"/>
      <c r="U284" s="220"/>
      <c r="V284" s="220"/>
      <c r="W284" s="220"/>
    </row>
    <row r="285" spans="1:23" ht="5.0999999999999996" customHeight="1" thickBot="1" x14ac:dyDescent="0.2">
      <c r="A285" s="220"/>
      <c r="B285" s="2"/>
      <c r="C285" s="2"/>
      <c r="D285" s="2"/>
      <c r="E285" s="2"/>
      <c r="F285" s="2"/>
      <c r="G285" s="2"/>
      <c r="H285" s="2"/>
      <c r="I285" s="2"/>
      <c r="J285" s="2"/>
      <c r="K285" s="2"/>
      <c r="L285" s="2"/>
      <c r="M285" s="2"/>
      <c r="N285" s="2"/>
      <c r="O285" s="2"/>
      <c r="P285" s="2"/>
      <c r="Q285" s="2"/>
      <c r="R285" s="2"/>
      <c r="S285" s="2"/>
      <c r="T285" s="2"/>
      <c r="U285" s="220"/>
      <c r="V285" s="220"/>
      <c r="W285" s="220"/>
    </row>
    <row r="286" spans="1:23" ht="14.25" thickBot="1" x14ac:dyDescent="0.2">
      <c r="A286" s="220"/>
      <c r="B286" s="2"/>
      <c r="C286" s="2"/>
      <c r="D286" s="2"/>
      <c r="E286" s="2"/>
      <c r="F286" s="2"/>
      <c r="G286" s="63" t="s">
        <v>56</v>
      </c>
      <c r="H286" s="63"/>
      <c r="I286" s="267">
        <f>反映シート!G287</f>
        <v>0</v>
      </c>
      <c r="J286" s="268"/>
      <c r="K286" s="269"/>
      <c r="L286" s="2"/>
      <c r="M286" s="2" t="s">
        <v>641</v>
      </c>
      <c r="N286" s="2"/>
      <c r="O286" s="2"/>
      <c r="P286" s="2"/>
      <c r="Q286" s="2"/>
      <c r="R286" s="2"/>
      <c r="S286" s="2"/>
      <c r="T286" s="2"/>
      <c r="U286" s="220"/>
      <c r="V286" s="220"/>
      <c r="W286" s="220"/>
    </row>
    <row r="287" spans="1:23" ht="5.0999999999999996" customHeight="1" thickBot="1" x14ac:dyDescent="0.2">
      <c r="A287" s="220"/>
      <c r="B287" s="2"/>
      <c r="C287" s="2"/>
      <c r="D287" s="2"/>
      <c r="E287" s="2"/>
      <c r="F287" s="2"/>
      <c r="G287" s="2"/>
      <c r="H287" s="2"/>
      <c r="I287" s="2"/>
      <c r="J287" s="2"/>
      <c r="K287" s="2"/>
      <c r="L287" s="2"/>
      <c r="M287" s="2"/>
      <c r="N287" s="2"/>
      <c r="O287" s="2"/>
      <c r="P287" s="2"/>
      <c r="Q287" s="2"/>
      <c r="R287" s="2"/>
      <c r="S287" s="2"/>
      <c r="T287" s="2"/>
      <c r="U287" s="220"/>
      <c r="V287" s="220"/>
      <c r="W287" s="220"/>
    </row>
    <row r="288" spans="1:23" ht="14.25" thickBot="1" x14ac:dyDescent="0.2">
      <c r="A288" s="220"/>
      <c r="B288" s="2"/>
      <c r="C288" s="2"/>
      <c r="D288" s="2"/>
      <c r="E288" s="2"/>
      <c r="F288" s="2"/>
      <c r="G288" s="63" t="s">
        <v>57</v>
      </c>
      <c r="H288" s="63"/>
      <c r="I288" s="267">
        <f>反映シート!G289</f>
        <v>0</v>
      </c>
      <c r="J288" s="268"/>
      <c r="K288" s="269"/>
      <c r="L288" s="2"/>
      <c r="M288" s="2" t="s">
        <v>641</v>
      </c>
      <c r="N288" s="2"/>
      <c r="O288" s="2"/>
      <c r="P288" s="2"/>
      <c r="Q288" s="2"/>
      <c r="R288" s="2"/>
      <c r="S288" s="2"/>
      <c r="T288" s="2"/>
      <c r="U288" s="220"/>
      <c r="V288" s="220"/>
      <c r="W288" s="220"/>
    </row>
    <row r="289" spans="1:23" ht="5.0999999999999996" customHeight="1" x14ac:dyDescent="0.15">
      <c r="A289" s="220"/>
      <c r="B289" s="2"/>
      <c r="C289" s="2"/>
      <c r="D289" s="2"/>
      <c r="E289" s="2"/>
      <c r="F289" s="2"/>
      <c r="G289" s="2"/>
      <c r="H289" s="2"/>
      <c r="I289" s="2"/>
      <c r="J289" s="2"/>
      <c r="K289" s="2"/>
      <c r="L289" s="2"/>
      <c r="M289" s="2"/>
      <c r="N289" s="2"/>
      <c r="O289" s="2"/>
      <c r="P289" s="2"/>
      <c r="Q289" s="2"/>
      <c r="R289" s="2"/>
      <c r="S289" s="2"/>
      <c r="T289" s="2"/>
      <c r="U289" s="220"/>
      <c r="V289" s="220"/>
      <c r="W289" s="220"/>
    </row>
    <row r="290" spans="1:23" x14ac:dyDescent="0.15">
      <c r="A290" s="220"/>
      <c r="B290" s="2"/>
      <c r="C290" s="122" t="s">
        <v>58</v>
      </c>
      <c r="D290" s="6"/>
      <c r="E290" s="6"/>
      <c r="F290" s="6"/>
      <c r="G290" s="2"/>
      <c r="H290" s="2"/>
      <c r="I290" s="2"/>
      <c r="J290" s="2"/>
      <c r="K290" s="2"/>
      <c r="L290" s="2"/>
      <c r="M290" s="2"/>
      <c r="N290" s="2"/>
      <c r="O290" s="2"/>
      <c r="P290" s="2"/>
      <c r="Q290" s="2"/>
      <c r="R290" s="2"/>
      <c r="S290" s="2"/>
      <c r="T290" s="2"/>
      <c r="U290" s="220"/>
      <c r="V290" s="220"/>
      <c r="W290" s="220"/>
    </row>
    <row r="291" spans="1:23" ht="5.0999999999999996" customHeight="1" x14ac:dyDescent="0.15">
      <c r="A291" s="220"/>
      <c r="B291" s="2"/>
      <c r="C291" s="2"/>
      <c r="D291" s="2"/>
      <c r="E291" s="2"/>
      <c r="F291" s="2"/>
      <c r="G291" s="2"/>
      <c r="H291" s="2"/>
      <c r="I291" s="2"/>
      <c r="J291" s="2"/>
      <c r="K291" s="2"/>
      <c r="L291" s="2"/>
      <c r="M291" s="2"/>
      <c r="N291" s="2"/>
      <c r="O291" s="2"/>
      <c r="P291" s="2"/>
      <c r="Q291" s="2"/>
      <c r="R291" s="2"/>
      <c r="S291" s="2"/>
      <c r="T291" s="2"/>
      <c r="U291" s="220"/>
      <c r="V291" s="220"/>
      <c r="W291" s="220"/>
    </row>
    <row r="292" spans="1:23" x14ac:dyDescent="0.15">
      <c r="A292" s="220"/>
      <c r="B292" s="220"/>
      <c r="C292" s="220"/>
      <c r="D292" s="220"/>
      <c r="E292" s="220"/>
      <c r="F292" s="220"/>
      <c r="G292" s="220"/>
      <c r="H292" s="220"/>
      <c r="I292" s="220"/>
      <c r="J292" s="220"/>
      <c r="K292" s="220"/>
      <c r="L292" s="220"/>
      <c r="M292" s="220"/>
      <c r="N292" s="220"/>
      <c r="O292" s="220"/>
      <c r="P292" s="220"/>
      <c r="Q292" s="220"/>
      <c r="R292" s="220"/>
      <c r="S292" s="220"/>
      <c r="T292" s="220"/>
      <c r="U292" s="220"/>
      <c r="V292" s="220"/>
      <c r="W292" s="220"/>
    </row>
    <row r="293" spans="1:23" ht="5.0999999999999996" customHeight="1" x14ac:dyDescent="0.15">
      <c r="A293" s="220"/>
      <c r="B293" s="4"/>
      <c r="C293" s="4"/>
      <c r="D293" s="4"/>
      <c r="E293" s="4"/>
      <c r="F293" s="4"/>
      <c r="G293" s="4"/>
      <c r="H293" s="4"/>
      <c r="I293" s="4"/>
      <c r="J293" s="4"/>
      <c r="K293" s="4"/>
      <c r="L293" s="4"/>
      <c r="M293" s="4"/>
      <c r="N293" s="4"/>
      <c r="O293" s="4"/>
      <c r="P293" s="4"/>
      <c r="Q293" s="4"/>
      <c r="R293" s="4"/>
      <c r="S293" s="4"/>
      <c r="T293" s="4"/>
      <c r="U293" s="220"/>
      <c r="V293" s="220"/>
      <c r="W293" s="220"/>
    </row>
    <row r="294" spans="1:23" x14ac:dyDescent="0.15">
      <c r="A294" s="220"/>
      <c r="B294" s="4" t="s">
        <v>636</v>
      </c>
      <c r="C294" s="4"/>
      <c r="D294" s="4"/>
      <c r="E294" s="4"/>
      <c r="F294" s="4"/>
      <c r="G294" s="4"/>
      <c r="H294" s="4"/>
      <c r="I294" s="4"/>
      <c r="J294" s="4"/>
      <c r="K294" s="4"/>
      <c r="L294" s="4"/>
      <c r="M294" s="4"/>
      <c r="N294" s="4"/>
      <c r="O294" s="4"/>
      <c r="P294" s="4"/>
      <c r="Q294" s="4"/>
      <c r="R294" s="4"/>
      <c r="S294" s="4"/>
      <c r="T294" s="4"/>
      <c r="U294" s="220"/>
      <c r="V294" s="220"/>
      <c r="W294" s="220"/>
    </row>
    <row r="295" spans="1:23" ht="5.0999999999999996" customHeight="1" x14ac:dyDescent="0.15">
      <c r="A295" s="220"/>
      <c r="B295" s="4"/>
      <c r="C295" s="4"/>
      <c r="D295" s="4"/>
      <c r="E295" s="4"/>
      <c r="F295" s="4"/>
      <c r="G295" s="4"/>
      <c r="H295" s="4"/>
      <c r="I295" s="4"/>
      <c r="J295" s="4"/>
      <c r="K295" s="4"/>
      <c r="L295" s="4"/>
      <c r="M295" s="4"/>
      <c r="N295" s="4"/>
      <c r="O295" s="4"/>
      <c r="P295" s="4"/>
      <c r="Q295" s="4"/>
      <c r="R295" s="4"/>
      <c r="S295" s="4"/>
      <c r="T295" s="4"/>
      <c r="U295" s="220"/>
      <c r="V295" s="220"/>
      <c r="W295" s="220"/>
    </row>
    <row r="296" spans="1:23" x14ac:dyDescent="0.15">
      <c r="A296" s="220"/>
      <c r="B296" s="4"/>
      <c r="C296" s="66" t="s">
        <v>59</v>
      </c>
      <c r="D296" s="66"/>
      <c r="E296" s="66"/>
      <c r="F296" s="66"/>
      <c r="G296" s="4"/>
      <c r="H296" s="4"/>
      <c r="I296" s="4"/>
      <c r="J296" s="4"/>
      <c r="K296" s="4"/>
      <c r="L296" s="4"/>
      <c r="M296" s="4"/>
      <c r="N296" s="4"/>
      <c r="O296" s="4"/>
      <c r="P296" s="4"/>
      <c r="Q296" s="4"/>
      <c r="R296" s="4"/>
      <c r="S296" s="4"/>
      <c r="T296" s="4"/>
      <c r="U296" s="220"/>
      <c r="V296" s="220"/>
      <c r="W296" s="220"/>
    </row>
    <row r="297" spans="1:23" ht="5.0999999999999996" customHeight="1" x14ac:dyDescent="0.15">
      <c r="A297" s="220"/>
      <c r="B297" s="4"/>
      <c r="C297" s="4"/>
      <c r="D297" s="4"/>
      <c r="E297" s="4"/>
      <c r="F297" s="4"/>
      <c r="G297" s="4"/>
      <c r="H297" s="4"/>
      <c r="I297" s="4"/>
      <c r="J297" s="4"/>
      <c r="K297" s="4"/>
      <c r="L297" s="4"/>
      <c r="M297" s="4"/>
      <c r="N297" s="4"/>
      <c r="O297" s="4"/>
      <c r="P297" s="4"/>
      <c r="Q297" s="4"/>
      <c r="R297" s="4"/>
      <c r="S297" s="4"/>
      <c r="T297" s="4"/>
      <c r="U297" s="220"/>
      <c r="V297" s="220"/>
      <c r="W297" s="220"/>
    </row>
    <row r="298" spans="1:23" x14ac:dyDescent="0.15">
      <c r="A298" s="220"/>
      <c r="B298" s="4"/>
      <c r="C298" s="66" t="s">
        <v>60</v>
      </c>
      <c r="D298" s="66"/>
      <c r="E298" s="66"/>
      <c r="F298" s="66"/>
      <c r="G298" s="4"/>
      <c r="H298" s="4"/>
      <c r="I298" s="4"/>
      <c r="J298" s="4"/>
      <c r="K298" s="4"/>
      <c r="L298" s="4"/>
      <c r="M298" s="4"/>
      <c r="N298" s="4"/>
      <c r="O298" s="4"/>
      <c r="P298" s="4"/>
      <c r="Q298" s="4"/>
      <c r="R298" s="4"/>
      <c r="S298" s="4"/>
      <c r="T298" s="4"/>
      <c r="U298" s="220"/>
      <c r="V298" s="220"/>
      <c r="W298" s="220"/>
    </row>
    <row r="299" spans="1:23" ht="5.0999999999999996" customHeight="1" thickBot="1" x14ac:dyDescent="0.2">
      <c r="A299" s="220"/>
      <c r="B299" s="4"/>
      <c r="C299" s="4"/>
      <c r="D299" s="4"/>
      <c r="E299" s="4"/>
      <c r="F299" s="4"/>
      <c r="G299" s="4"/>
      <c r="H299" s="4"/>
      <c r="I299" s="4"/>
      <c r="J299" s="4"/>
      <c r="K299" s="4"/>
      <c r="L299" s="4"/>
      <c r="M299" s="4"/>
      <c r="N299" s="4"/>
      <c r="O299" s="4"/>
      <c r="P299" s="4"/>
      <c r="Q299" s="4"/>
      <c r="R299" s="4"/>
      <c r="S299" s="4"/>
      <c r="T299" s="4"/>
      <c r="U299" s="220"/>
      <c r="V299" s="220"/>
      <c r="W299" s="220"/>
    </row>
    <row r="300" spans="1:23" ht="14.25" thickBot="1" x14ac:dyDescent="0.2">
      <c r="A300" s="220"/>
      <c r="B300" s="4"/>
      <c r="C300" s="43"/>
      <c r="D300" s="131" t="s">
        <v>61</v>
      </c>
      <c r="E300" s="132"/>
      <c r="F300" s="132"/>
      <c r="G300" s="132"/>
      <c r="H300" s="132"/>
      <c r="I300" s="133" t="s">
        <v>62</v>
      </c>
      <c r="J300" s="132"/>
      <c r="K300" s="132"/>
      <c r="L300" s="132"/>
      <c r="M300" s="132"/>
      <c r="N300" s="132"/>
      <c r="O300" s="132"/>
      <c r="P300" s="132"/>
      <c r="Q300" s="132"/>
      <c r="R300" s="132"/>
      <c r="S300" s="4"/>
      <c r="T300" s="4"/>
      <c r="U300" s="220"/>
      <c r="V300" s="220"/>
      <c r="W300" s="220"/>
    </row>
    <row r="301" spans="1:23" ht="5.0999999999999996" customHeight="1" x14ac:dyDescent="0.15">
      <c r="A301" s="220"/>
      <c r="B301" s="4"/>
      <c r="C301" s="4"/>
      <c r="D301" s="4"/>
      <c r="E301" s="4"/>
      <c r="F301" s="4"/>
      <c r="G301" s="4"/>
      <c r="H301" s="4"/>
      <c r="I301" s="4"/>
      <c r="J301" s="4"/>
      <c r="K301" s="4"/>
      <c r="L301" s="4"/>
      <c r="M301" s="4"/>
      <c r="N301" s="4"/>
      <c r="O301" s="4"/>
      <c r="P301" s="4"/>
      <c r="Q301" s="4"/>
      <c r="R301" s="4"/>
      <c r="S301" s="4"/>
      <c r="T301" s="4"/>
      <c r="U301" s="220"/>
      <c r="V301" s="220"/>
      <c r="W301" s="220"/>
    </row>
    <row r="302" spans="1:23" x14ac:dyDescent="0.15">
      <c r="A302" s="220"/>
      <c r="B302" s="4"/>
      <c r="C302" s="4" t="s">
        <v>43</v>
      </c>
      <c r="D302" s="4"/>
      <c r="E302" s="4"/>
      <c r="F302" s="4"/>
      <c r="G302" s="4"/>
      <c r="H302" s="4"/>
      <c r="I302" s="4"/>
      <c r="J302" s="4"/>
      <c r="K302" s="4"/>
      <c r="L302" s="4"/>
      <c r="M302" s="4"/>
      <c r="N302" s="4"/>
      <c r="O302" s="4"/>
      <c r="P302" s="4"/>
      <c r="Q302" s="4"/>
      <c r="R302" s="4"/>
      <c r="S302" s="4"/>
      <c r="T302" s="4"/>
      <c r="U302" s="220"/>
      <c r="V302" s="220"/>
      <c r="W302" s="220"/>
    </row>
    <row r="303" spans="1:23" ht="5.0999999999999996" customHeight="1" thickBot="1" x14ac:dyDescent="0.2">
      <c r="A303" s="220"/>
      <c r="B303" s="4"/>
      <c r="C303" s="4"/>
      <c r="D303" s="4"/>
      <c r="E303" s="4"/>
      <c r="F303" s="4"/>
      <c r="G303" s="4"/>
      <c r="H303" s="4"/>
      <c r="I303" s="4"/>
      <c r="J303" s="4"/>
      <c r="K303" s="4"/>
      <c r="L303" s="4"/>
      <c r="M303" s="4"/>
      <c r="N303" s="4"/>
      <c r="O303" s="4"/>
      <c r="P303" s="4"/>
      <c r="Q303" s="4"/>
      <c r="R303" s="4"/>
      <c r="S303" s="4"/>
      <c r="T303" s="4"/>
      <c r="U303" s="220"/>
      <c r="V303" s="220"/>
      <c r="W303" s="220"/>
    </row>
    <row r="304" spans="1:23" ht="14.25" thickBot="1" x14ac:dyDescent="0.2">
      <c r="A304" s="220"/>
      <c r="B304" s="4"/>
      <c r="C304" s="4"/>
      <c r="D304" s="4"/>
      <c r="E304" s="4"/>
      <c r="F304" s="4"/>
      <c r="G304" s="58" t="s">
        <v>44</v>
      </c>
      <c r="H304" s="58"/>
      <c r="I304" s="270"/>
      <c r="J304" s="271"/>
      <c r="K304" s="272"/>
      <c r="L304" s="4"/>
      <c r="M304" s="134" t="str">
        <f ca="1">IF(AND(I304&lt;I240,I304&gt;0),"　補助対象経費より金額が低くなっています。","　補助対象経費+ドラレコ、ETC装置、PC本体等")</f>
        <v>　補助対象経費+ドラレコ、ETC装置、PC本体等</v>
      </c>
      <c r="N304" s="4"/>
      <c r="O304" s="4"/>
      <c r="P304" s="4"/>
      <c r="Q304" s="4"/>
      <c r="R304" s="4"/>
      <c r="S304" s="4"/>
      <c r="T304" s="4"/>
      <c r="U304" s="220"/>
      <c r="V304" s="220"/>
      <c r="W304" s="220"/>
    </row>
    <row r="305" spans="1:23" ht="5.0999999999999996" customHeight="1" thickBot="1" x14ac:dyDescent="0.2">
      <c r="A305" s="220"/>
      <c r="B305" s="4"/>
      <c r="C305" s="4"/>
      <c r="D305" s="4"/>
      <c r="E305" s="4"/>
      <c r="F305" s="4"/>
      <c r="G305" s="4"/>
      <c r="H305" s="4"/>
      <c r="I305" s="4"/>
      <c r="J305" s="4"/>
      <c r="K305" s="4"/>
      <c r="L305" s="4"/>
      <c r="M305" s="4"/>
      <c r="N305" s="4"/>
      <c r="O305" s="4"/>
      <c r="P305" s="4"/>
      <c r="Q305" s="4"/>
      <c r="R305" s="4"/>
      <c r="S305" s="4"/>
      <c r="T305" s="4"/>
      <c r="U305" s="220"/>
      <c r="V305" s="220"/>
      <c r="W305" s="220"/>
    </row>
    <row r="306" spans="1:23" ht="14.25" thickBot="1" x14ac:dyDescent="0.2">
      <c r="A306" s="220"/>
      <c r="B306" s="4"/>
      <c r="C306" s="4"/>
      <c r="D306" s="4"/>
      <c r="E306" s="4"/>
      <c r="F306" s="4"/>
      <c r="G306" s="58" t="s">
        <v>45</v>
      </c>
      <c r="H306" s="58"/>
      <c r="I306" s="270"/>
      <c r="J306" s="271"/>
      <c r="K306" s="272"/>
      <c r="L306" s="4"/>
      <c r="M306" s="66" t="str">
        <f ca="1">IF(AND(I306&lt;I242,I306&gt;0),"　補助対象経費より金額が低くなっています。","　補助対象経費+補助対象外設備の取付費用等")</f>
        <v>　補助対象経費+補助対象外設備の取付費用等</v>
      </c>
      <c r="N306" s="4"/>
      <c r="O306" s="4"/>
      <c r="P306" s="4"/>
      <c r="Q306" s="4"/>
      <c r="R306" s="4"/>
      <c r="S306" s="4"/>
      <c r="T306" s="4"/>
      <c r="U306" s="220"/>
      <c r="V306" s="220"/>
      <c r="W306" s="220"/>
    </row>
    <row r="307" spans="1:23" ht="5.0999999999999996" customHeight="1" thickBot="1" x14ac:dyDescent="0.2">
      <c r="A307" s="220"/>
      <c r="B307" s="4"/>
      <c r="C307" s="4"/>
      <c r="D307" s="4"/>
      <c r="E307" s="4"/>
      <c r="F307" s="4"/>
      <c r="G307" s="4"/>
      <c r="H307" s="4"/>
      <c r="I307" s="4"/>
      <c r="J307" s="4"/>
      <c r="K307" s="4"/>
      <c r="L307" s="4"/>
      <c r="M307" s="4"/>
      <c r="N307" s="4"/>
      <c r="O307" s="4"/>
      <c r="P307" s="4"/>
      <c r="Q307" s="4"/>
      <c r="R307" s="4"/>
      <c r="S307" s="4"/>
      <c r="T307" s="4"/>
      <c r="U307" s="220"/>
      <c r="V307" s="220"/>
      <c r="W307" s="220"/>
    </row>
    <row r="308" spans="1:23" ht="14.25" thickBot="1" x14ac:dyDescent="0.2">
      <c r="A308" s="220"/>
      <c r="B308" s="4"/>
      <c r="C308" s="4"/>
      <c r="D308" s="4"/>
      <c r="E308" s="4"/>
      <c r="F308" s="4"/>
      <c r="G308" s="58" t="s">
        <v>47</v>
      </c>
      <c r="H308" s="58"/>
      <c r="I308" s="273">
        <f>I304+I306</f>
        <v>0</v>
      </c>
      <c r="J308" s="274"/>
      <c r="K308" s="275"/>
      <c r="L308" s="4"/>
      <c r="M308" s="4" t="s">
        <v>641</v>
      </c>
      <c r="N308" s="4"/>
      <c r="O308" s="4"/>
      <c r="P308" s="4"/>
      <c r="Q308" s="4"/>
      <c r="R308" s="4"/>
      <c r="S308" s="4"/>
      <c r="T308" s="4"/>
      <c r="U308" s="220"/>
      <c r="V308" s="220"/>
      <c r="W308" s="220"/>
    </row>
    <row r="309" spans="1:23" ht="5.0999999999999996" customHeight="1" x14ac:dyDescent="0.15">
      <c r="A309" s="220"/>
      <c r="B309" s="4"/>
      <c r="C309" s="4"/>
      <c r="D309" s="4"/>
      <c r="E309" s="4"/>
      <c r="F309" s="4"/>
      <c r="G309" s="4"/>
      <c r="H309" s="4"/>
      <c r="I309" s="4"/>
      <c r="J309" s="4"/>
      <c r="K309" s="4"/>
      <c r="L309" s="4"/>
      <c r="M309" s="4"/>
      <c r="N309" s="4"/>
      <c r="O309" s="4"/>
      <c r="P309" s="4"/>
      <c r="Q309" s="4"/>
      <c r="R309" s="4"/>
      <c r="S309" s="4"/>
      <c r="T309" s="4"/>
      <c r="U309" s="220"/>
      <c r="V309" s="220"/>
      <c r="W309" s="220"/>
    </row>
    <row r="310" spans="1:23" x14ac:dyDescent="0.15">
      <c r="A310" s="220"/>
      <c r="B310" s="4"/>
      <c r="C310" s="4" t="s">
        <v>49</v>
      </c>
      <c r="D310" s="4"/>
      <c r="E310" s="4"/>
      <c r="F310" s="4"/>
      <c r="G310" s="4"/>
      <c r="H310" s="4"/>
      <c r="I310" s="4"/>
      <c r="J310" s="4"/>
      <c r="K310" s="4"/>
      <c r="L310" s="4"/>
      <c r="M310" s="4"/>
      <c r="N310" s="4"/>
      <c r="O310" s="4"/>
      <c r="P310" s="4"/>
      <c r="Q310" s="4"/>
      <c r="R310" s="4"/>
      <c r="S310" s="4"/>
      <c r="T310" s="4"/>
      <c r="U310" s="220"/>
      <c r="V310" s="220"/>
      <c r="W310" s="220"/>
    </row>
    <row r="311" spans="1:23" ht="5.0999999999999996" customHeight="1" thickBot="1" x14ac:dyDescent="0.2">
      <c r="A311" s="220"/>
      <c r="B311" s="4"/>
      <c r="C311" s="4"/>
      <c r="D311" s="4"/>
      <c r="E311" s="4"/>
      <c r="F311" s="4"/>
      <c r="G311" s="4"/>
      <c r="H311" s="4"/>
      <c r="I311" s="4"/>
      <c r="J311" s="4"/>
      <c r="K311" s="4"/>
      <c r="L311" s="4"/>
      <c r="M311" s="4"/>
      <c r="N311" s="4"/>
      <c r="O311" s="4"/>
      <c r="P311" s="4"/>
      <c r="Q311" s="4"/>
      <c r="R311" s="4"/>
      <c r="S311" s="4"/>
      <c r="T311" s="4"/>
      <c r="U311" s="220"/>
      <c r="V311" s="220"/>
      <c r="W311" s="220"/>
    </row>
    <row r="312" spans="1:23" ht="14.25" thickBot="1" x14ac:dyDescent="0.2">
      <c r="A312" s="220"/>
      <c r="B312" s="4"/>
      <c r="C312" s="4"/>
      <c r="D312" s="4"/>
      <c r="E312" s="4"/>
      <c r="F312" s="4"/>
      <c r="G312" s="58" t="s">
        <v>50</v>
      </c>
      <c r="H312" s="58"/>
      <c r="I312" s="270"/>
      <c r="J312" s="271"/>
      <c r="K312" s="272"/>
      <c r="L312" s="4"/>
      <c r="M312" s="66" t="str">
        <f>IF(AND(I312&lt;I250,I312&gt;0),"　補助対象経費より金額が低くなっています。","　補助対象経費+補助対象外のシステム開発費等")</f>
        <v>　補助対象経費+補助対象外のシステム開発費等</v>
      </c>
      <c r="N312" s="4"/>
      <c r="O312" s="4"/>
      <c r="P312" s="4"/>
      <c r="Q312" s="4"/>
      <c r="R312" s="4"/>
      <c r="S312" s="4"/>
      <c r="T312" s="4"/>
      <c r="U312" s="220"/>
      <c r="V312" s="220"/>
      <c r="W312" s="220"/>
    </row>
    <row r="313" spans="1:23" ht="5.0999999999999996" customHeight="1" thickBot="1" x14ac:dyDescent="0.2">
      <c r="A313" s="220"/>
      <c r="B313" s="4"/>
      <c r="C313" s="4"/>
      <c r="D313" s="4"/>
      <c r="E313" s="4"/>
      <c r="F313" s="4"/>
      <c r="G313" s="4"/>
      <c r="H313" s="4"/>
      <c r="I313" s="4"/>
      <c r="J313" s="4"/>
      <c r="K313" s="4"/>
      <c r="L313" s="4"/>
      <c r="M313" s="4"/>
      <c r="N313" s="4"/>
      <c r="O313" s="4"/>
      <c r="P313" s="4"/>
      <c r="Q313" s="4"/>
      <c r="R313" s="4"/>
      <c r="S313" s="4"/>
      <c r="T313" s="4"/>
      <c r="U313" s="220"/>
      <c r="V313" s="220"/>
      <c r="W313" s="220"/>
    </row>
    <row r="314" spans="1:23" ht="14.25" thickBot="1" x14ac:dyDescent="0.2">
      <c r="A314" s="220"/>
      <c r="B314" s="4"/>
      <c r="C314" s="4"/>
      <c r="D314" s="4"/>
      <c r="E314" s="4"/>
      <c r="F314" s="4"/>
      <c r="G314" s="58" t="s">
        <v>44</v>
      </c>
      <c r="H314" s="58"/>
      <c r="I314" s="270"/>
      <c r="J314" s="271"/>
      <c r="K314" s="272"/>
      <c r="L314" s="4"/>
      <c r="M314" s="66" t="str">
        <f>IF(AND(I314&lt;I252,I314&gt;0),"　補助対象経費より金額が低くなっています。","　補助対象経費+PC本体、スマートフォン等")</f>
        <v>　補助対象経費+PC本体、スマートフォン等</v>
      </c>
      <c r="N314" s="4"/>
      <c r="O314" s="4"/>
      <c r="P314" s="4"/>
      <c r="Q314" s="4"/>
      <c r="R314" s="4"/>
      <c r="S314" s="4"/>
      <c r="T314" s="4"/>
      <c r="U314" s="220"/>
      <c r="V314" s="220"/>
      <c r="W314" s="220"/>
    </row>
    <row r="315" spans="1:23" ht="5.0999999999999996" customHeight="1" thickBot="1" x14ac:dyDescent="0.2">
      <c r="A315" s="220"/>
      <c r="B315" s="4"/>
      <c r="C315" s="4"/>
      <c r="D315" s="4"/>
      <c r="E315" s="4"/>
      <c r="F315" s="4"/>
      <c r="G315" s="4"/>
      <c r="H315" s="4"/>
      <c r="I315" s="4"/>
      <c r="J315" s="4"/>
      <c r="K315" s="4"/>
      <c r="L315" s="4"/>
      <c r="M315" s="4"/>
      <c r="N315" s="4"/>
      <c r="O315" s="4"/>
      <c r="P315" s="4"/>
      <c r="Q315" s="4"/>
      <c r="R315" s="4"/>
      <c r="S315" s="4"/>
      <c r="T315" s="4"/>
      <c r="U315" s="220"/>
      <c r="V315" s="220"/>
      <c r="W315" s="220"/>
    </row>
    <row r="316" spans="1:23" ht="14.25" thickBot="1" x14ac:dyDescent="0.2">
      <c r="A316" s="220"/>
      <c r="B316" s="4"/>
      <c r="C316" s="4"/>
      <c r="D316" s="4"/>
      <c r="E316" s="4"/>
      <c r="F316" s="4"/>
      <c r="G316" s="58" t="s">
        <v>45</v>
      </c>
      <c r="H316" s="58"/>
      <c r="I316" s="270"/>
      <c r="J316" s="271"/>
      <c r="K316" s="272"/>
      <c r="L316" s="4"/>
      <c r="M316" s="66" t="str">
        <f>IF(AND(I316&lt;I254,I316&gt;0),"　補助対象経費より金額が低くなっています。","　補助対象経費+補助対象外設備の取付費用等")</f>
        <v>　補助対象経費+補助対象外設備の取付費用等</v>
      </c>
      <c r="N316" s="4"/>
      <c r="O316" s="4"/>
      <c r="P316" s="4"/>
      <c r="Q316" s="4"/>
      <c r="R316" s="4"/>
      <c r="S316" s="4"/>
      <c r="T316" s="4"/>
      <c r="U316" s="220"/>
      <c r="V316" s="220"/>
      <c r="W316" s="220"/>
    </row>
    <row r="317" spans="1:23" ht="5.0999999999999996" customHeight="1" thickBot="1" x14ac:dyDescent="0.2">
      <c r="A317" s="220"/>
      <c r="B317" s="4"/>
      <c r="C317" s="4"/>
      <c r="D317" s="4"/>
      <c r="E317" s="4"/>
      <c r="F317" s="4"/>
      <c r="G317" s="4"/>
      <c r="H317" s="4"/>
      <c r="I317" s="4"/>
      <c r="J317" s="4"/>
      <c r="K317" s="4"/>
      <c r="L317" s="4"/>
      <c r="M317" s="4"/>
      <c r="N317" s="4"/>
      <c r="O317" s="4"/>
      <c r="P317" s="4"/>
      <c r="Q317" s="4"/>
      <c r="R317" s="4"/>
      <c r="S317" s="4"/>
      <c r="T317" s="4"/>
      <c r="U317" s="220"/>
      <c r="V317" s="220"/>
      <c r="W317" s="220"/>
    </row>
    <row r="318" spans="1:23" ht="14.25" thickBot="1" x14ac:dyDescent="0.2">
      <c r="A318" s="220"/>
      <c r="B318" s="4"/>
      <c r="C318" s="4"/>
      <c r="D318" s="4"/>
      <c r="E318" s="4"/>
      <c r="F318" s="4"/>
      <c r="G318" s="58" t="s">
        <v>47</v>
      </c>
      <c r="H318" s="58"/>
      <c r="I318" s="273">
        <f>I312+I314+I316</f>
        <v>0</v>
      </c>
      <c r="J318" s="274"/>
      <c r="K318" s="275"/>
      <c r="L318" s="4"/>
      <c r="M318" s="4" t="s">
        <v>641</v>
      </c>
      <c r="N318" s="4"/>
      <c r="O318" s="4"/>
      <c r="P318" s="4"/>
      <c r="Q318" s="4"/>
      <c r="R318" s="4"/>
      <c r="S318" s="4"/>
      <c r="T318" s="4"/>
      <c r="U318" s="220"/>
      <c r="V318" s="220"/>
      <c r="W318" s="220"/>
    </row>
    <row r="319" spans="1:23" ht="5.0999999999999996" customHeight="1" x14ac:dyDescent="0.15">
      <c r="A319" s="220"/>
      <c r="B319" s="4"/>
      <c r="C319" s="4"/>
      <c r="D319" s="4"/>
      <c r="E319" s="4"/>
      <c r="F319" s="4"/>
      <c r="G319" s="4"/>
      <c r="H319" s="4"/>
      <c r="I319" s="4"/>
      <c r="J319" s="4"/>
      <c r="K319" s="4"/>
      <c r="L319" s="4"/>
      <c r="M319" s="4"/>
      <c r="N319" s="4"/>
      <c r="O319" s="4"/>
      <c r="P319" s="4"/>
      <c r="Q319" s="4"/>
      <c r="R319" s="4"/>
      <c r="S319" s="4"/>
      <c r="T319" s="4"/>
      <c r="U319" s="220"/>
      <c r="V319" s="220"/>
      <c r="W319" s="220"/>
    </row>
    <row r="320" spans="1:23" x14ac:dyDescent="0.15">
      <c r="A320" s="220"/>
      <c r="B320" s="4"/>
      <c r="C320" s="4" t="s">
        <v>53</v>
      </c>
      <c r="D320" s="4"/>
      <c r="E320" s="4"/>
      <c r="F320" s="4"/>
      <c r="G320" s="4"/>
      <c r="H320" s="4"/>
      <c r="I320" s="4"/>
      <c r="J320" s="4"/>
      <c r="K320" s="4"/>
      <c r="L320" s="4"/>
      <c r="M320" s="4"/>
      <c r="N320" s="4"/>
      <c r="O320" s="4"/>
      <c r="P320" s="4"/>
      <c r="Q320" s="4"/>
      <c r="R320" s="4"/>
      <c r="S320" s="4"/>
      <c r="T320" s="4"/>
      <c r="U320" s="220"/>
      <c r="V320" s="220"/>
      <c r="W320" s="220"/>
    </row>
    <row r="321" spans="1:23" ht="5.0999999999999996" customHeight="1" thickBot="1" x14ac:dyDescent="0.2">
      <c r="A321" s="220"/>
      <c r="B321" s="4"/>
      <c r="C321" s="4"/>
      <c r="D321" s="4"/>
      <c r="E321" s="4"/>
      <c r="F321" s="4"/>
      <c r="G321" s="4"/>
      <c r="H321" s="4"/>
      <c r="I321" s="4"/>
      <c r="J321" s="4"/>
      <c r="K321" s="4"/>
      <c r="L321" s="4"/>
      <c r="M321" s="4"/>
      <c r="N321" s="4"/>
      <c r="O321" s="4"/>
      <c r="P321" s="4"/>
      <c r="Q321" s="4"/>
      <c r="R321" s="4"/>
      <c r="S321" s="4"/>
      <c r="T321" s="4"/>
      <c r="U321" s="220"/>
      <c r="V321" s="220"/>
      <c r="W321" s="220"/>
    </row>
    <row r="322" spans="1:23" ht="14.25" thickBot="1" x14ac:dyDescent="0.2">
      <c r="A322" s="220"/>
      <c r="B322" s="4"/>
      <c r="C322" s="4"/>
      <c r="D322" s="4"/>
      <c r="E322" s="4"/>
      <c r="F322" s="4"/>
      <c r="G322" s="58" t="s">
        <v>50</v>
      </c>
      <c r="H322" s="58"/>
      <c r="I322" s="270"/>
      <c r="J322" s="271"/>
      <c r="K322" s="272"/>
      <c r="L322" s="4"/>
      <c r="M322" s="66" t="str">
        <f>IF(AND(I322&lt;I262,I322&gt;0),"　補助対象経費より金額が低くなっています。","　補助対象経費+補助対象外のシステム開発費等")</f>
        <v>　補助対象経費+補助対象外のシステム開発費等</v>
      </c>
      <c r="N322" s="4"/>
      <c r="O322" s="4"/>
      <c r="P322" s="4"/>
      <c r="Q322" s="4"/>
      <c r="R322" s="4"/>
      <c r="S322" s="4"/>
      <c r="T322" s="4"/>
      <c r="U322" s="220"/>
      <c r="V322" s="220"/>
      <c r="W322" s="220"/>
    </row>
    <row r="323" spans="1:23" ht="5.0999999999999996" customHeight="1" thickBot="1" x14ac:dyDescent="0.2">
      <c r="A323" s="220"/>
      <c r="B323" s="4"/>
      <c r="C323" s="4"/>
      <c r="D323" s="4"/>
      <c r="E323" s="4"/>
      <c r="F323" s="4"/>
      <c r="G323" s="4"/>
      <c r="H323" s="4"/>
      <c r="I323" s="4"/>
      <c r="J323" s="4"/>
      <c r="K323" s="4"/>
      <c r="L323" s="4"/>
      <c r="M323" s="4"/>
      <c r="N323" s="4"/>
      <c r="O323" s="4"/>
      <c r="P323" s="4"/>
      <c r="Q323" s="4"/>
      <c r="R323" s="4"/>
      <c r="S323" s="4"/>
      <c r="T323" s="4"/>
      <c r="U323" s="220"/>
      <c r="V323" s="220"/>
      <c r="W323" s="220"/>
    </row>
    <row r="324" spans="1:23" ht="14.25" thickBot="1" x14ac:dyDescent="0.2">
      <c r="A324" s="220"/>
      <c r="B324" s="4"/>
      <c r="C324" s="4"/>
      <c r="D324" s="4"/>
      <c r="E324" s="4"/>
      <c r="F324" s="4"/>
      <c r="G324" s="58" t="s">
        <v>44</v>
      </c>
      <c r="H324" s="58"/>
      <c r="I324" s="270"/>
      <c r="J324" s="271"/>
      <c r="K324" s="272"/>
      <c r="L324" s="4"/>
      <c r="M324" s="66" t="str">
        <f>IF(AND(I324&lt;I264,I324&gt;0),"　補助対象経費より金額が低くなっています。","　補助対象経費+PC本体、スマートフォン等")</f>
        <v>　補助対象経費+PC本体、スマートフォン等</v>
      </c>
      <c r="N324" s="4"/>
      <c r="O324" s="4"/>
      <c r="P324" s="4"/>
      <c r="Q324" s="4"/>
      <c r="R324" s="4"/>
      <c r="S324" s="4"/>
      <c r="T324" s="4"/>
      <c r="U324" s="220"/>
      <c r="V324" s="220"/>
      <c r="W324" s="220"/>
    </row>
    <row r="325" spans="1:23" ht="5.0999999999999996" customHeight="1" thickBot="1" x14ac:dyDescent="0.2">
      <c r="A325" s="220"/>
      <c r="B325" s="4"/>
      <c r="C325" s="4"/>
      <c r="D325" s="4"/>
      <c r="E325" s="4"/>
      <c r="F325" s="4"/>
      <c r="G325" s="4"/>
      <c r="H325" s="4"/>
      <c r="I325" s="4"/>
      <c r="J325" s="4"/>
      <c r="K325" s="4"/>
      <c r="L325" s="4"/>
      <c r="M325" s="4"/>
      <c r="N325" s="4"/>
      <c r="O325" s="4"/>
      <c r="P325" s="4"/>
      <c r="Q325" s="4"/>
      <c r="R325" s="4"/>
      <c r="S325" s="4"/>
      <c r="T325" s="4"/>
      <c r="U325" s="220"/>
      <c r="V325" s="220"/>
      <c r="W325" s="220"/>
    </row>
    <row r="326" spans="1:23" ht="14.25" thickBot="1" x14ac:dyDescent="0.2">
      <c r="A326" s="220"/>
      <c r="B326" s="4"/>
      <c r="C326" s="4"/>
      <c r="D326" s="4"/>
      <c r="E326" s="4"/>
      <c r="F326" s="4"/>
      <c r="G326" s="58" t="s">
        <v>45</v>
      </c>
      <c r="H326" s="58"/>
      <c r="I326" s="270"/>
      <c r="J326" s="271"/>
      <c r="K326" s="272"/>
      <c r="L326" s="4"/>
      <c r="M326" s="66" t="str">
        <f>IF(AND(I326&lt;I266,I326&gt;0),"　補助対象経費より金額が低くなっています。","　補助対象経費+補助対象外設備の取付費用等")</f>
        <v>　補助対象経費+補助対象外設備の取付費用等</v>
      </c>
      <c r="N326" s="4"/>
      <c r="O326" s="4"/>
      <c r="P326" s="4"/>
      <c r="Q326" s="4"/>
      <c r="R326" s="4"/>
      <c r="S326" s="4"/>
      <c r="T326" s="4"/>
      <c r="U326" s="220"/>
      <c r="V326" s="220"/>
      <c r="W326" s="220"/>
    </row>
    <row r="327" spans="1:23" ht="5.0999999999999996" customHeight="1" thickBot="1" x14ac:dyDescent="0.2">
      <c r="A327" s="220"/>
      <c r="B327" s="4"/>
      <c r="C327" s="4"/>
      <c r="D327" s="4"/>
      <c r="E327" s="4"/>
      <c r="F327" s="4"/>
      <c r="G327" s="4"/>
      <c r="H327" s="4"/>
      <c r="I327" s="4"/>
      <c r="J327" s="4"/>
      <c r="K327" s="4"/>
      <c r="L327" s="4"/>
      <c r="M327" s="4"/>
      <c r="N327" s="4"/>
      <c r="O327" s="4"/>
      <c r="P327" s="4"/>
      <c r="Q327" s="4"/>
      <c r="R327" s="4"/>
      <c r="S327" s="4"/>
      <c r="T327" s="4"/>
      <c r="U327" s="220"/>
      <c r="V327" s="220"/>
      <c r="W327" s="220"/>
    </row>
    <row r="328" spans="1:23" ht="14.25" thickBot="1" x14ac:dyDescent="0.2">
      <c r="A328" s="220"/>
      <c r="B328" s="4"/>
      <c r="C328" s="4"/>
      <c r="D328" s="4"/>
      <c r="E328" s="4"/>
      <c r="F328" s="4"/>
      <c r="G328" s="58" t="s">
        <v>47</v>
      </c>
      <c r="H328" s="58"/>
      <c r="I328" s="273">
        <f>I322+I324+I326</f>
        <v>0</v>
      </c>
      <c r="J328" s="274"/>
      <c r="K328" s="275"/>
      <c r="L328" s="4"/>
      <c r="M328" s="4" t="s">
        <v>641</v>
      </c>
      <c r="N328" s="4"/>
      <c r="O328" s="4"/>
      <c r="P328" s="4"/>
      <c r="Q328" s="4"/>
      <c r="R328" s="4"/>
      <c r="S328" s="4"/>
      <c r="T328" s="4"/>
      <c r="U328" s="220"/>
      <c r="V328" s="220"/>
      <c r="W328" s="220"/>
    </row>
    <row r="329" spans="1:23" ht="5.0999999999999996" customHeight="1" x14ac:dyDescent="0.15">
      <c r="A329" s="220"/>
      <c r="B329" s="4"/>
      <c r="C329" s="4"/>
      <c r="D329" s="4"/>
      <c r="E329" s="4"/>
      <c r="F329" s="4"/>
      <c r="G329" s="4"/>
      <c r="H329" s="4"/>
      <c r="I329" s="4"/>
      <c r="J329" s="4"/>
      <c r="K329" s="4"/>
      <c r="L329" s="4"/>
      <c r="M329" s="4"/>
      <c r="N329" s="4"/>
      <c r="O329" s="4"/>
      <c r="P329" s="4"/>
      <c r="Q329" s="4"/>
      <c r="R329" s="4"/>
      <c r="S329" s="4"/>
      <c r="T329" s="4"/>
      <c r="U329" s="220"/>
      <c r="V329" s="220"/>
      <c r="W329" s="220"/>
    </row>
    <row r="330" spans="1:23" x14ac:dyDescent="0.15">
      <c r="A330" s="220"/>
      <c r="B330" s="4"/>
      <c r="C330" s="4" t="s">
        <v>54</v>
      </c>
      <c r="D330" s="4"/>
      <c r="E330" s="4"/>
      <c r="F330" s="4"/>
      <c r="G330" s="4"/>
      <c r="H330" s="4"/>
      <c r="I330" s="4"/>
      <c r="J330" s="4"/>
      <c r="K330" s="4"/>
      <c r="L330" s="4"/>
      <c r="M330" s="4"/>
      <c r="N330" s="4"/>
      <c r="O330" s="4"/>
      <c r="P330" s="4"/>
      <c r="Q330" s="4"/>
      <c r="R330" s="4"/>
      <c r="S330" s="4"/>
      <c r="T330" s="4"/>
      <c r="U330" s="220"/>
      <c r="V330" s="220"/>
      <c r="W330" s="220"/>
    </row>
    <row r="331" spans="1:23" ht="5.0999999999999996" customHeight="1" thickBot="1" x14ac:dyDescent="0.2">
      <c r="A331" s="220"/>
      <c r="B331" s="4"/>
      <c r="C331" s="4"/>
      <c r="D331" s="4"/>
      <c r="E331" s="4"/>
      <c r="F331" s="4"/>
      <c r="G331" s="4"/>
      <c r="H331" s="4"/>
      <c r="I331" s="4"/>
      <c r="J331" s="4"/>
      <c r="K331" s="4"/>
      <c r="L331" s="4"/>
      <c r="M331" s="4"/>
      <c r="N331" s="4"/>
      <c r="O331" s="4"/>
      <c r="P331" s="4"/>
      <c r="Q331" s="4"/>
      <c r="R331" s="4"/>
      <c r="S331" s="4"/>
      <c r="T331" s="4"/>
      <c r="U331" s="220"/>
      <c r="V331" s="220"/>
      <c r="W331" s="220"/>
    </row>
    <row r="332" spans="1:23" ht="14.25" thickBot="1" x14ac:dyDescent="0.2">
      <c r="A332" s="220"/>
      <c r="B332" s="4"/>
      <c r="C332" s="4"/>
      <c r="D332" s="4"/>
      <c r="E332" s="4"/>
      <c r="F332" s="4"/>
      <c r="G332" s="58" t="s">
        <v>50</v>
      </c>
      <c r="H332" s="58"/>
      <c r="I332" s="270"/>
      <c r="J332" s="271"/>
      <c r="K332" s="272"/>
      <c r="L332" s="4"/>
      <c r="M332" s="66" t="str">
        <f>IF(AND(I332&lt;I274,I332&gt;0),"　補助対象経費より金額が低くなっています。","　補助対象経費+補助対象外のシステム開発費等")</f>
        <v>　補助対象経費+補助対象外のシステム開発費等</v>
      </c>
      <c r="N332" s="4"/>
      <c r="O332" s="4"/>
      <c r="P332" s="4"/>
      <c r="Q332" s="4"/>
      <c r="R332" s="4"/>
      <c r="S332" s="4"/>
      <c r="T332" s="4"/>
      <c r="U332" s="220"/>
      <c r="V332" s="220"/>
      <c r="W332" s="220"/>
    </row>
    <row r="333" spans="1:23" ht="5.0999999999999996" customHeight="1" thickBot="1" x14ac:dyDescent="0.2">
      <c r="A333" s="220"/>
      <c r="B333" s="4"/>
      <c r="C333" s="4"/>
      <c r="D333" s="4"/>
      <c r="E333" s="4"/>
      <c r="F333" s="4"/>
      <c r="G333" s="4"/>
      <c r="H333" s="4"/>
      <c r="I333" s="4"/>
      <c r="J333" s="4"/>
      <c r="K333" s="4"/>
      <c r="L333" s="4"/>
      <c r="M333" s="4"/>
      <c r="N333" s="4"/>
      <c r="O333" s="4"/>
      <c r="P333" s="4"/>
      <c r="Q333" s="4"/>
      <c r="R333" s="4"/>
      <c r="S333" s="4"/>
      <c r="T333" s="4"/>
      <c r="U333" s="220"/>
      <c r="V333" s="220"/>
      <c r="W333" s="220"/>
    </row>
    <row r="334" spans="1:23" ht="14.25" thickBot="1" x14ac:dyDescent="0.2">
      <c r="A334" s="220"/>
      <c r="B334" s="4"/>
      <c r="C334" s="4"/>
      <c r="D334" s="4"/>
      <c r="E334" s="4"/>
      <c r="F334" s="4"/>
      <c r="G334" s="58" t="s">
        <v>44</v>
      </c>
      <c r="H334" s="58"/>
      <c r="I334" s="270"/>
      <c r="J334" s="271"/>
      <c r="K334" s="272"/>
      <c r="L334" s="4"/>
      <c r="M334" s="66" t="str">
        <f>IF(AND(I334&lt;I276,I334&gt;0),"　補助対象経費より金額が低くなっています。","　補助対象経費+PC本体、スマートフォン等")</f>
        <v>　補助対象経費+PC本体、スマートフォン等</v>
      </c>
      <c r="N334" s="4"/>
      <c r="O334" s="4"/>
      <c r="P334" s="4"/>
      <c r="Q334" s="4"/>
      <c r="R334" s="4"/>
      <c r="S334" s="4"/>
      <c r="T334" s="4"/>
      <c r="U334" s="220"/>
      <c r="V334" s="220"/>
      <c r="W334" s="220"/>
    </row>
    <row r="335" spans="1:23" ht="5.0999999999999996" customHeight="1" thickBot="1" x14ac:dyDescent="0.2">
      <c r="A335" s="220"/>
      <c r="B335" s="4"/>
      <c r="C335" s="4"/>
      <c r="D335" s="4"/>
      <c r="E335" s="4"/>
      <c r="F335" s="4"/>
      <c r="G335" s="4"/>
      <c r="H335" s="4"/>
      <c r="I335" s="4"/>
      <c r="J335" s="4"/>
      <c r="K335" s="4"/>
      <c r="L335" s="4"/>
      <c r="M335" s="4"/>
      <c r="N335" s="4"/>
      <c r="O335" s="4"/>
      <c r="P335" s="4"/>
      <c r="Q335" s="4"/>
      <c r="R335" s="4"/>
      <c r="S335" s="4"/>
      <c r="T335" s="4"/>
      <c r="U335" s="220"/>
      <c r="V335" s="220"/>
      <c r="W335" s="220"/>
    </row>
    <row r="336" spans="1:23" ht="14.25" thickBot="1" x14ac:dyDescent="0.2">
      <c r="A336" s="220"/>
      <c r="B336" s="4"/>
      <c r="C336" s="4"/>
      <c r="D336" s="4"/>
      <c r="E336" s="4"/>
      <c r="F336" s="4"/>
      <c r="G336" s="58" t="s">
        <v>45</v>
      </c>
      <c r="H336" s="58"/>
      <c r="I336" s="270"/>
      <c r="J336" s="271"/>
      <c r="K336" s="272"/>
      <c r="L336" s="4"/>
      <c r="M336" s="66" t="str">
        <f>IF(AND(I336&lt;I278,I336&gt;0),"　補助対象経費より金額が低くなっています。","　補助対象経費+補助対象外設備の取付費用等")</f>
        <v>　補助対象経費+補助対象外設備の取付費用等</v>
      </c>
      <c r="N336" s="4"/>
      <c r="O336" s="4"/>
      <c r="P336" s="4"/>
      <c r="Q336" s="4"/>
      <c r="R336" s="4"/>
      <c r="S336" s="4"/>
      <c r="T336" s="4"/>
      <c r="U336" s="220"/>
      <c r="V336" s="220"/>
      <c r="W336" s="220"/>
    </row>
    <row r="337" spans="1:23" ht="5.0999999999999996" customHeight="1" thickBot="1" x14ac:dyDescent="0.2">
      <c r="A337" s="220"/>
      <c r="B337" s="4"/>
      <c r="C337" s="4"/>
      <c r="D337" s="4"/>
      <c r="E337" s="4"/>
      <c r="F337" s="4"/>
      <c r="G337" s="4"/>
      <c r="H337" s="4"/>
      <c r="I337" s="4"/>
      <c r="J337" s="4"/>
      <c r="K337" s="4"/>
      <c r="L337" s="4"/>
      <c r="M337" s="4"/>
      <c r="N337" s="4"/>
      <c r="O337" s="4"/>
      <c r="P337" s="4"/>
      <c r="Q337" s="4"/>
      <c r="R337" s="4"/>
      <c r="S337" s="4"/>
      <c r="T337" s="4"/>
      <c r="U337" s="220"/>
      <c r="V337" s="220"/>
      <c r="W337" s="220"/>
    </row>
    <row r="338" spans="1:23" ht="14.25" thickBot="1" x14ac:dyDescent="0.2">
      <c r="A338" s="220"/>
      <c r="B338" s="4"/>
      <c r="C338" s="4"/>
      <c r="D338" s="4"/>
      <c r="E338" s="4"/>
      <c r="F338" s="4"/>
      <c r="G338" s="58" t="s">
        <v>47</v>
      </c>
      <c r="H338" s="58"/>
      <c r="I338" s="273">
        <f>I332+I334+I336</f>
        <v>0</v>
      </c>
      <c r="J338" s="274"/>
      <c r="K338" s="275"/>
      <c r="L338" s="4"/>
      <c r="M338" s="4" t="s">
        <v>641</v>
      </c>
      <c r="N338" s="4"/>
      <c r="O338" s="4"/>
      <c r="P338" s="4"/>
      <c r="Q338" s="4"/>
      <c r="R338" s="4"/>
      <c r="S338" s="4"/>
      <c r="T338" s="4"/>
      <c r="U338" s="220"/>
      <c r="V338" s="220"/>
      <c r="W338" s="220"/>
    </row>
    <row r="339" spans="1:23" ht="5.0999999999999996" customHeight="1" x14ac:dyDescent="0.15">
      <c r="A339" s="220"/>
      <c r="B339" s="4"/>
      <c r="C339" s="4"/>
      <c r="D339" s="4"/>
      <c r="E339" s="4"/>
      <c r="F339" s="4"/>
      <c r="G339" s="4"/>
      <c r="H339" s="4"/>
      <c r="I339" s="4"/>
      <c r="J339" s="4"/>
      <c r="K339" s="4"/>
      <c r="L339" s="4"/>
      <c r="M339" s="4"/>
      <c r="N339" s="4"/>
      <c r="O339" s="4"/>
      <c r="P339" s="4"/>
      <c r="Q339" s="4"/>
      <c r="R339" s="4"/>
      <c r="S339" s="4"/>
      <c r="T339" s="4"/>
      <c r="U339" s="220"/>
      <c r="V339" s="220"/>
      <c r="W339" s="220"/>
    </row>
    <row r="340" spans="1:23" x14ac:dyDescent="0.15">
      <c r="A340" s="220"/>
      <c r="B340" s="4"/>
      <c r="C340" s="4" t="s">
        <v>55</v>
      </c>
      <c r="D340" s="4"/>
      <c r="E340" s="4"/>
      <c r="F340" s="4"/>
      <c r="G340" s="4"/>
      <c r="H340" s="4"/>
      <c r="I340" s="4"/>
      <c r="J340" s="4"/>
      <c r="K340" s="4"/>
      <c r="L340" s="4"/>
      <c r="M340" s="4"/>
      <c r="N340" s="4"/>
      <c r="O340" s="4"/>
      <c r="P340" s="4"/>
      <c r="Q340" s="4"/>
      <c r="R340" s="4"/>
      <c r="S340" s="4"/>
      <c r="T340" s="4"/>
      <c r="U340" s="220"/>
      <c r="V340" s="220"/>
      <c r="W340" s="220"/>
    </row>
    <row r="341" spans="1:23" ht="5.0999999999999996" customHeight="1" thickBot="1" x14ac:dyDescent="0.2">
      <c r="A341" s="220"/>
      <c r="B341" s="4"/>
      <c r="C341" s="4"/>
      <c r="D341" s="4"/>
      <c r="E341" s="4"/>
      <c r="F341" s="4"/>
      <c r="G341" s="4"/>
      <c r="H341" s="4"/>
      <c r="I341" s="4"/>
      <c r="J341" s="4"/>
      <c r="K341" s="4"/>
      <c r="L341" s="4"/>
      <c r="M341" s="4"/>
      <c r="N341" s="4"/>
      <c r="O341" s="4"/>
      <c r="P341" s="4"/>
      <c r="Q341" s="4"/>
      <c r="R341" s="4"/>
      <c r="S341" s="4"/>
      <c r="T341" s="4"/>
      <c r="U341" s="220"/>
      <c r="V341" s="220"/>
      <c r="W341" s="220"/>
    </row>
    <row r="342" spans="1:23" ht="14.25" thickBot="1" x14ac:dyDescent="0.2">
      <c r="A342" s="220"/>
      <c r="B342" s="4"/>
      <c r="C342" s="4"/>
      <c r="D342" s="4"/>
      <c r="E342" s="4"/>
      <c r="F342" s="4"/>
      <c r="G342" s="58" t="s">
        <v>63</v>
      </c>
      <c r="H342" s="58"/>
      <c r="I342" s="267">
        <f>反映シート!G343</f>
        <v>0</v>
      </c>
      <c r="J342" s="268"/>
      <c r="K342" s="269"/>
      <c r="L342" s="4"/>
      <c r="M342" s="4"/>
      <c r="N342" s="4"/>
      <c r="O342" s="4"/>
      <c r="P342" s="4"/>
      <c r="Q342" s="4"/>
      <c r="R342" s="4"/>
      <c r="S342" s="4"/>
      <c r="T342" s="4"/>
      <c r="U342" s="220"/>
      <c r="V342" s="220"/>
      <c r="W342" s="220"/>
    </row>
    <row r="343" spans="1:23" ht="5.0999999999999996" customHeight="1" x14ac:dyDescent="0.15">
      <c r="A343" s="220"/>
      <c r="B343" s="4"/>
      <c r="C343" s="4"/>
      <c r="D343" s="4"/>
      <c r="E343" s="4"/>
      <c r="F343" s="4"/>
      <c r="G343" s="4"/>
      <c r="H343" s="4"/>
      <c r="I343" s="4"/>
      <c r="J343" s="4"/>
      <c r="K343" s="4"/>
      <c r="L343" s="4"/>
      <c r="M343" s="4"/>
      <c r="N343" s="4"/>
      <c r="O343" s="4"/>
      <c r="P343" s="4"/>
      <c r="Q343" s="4"/>
      <c r="R343" s="4"/>
      <c r="S343" s="4"/>
      <c r="T343" s="4"/>
      <c r="U343" s="220"/>
      <c r="V343" s="220"/>
      <c r="W343" s="220"/>
    </row>
    <row r="344" spans="1:23" x14ac:dyDescent="0.15">
      <c r="A344" s="220"/>
      <c r="B344" s="220"/>
      <c r="C344" s="220"/>
      <c r="D344" s="220"/>
      <c r="E344" s="220"/>
      <c r="F344" s="220"/>
      <c r="G344" s="220"/>
      <c r="H344" s="220"/>
      <c r="I344" s="220"/>
      <c r="J344" s="220"/>
      <c r="K344" s="220"/>
      <c r="L344" s="220"/>
      <c r="M344" s="220"/>
      <c r="N344" s="220"/>
      <c r="O344" s="220"/>
      <c r="P344" s="220"/>
      <c r="Q344" s="220"/>
      <c r="R344" s="220"/>
      <c r="S344" s="220"/>
      <c r="T344" s="220"/>
      <c r="U344" s="220"/>
      <c r="V344" s="220"/>
      <c r="W344" s="220"/>
    </row>
    <row r="345" spans="1:23" ht="5.0999999999999996" customHeight="1" x14ac:dyDescent="0.15">
      <c r="A345" s="220"/>
      <c r="B345" s="2"/>
      <c r="C345" s="3"/>
      <c r="D345" s="3"/>
      <c r="E345" s="3"/>
      <c r="F345" s="3"/>
      <c r="G345" s="3"/>
      <c r="H345" s="3"/>
      <c r="I345" s="2"/>
      <c r="J345" s="2"/>
      <c r="K345" s="2"/>
      <c r="L345" s="2"/>
      <c r="M345" s="2"/>
      <c r="N345" s="2"/>
      <c r="O345" s="2"/>
      <c r="P345" s="2"/>
      <c r="Q345" s="2"/>
      <c r="R345" s="2"/>
      <c r="S345" s="2"/>
      <c r="T345" s="2"/>
      <c r="U345" s="220"/>
      <c r="V345" s="220"/>
      <c r="W345" s="220"/>
    </row>
    <row r="346" spans="1:23" x14ac:dyDescent="0.15">
      <c r="A346" s="220"/>
      <c r="B346" s="2" t="s">
        <v>363</v>
      </c>
      <c r="C346" s="2"/>
      <c r="D346" s="2"/>
      <c r="E346" s="2"/>
      <c r="F346" s="2"/>
      <c r="G346" s="2"/>
      <c r="H346" s="2"/>
      <c r="I346" s="2"/>
      <c r="J346" s="2"/>
      <c r="K346" s="2"/>
      <c r="L346" s="2"/>
      <c r="M346" s="2"/>
      <c r="N346" s="2"/>
      <c r="O346" s="2"/>
      <c r="P346" s="2"/>
      <c r="Q346" s="2"/>
      <c r="R346" s="2"/>
      <c r="S346" s="2"/>
      <c r="T346" s="2"/>
      <c r="U346" s="220"/>
      <c r="V346" s="220"/>
      <c r="W346" s="220"/>
    </row>
    <row r="347" spans="1:23" ht="5.0999999999999996" customHeight="1" thickBot="1" x14ac:dyDescent="0.2">
      <c r="A347" s="220"/>
      <c r="B347" s="2"/>
      <c r="C347" s="2"/>
      <c r="D347" s="2"/>
      <c r="E347" s="2"/>
      <c r="F347" s="2"/>
      <c r="G347" s="2"/>
      <c r="H347" s="2"/>
      <c r="I347" s="2"/>
      <c r="J347" s="2"/>
      <c r="K347" s="2"/>
      <c r="L347" s="2"/>
      <c r="M347" s="2"/>
      <c r="N347" s="2"/>
      <c r="O347" s="2"/>
      <c r="P347" s="2"/>
      <c r="Q347" s="2"/>
      <c r="R347" s="2"/>
      <c r="S347" s="2"/>
      <c r="T347" s="2"/>
      <c r="U347" s="220"/>
      <c r="V347" s="220"/>
      <c r="W347" s="220"/>
    </row>
    <row r="348" spans="1:23" ht="14.25" thickBot="1" x14ac:dyDescent="0.2">
      <c r="A348" s="220"/>
      <c r="B348" s="2"/>
      <c r="C348" s="276"/>
      <c r="D348" s="277"/>
      <c r="E348" s="277"/>
      <c r="F348" s="277"/>
      <c r="G348" s="278"/>
      <c r="H348" s="2"/>
      <c r="I348" s="2" t="s">
        <v>662</v>
      </c>
      <c r="J348" s="2"/>
      <c r="K348" s="2"/>
      <c r="L348" s="2"/>
      <c r="M348" s="2"/>
      <c r="N348" s="2"/>
      <c r="O348" s="2"/>
      <c r="P348" s="2"/>
      <c r="Q348" s="2"/>
      <c r="R348" s="2"/>
      <c r="S348" s="2"/>
      <c r="T348" s="2"/>
      <c r="U348" s="220"/>
      <c r="V348" s="220"/>
      <c r="W348" s="220"/>
    </row>
    <row r="349" spans="1:23" ht="5.0999999999999996" customHeight="1" x14ac:dyDescent="0.15">
      <c r="A349" s="220"/>
      <c r="B349" s="2"/>
      <c r="C349" s="2"/>
      <c r="D349" s="2"/>
      <c r="E349" s="2"/>
      <c r="F349" s="2"/>
      <c r="G349" s="2"/>
      <c r="H349" s="2"/>
      <c r="I349" s="2"/>
      <c r="J349" s="2"/>
      <c r="K349" s="2"/>
      <c r="L349" s="2"/>
      <c r="M349" s="2"/>
      <c r="N349" s="2"/>
      <c r="O349" s="2"/>
      <c r="P349" s="2"/>
      <c r="Q349" s="2"/>
      <c r="R349" s="2"/>
      <c r="S349" s="2"/>
      <c r="T349" s="2"/>
      <c r="U349" s="220"/>
      <c r="V349" s="220"/>
      <c r="W349" s="220"/>
    </row>
    <row r="350" spans="1:23" x14ac:dyDescent="0.15">
      <c r="A350" s="220"/>
      <c r="B350" s="2"/>
      <c r="C350" s="2" t="s">
        <v>661</v>
      </c>
      <c r="D350" s="2"/>
      <c r="E350" s="2"/>
      <c r="F350" s="2"/>
      <c r="G350" s="2"/>
      <c r="H350" s="2"/>
      <c r="I350" s="2"/>
      <c r="J350" s="2"/>
      <c r="K350" s="2"/>
      <c r="L350" s="2"/>
      <c r="M350" s="2"/>
      <c r="N350" s="2"/>
      <c r="O350" s="2"/>
      <c r="P350" s="2"/>
      <c r="Q350" s="2"/>
      <c r="R350" s="2"/>
      <c r="S350" s="2"/>
      <c r="T350" s="2"/>
      <c r="U350" s="220"/>
      <c r="V350" s="220"/>
      <c r="W350" s="220"/>
    </row>
    <row r="351" spans="1:23" ht="5.0999999999999996" customHeight="1" x14ac:dyDescent="0.15">
      <c r="A351" s="220"/>
      <c r="B351" s="2"/>
      <c r="C351" s="2"/>
      <c r="D351" s="2"/>
      <c r="E351" s="2"/>
      <c r="F351" s="2"/>
      <c r="G351" s="2"/>
      <c r="H351" s="2"/>
      <c r="I351" s="2"/>
      <c r="J351" s="2"/>
      <c r="K351" s="2"/>
      <c r="L351" s="2"/>
      <c r="M351" s="2"/>
      <c r="N351" s="2"/>
      <c r="O351" s="2"/>
      <c r="P351" s="2"/>
      <c r="Q351" s="2"/>
      <c r="R351" s="2"/>
      <c r="S351" s="2"/>
      <c r="T351" s="2"/>
      <c r="U351" s="220"/>
      <c r="V351" s="220"/>
      <c r="W351" s="220"/>
    </row>
    <row r="352" spans="1:23" x14ac:dyDescent="0.15">
      <c r="A352" s="220"/>
      <c r="B352" s="220"/>
      <c r="C352" s="220"/>
      <c r="D352" s="220"/>
      <c r="E352" s="220"/>
      <c r="F352" s="220"/>
      <c r="G352" s="220"/>
      <c r="H352" s="220"/>
      <c r="I352" s="220"/>
      <c r="J352" s="220"/>
      <c r="K352" s="220"/>
      <c r="L352" s="220"/>
      <c r="M352" s="220"/>
      <c r="N352" s="220"/>
      <c r="O352" s="220"/>
      <c r="P352" s="220"/>
      <c r="Q352" s="220"/>
      <c r="R352" s="220"/>
      <c r="S352" s="220"/>
      <c r="T352" s="220"/>
      <c r="U352" s="220"/>
      <c r="V352" s="220"/>
      <c r="W352" s="220"/>
    </row>
    <row r="353" spans="1:23" ht="5.0999999999999996" customHeight="1" x14ac:dyDescent="0.15">
      <c r="A353" s="220"/>
      <c r="B353" s="4"/>
      <c r="C353" s="4"/>
      <c r="D353" s="4"/>
      <c r="E353" s="4"/>
      <c r="F353" s="4"/>
      <c r="G353" s="4"/>
      <c r="H353" s="4"/>
      <c r="I353" s="4"/>
      <c r="J353" s="4"/>
      <c r="K353" s="4"/>
      <c r="L353" s="4"/>
      <c r="M353" s="4"/>
      <c r="N353" s="4"/>
      <c r="O353" s="4"/>
      <c r="P353" s="4"/>
      <c r="Q353" s="4"/>
      <c r="R353" s="4"/>
      <c r="S353" s="4"/>
      <c r="T353" s="4"/>
      <c r="U353" s="220"/>
      <c r="V353" s="220"/>
      <c r="W353" s="220"/>
    </row>
    <row r="354" spans="1:23" x14ac:dyDescent="0.15">
      <c r="A354" s="220"/>
      <c r="B354" s="4" t="s">
        <v>364</v>
      </c>
      <c r="C354" s="4"/>
      <c r="D354" s="4"/>
      <c r="E354" s="4"/>
      <c r="F354" s="4"/>
      <c r="G354" s="4"/>
      <c r="H354" s="4"/>
      <c r="I354" s="4"/>
      <c r="J354" s="4"/>
      <c r="K354" s="4"/>
      <c r="L354" s="4"/>
      <c r="M354" s="4"/>
      <c r="N354" s="4"/>
      <c r="O354" s="4"/>
      <c r="P354" s="4"/>
      <c r="Q354" s="4"/>
      <c r="R354" s="4"/>
      <c r="S354" s="4"/>
      <c r="T354" s="4"/>
      <c r="U354" s="220"/>
      <c r="V354" s="220"/>
      <c r="W354" s="220"/>
    </row>
    <row r="355" spans="1:23" ht="5.0999999999999996" customHeight="1" thickBot="1" x14ac:dyDescent="0.2">
      <c r="A355" s="220"/>
      <c r="B355" s="4"/>
      <c r="C355" s="4"/>
      <c r="D355" s="4"/>
      <c r="E355" s="4"/>
      <c r="F355" s="4"/>
      <c r="G355" s="4"/>
      <c r="H355" s="4"/>
      <c r="I355" s="4"/>
      <c r="J355" s="4"/>
      <c r="K355" s="4"/>
      <c r="L355" s="4"/>
      <c r="M355" s="4"/>
      <c r="N355" s="4"/>
      <c r="O355" s="4"/>
      <c r="P355" s="4"/>
      <c r="Q355" s="4"/>
      <c r="R355" s="4"/>
      <c r="S355" s="4"/>
      <c r="T355" s="4"/>
      <c r="U355" s="220"/>
      <c r="V355" s="220"/>
      <c r="W355" s="220"/>
    </row>
    <row r="356" spans="1:23" ht="14.25" thickBot="1" x14ac:dyDescent="0.2">
      <c r="A356" s="220"/>
      <c r="B356" s="4"/>
      <c r="C356" s="4"/>
      <c r="D356" s="4"/>
      <c r="E356" s="4"/>
      <c r="F356" s="4"/>
      <c r="G356" s="58" t="s">
        <v>64</v>
      </c>
      <c r="H356" s="58"/>
      <c r="I356" s="250"/>
      <c r="J356" s="251"/>
      <c r="K356" s="251"/>
      <c r="L356" s="251"/>
      <c r="M356" s="251"/>
      <c r="N356" s="251"/>
      <c r="O356" s="251"/>
      <c r="P356" s="252"/>
      <c r="Q356" s="4"/>
      <c r="R356" s="4"/>
      <c r="S356" s="4"/>
      <c r="T356" s="4"/>
      <c r="U356" s="220"/>
      <c r="V356" s="220"/>
      <c r="W356" s="220"/>
    </row>
    <row r="357" spans="1:23" ht="5.0999999999999996" customHeight="1" x14ac:dyDescent="0.15">
      <c r="A357" s="220"/>
      <c r="B357" s="4"/>
      <c r="C357" s="4"/>
      <c r="D357" s="4"/>
      <c r="E357" s="4"/>
      <c r="F357" s="4"/>
      <c r="G357" s="4"/>
      <c r="H357" s="4"/>
      <c r="I357" s="4"/>
      <c r="J357" s="4"/>
      <c r="K357" s="4"/>
      <c r="L357" s="4"/>
      <c r="M357" s="4"/>
      <c r="N357" s="4"/>
      <c r="O357" s="4"/>
      <c r="P357" s="4"/>
      <c r="Q357" s="4"/>
      <c r="R357" s="4"/>
      <c r="S357" s="4"/>
      <c r="T357" s="4"/>
      <c r="U357" s="220"/>
      <c r="V357" s="220"/>
      <c r="W357" s="220"/>
    </row>
    <row r="358" spans="1:23" x14ac:dyDescent="0.15">
      <c r="A358" s="220"/>
      <c r="B358" s="4"/>
      <c r="C358" s="4"/>
      <c r="D358" s="4"/>
      <c r="E358" s="4"/>
      <c r="F358" s="4"/>
      <c r="G358" s="4"/>
      <c r="H358" s="4"/>
      <c r="I358" s="4" t="s">
        <v>65</v>
      </c>
      <c r="J358" s="4"/>
      <c r="K358" s="4"/>
      <c r="L358" s="4"/>
      <c r="M358" s="4"/>
      <c r="N358" s="4"/>
      <c r="O358" s="4"/>
      <c r="P358" s="4"/>
      <c r="Q358" s="4"/>
      <c r="R358" s="4"/>
      <c r="S358" s="4"/>
      <c r="T358" s="4"/>
      <c r="U358" s="220"/>
      <c r="V358" s="220"/>
      <c r="W358" s="220"/>
    </row>
    <row r="359" spans="1:23" ht="5.0999999999999996" customHeight="1" thickBot="1" x14ac:dyDescent="0.2">
      <c r="A359" s="220"/>
      <c r="B359" s="4"/>
      <c r="C359" s="4"/>
      <c r="D359" s="4"/>
      <c r="E359" s="4"/>
      <c r="F359" s="4"/>
      <c r="G359" s="4"/>
      <c r="H359" s="4"/>
      <c r="I359" s="4"/>
      <c r="J359" s="4"/>
      <c r="K359" s="4"/>
      <c r="L359" s="4"/>
      <c r="M359" s="4"/>
      <c r="N359" s="4"/>
      <c r="O359" s="4"/>
      <c r="P359" s="4"/>
      <c r="Q359" s="4"/>
      <c r="R359" s="4"/>
      <c r="S359" s="4"/>
      <c r="T359" s="4"/>
      <c r="U359" s="220"/>
      <c r="V359" s="220"/>
      <c r="W359" s="220"/>
    </row>
    <row r="360" spans="1:23" ht="14.25" thickBot="1" x14ac:dyDescent="0.2">
      <c r="A360" s="220"/>
      <c r="B360" s="4"/>
      <c r="C360" s="4"/>
      <c r="D360" s="4"/>
      <c r="E360" s="4"/>
      <c r="F360" s="4"/>
      <c r="G360" s="58" t="s">
        <v>66</v>
      </c>
      <c r="H360" s="58"/>
      <c r="I360" s="250"/>
      <c r="J360" s="251"/>
      <c r="K360" s="251"/>
      <c r="L360" s="251"/>
      <c r="M360" s="251"/>
      <c r="N360" s="251"/>
      <c r="O360" s="251"/>
      <c r="P360" s="252"/>
      <c r="Q360" s="4"/>
      <c r="R360" s="4"/>
      <c r="S360" s="4"/>
      <c r="T360" s="4"/>
      <c r="U360" s="220"/>
      <c r="V360" s="220"/>
      <c r="W360" s="220"/>
    </row>
    <row r="361" spans="1:23" ht="5.0999999999999996" customHeight="1" thickBot="1" x14ac:dyDescent="0.2">
      <c r="A361" s="220"/>
      <c r="B361" s="4"/>
      <c r="C361" s="4"/>
      <c r="D361" s="4"/>
      <c r="E361" s="4"/>
      <c r="F361" s="4"/>
      <c r="G361" s="4"/>
      <c r="H361" s="4"/>
      <c r="I361" s="4"/>
      <c r="J361" s="4"/>
      <c r="K361" s="4"/>
      <c r="L361" s="4"/>
      <c r="M361" s="4"/>
      <c r="N361" s="4"/>
      <c r="O361" s="4"/>
      <c r="P361" s="4"/>
      <c r="Q361" s="4"/>
      <c r="R361" s="4"/>
      <c r="S361" s="4"/>
      <c r="T361" s="4"/>
      <c r="U361" s="220"/>
      <c r="V361" s="220"/>
      <c r="W361" s="220"/>
    </row>
    <row r="362" spans="1:23" ht="14.25" thickBot="1" x14ac:dyDescent="0.2">
      <c r="A362" s="220"/>
      <c r="B362" s="4"/>
      <c r="C362" s="4"/>
      <c r="D362" s="4"/>
      <c r="E362" s="4"/>
      <c r="F362" s="4"/>
      <c r="G362" s="58" t="s">
        <v>67</v>
      </c>
      <c r="H362" s="58"/>
      <c r="I362" s="279"/>
      <c r="J362" s="280"/>
      <c r="K362" s="251"/>
      <c r="L362" s="251"/>
      <c r="M362" s="251"/>
      <c r="N362" s="251"/>
      <c r="O362" s="251"/>
      <c r="P362" s="252"/>
      <c r="Q362" s="4"/>
      <c r="R362" s="4"/>
      <c r="S362" s="4"/>
      <c r="T362" s="4"/>
      <c r="U362" s="220"/>
      <c r="V362" s="220"/>
      <c r="W362" s="220"/>
    </row>
    <row r="363" spans="1:23" ht="5.0999999999999996" customHeight="1" x14ac:dyDescent="0.15">
      <c r="A363" s="220"/>
      <c r="B363" s="4"/>
      <c r="C363" s="4"/>
      <c r="D363" s="4"/>
      <c r="E363" s="4"/>
      <c r="F363" s="4"/>
      <c r="G363" s="4"/>
      <c r="H363" s="4"/>
      <c r="I363" s="4"/>
      <c r="J363" s="4"/>
      <c r="K363" s="4"/>
      <c r="L363" s="4"/>
      <c r="M363" s="4"/>
      <c r="N363" s="4"/>
      <c r="O363" s="4"/>
      <c r="P363" s="4"/>
      <c r="Q363" s="4"/>
      <c r="R363" s="4"/>
      <c r="S363" s="4"/>
      <c r="T363" s="4"/>
      <c r="U363" s="220"/>
      <c r="V363" s="220"/>
      <c r="W363" s="220"/>
    </row>
    <row r="364" spans="1:23" x14ac:dyDescent="0.15">
      <c r="A364" s="220"/>
      <c r="B364" s="4"/>
      <c r="C364" s="289" t="s">
        <v>68</v>
      </c>
      <c r="D364" s="289"/>
      <c r="E364" s="289"/>
      <c r="F364" s="289"/>
      <c r="G364" s="4"/>
      <c r="H364" s="4"/>
      <c r="I364" s="4"/>
      <c r="J364" s="4"/>
      <c r="K364" s="4"/>
      <c r="L364" s="4"/>
      <c r="M364" s="4"/>
      <c r="N364" s="4"/>
      <c r="O364" s="4"/>
      <c r="P364" s="4"/>
      <c r="Q364" s="4"/>
      <c r="R364" s="4"/>
      <c r="S364" s="4"/>
      <c r="T364" s="4"/>
      <c r="U364" s="220"/>
      <c r="V364" s="220"/>
      <c r="W364" s="220"/>
    </row>
    <row r="365" spans="1:23" ht="5.0999999999999996" customHeight="1" thickBot="1" x14ac:dyDescent="0.2">
      <c r="A365" s="220"/>
      <c r="B365" s="4"/>
      <c r="C365" s="4"/>
      <c r="D365" s="4"/>
      <c r="E365" s="4"/>
      <c r="F365" s="4"/>
      <c r="G365" s="4"/>
      <c r="H365" s="4"/>
      <c r="I365" s="4"/>
      <c r="J365" s="4"/>
      <c r="K365" s="4"/>
      <c r="L365" s="4"/>
      <c r="M365" s="4"/>
      <c r="N365" s="4"/>
      <c r="O365" s="4"/>
      <c r="P365" s="4"/>
      <c r="Q365" s="4"/>
      <c r="R365" s="4"/>
      <c r="S365" s="4"/>
      <c r="T365" s="4"/>
      <c r="U365" s="220"/>
      <c r="V365" s="220"/>
      <c r="W365" s="220"/>
    </row>
    <row r="366" spans="1:23" ht="14.25" thickBot="1" x14ac:dyDescent="0.2">
      <c r="A366" s="220"/>
      <c r="B366" s="4"/>
      <c r="C366" s="4"/>
      <c r="D366" s="4"/>
      <c r="E366" s="4"/>
      <c r="F366" s="4"/>
      <c r="G366" s="58" t="s">
        <v>69</v>
      </c>
      <c r="H366" s="58"/>
      <c r="I366" s="250"/>
      <c r="J366" s="251"/>
      <c r="K366" s="251"/>
      <c r="L366" s="251"/>
      <c r="M366" s="251"/>
      <c r="N366" s="251"/>
      <c r="O366" s="251"/>
      <c r="P366" s="252"/>
      <c r="Q366" s="4"/>
      <c r="R366" s="4"/>
      <c r="S366" s="4"/>
      <c r="T366" s="4"/>
      <c r="U366" s="220"/>
      <c r="V366" s="220"/>
      <c r="W366" s="220"/>
    </row>
    <row r="367" spans="1:23" ht="5.0999999999999996" customHeight="1" thickBot="1" x14ac:dyDescent="0.2">
      <c r="A367" s="220"/>
      <c r="B367" s="4"/>
      <c r="C367" s="4"/>
      <c r="D367" s="4"/>
      <c r="E367" s="4"/>
      <c r="F367" s="4"/>
      <c r="G367" s="4"/>
      <c r="H367" s="4"/>
      <c r="I367" s="66"/>
      <c r="J367" s="66"/>
      <c r="K367" s="66"/>
      <c r="L367" s="66"/>
      <c r="M367" s="66"/>
      <c r="N367" s="66"/>
      <c r="O367" s="66"/>
      <c r="P367" s="66"/>
      <c r="Q367" s="4"/>
      <c r="R367" s="4"/>
      <c r="S367" s="4"/>
      <c r="T367" s="4"/>
      <c r="U367" s="220"/>
      <c r="V367" s="220"/>
      <c r="W367" s="220"/>
    </row>
    <row r="368" spans="1:23" ht="14.25" thickBot="1" x14ac:dyDescent="0.2">
      <c r="A368" s="220"/>
      <c r="B368" s="4"/>
      <c r="C368" s="4"/>
      <c r="D368" s="4"/>
      <c r="E368" s="4"/>
      <c r="F368" s="4"/>
      <c r="G368" s="58" t="s">
        <v>70</v>
      </c>
      <c r="H368" s="58"/>
      <c r="I368" s="250"/>
      <c r="J368" s="251"/>
      <c r="K368" s="251"/>
      <c r="L368" s="251"/>
      <c r="M368" s="251"/>
      <c r="N368" s="251"/>
      <c r="O368" s="251"/>
      <c r="P368" s="252"/>
      <c r="Q368" s="4"/>
      <c r="R368" s="4"/>
      <c r="S368" s="4"/>
      <c r="T368" s="4"/>
      <c r="U368" s="220"/>
      <c r="V368" s="220"/>
      <c r="W368" s="220"/>
    </row>
    <row r="369" spans="1:23" ht="5.0999999999999996" customHeight="1" x14ac:dyDescent="0.15">
      <c r="A369" s="220"/>
      <c r="B369" s="4"/>
      <c r="C369" s="4"/>
      <c r="D369" s="4"/>
      <c r="E369" s="4"/>
      <c r="F369" s="4"/>
      <c r="G369" s="4"/>
      <c r="H369" s="4"/>
      <c r="I369" s="4"/>
      <c r="J369" s="4"/>
      <c r="K369" s="4"/>
      <c r="L369" s="4"/>
      <c r="M369" s="4"/>
      <c r="N369" s="4"/>
      <c r="O369" s="4"/>
      <c r="P369" s="4"/>
      <c r="Q369" s="4"/>
      <c r="R369" s="4"/>
      <c r="S369" s="4"/>
      <c r="T369" s="4"/>
      <c r="U369" s="220"/>
      <c r="V369" s="220"/>
      <c r="W369" s="220"/>
    </row>
    <row r="370" spans="1:23" x14ac:dyDescent="0.15">
      <c r="A370" s="220"/>
      <c r="B370" s="4"/>
      <c r="C370" s="289" t="s">
        <v>71</v>
      </c>
      <c r="D370" s="289"/>
      <c r="E370" s="289"/>
      <c r="F370" s="289"/>
      <c r="G370" s="4"/>
      <c r="H370" s="4"/>
      <c r="I370" s="135"/>
      <c r="J370" s="4"/>
      <c r="K370" s="4"/>
      <c r="L370" s="4"/>
      <c r="M370" s="4"/>
      <c r="N370" s="4"/>
      <c r="O370" s="4"/>
      <c r="P370" s="4"/>
      <c r="Q370" s="4"/>
      <c r="R370" s="4"/>
      <c r="S370" s="4"/>
      <c r="T370" s="4"/>
      <c r="U370" s="220"/>
      <c r="V370" s="220"/>
      <c r="W370" s="220"/>
    </row>
    <row r="371" spans="1:23" ht="5.0999999999999996" customHeight="1" thickBot="1" x14ac:dyDescent="0.2">
      <c r="A371" s="220"/>
      <c r="B371" s="4"/>
      <c r="C371" s="4"/>
      <c r="D371" s="4"/>
      <c r="E371" s="4"/>
      <c r="F371" s="4"/>
      <c r="G371" s="4"/>
      <c r="H371" s="4"/>
      <c r="I371" s="4"/>
      <c r="J371" s="4"/>
      <c r="K371" s="4"/>
      <c r="L371" s="4"/>
      <c r="M371" s="4"/>
      <c r="N371" s="4"/>
      <c r="O371" s="4"/>
      <c r="P371" s="4"/>
      <c r="Q371" s="4"/>
      <c r="R371" s="4"/>
      <c r="S371" s="4"/>
      <c r="T371" s="4"/>
      <c r="U371" s="220"/>
      <c r="V371" s="220"/>
      <c r="W371" s="220"/>
    </row>
    <row r="372" spans="1:23" ht="14.25" thickBot="1" x14ac:dyDescent="0.2">
      <c r="A372" s="220"/>
      <c r="B372" s="4"/>
      <c r="C372" s="4"/>
      <c r="D372" s="4"/>
      <c r="E372" s="4"/>
      <c r="F372" s="4"/>
      <c r="G372" s="58" t="s">
        <v>72</v>
      </c>
      <c r="H372" s="58"/>
      <c r="I372" s="281"/>
      <c r="J372" s="282"/>
      <c r="K372" s="282"/>
      <c r="L372" s="282"/>
      <c r="M372" s="283"/>
      <c r="N372" s="4" t="str">
        <f>IF(OR(COUNTIF(I372,"*-*"),COUNTIF(I372,"*－*"),COUNTIF(I372,"*―*")),"　ハイフンを使用不可","　ハイフンなしで入力すること")</f>
        <v>　ハイフンなしで入力すること</v>
      </c>
      <c r="O372" s="4"/>
      <c r="P372" s="4"/>
      <c r="Q372" s="4"/>
      <c r="R372" s="4"/>
      <c r="S372" s="4"/>
      <c r="T372" s="4"/>
      <c r="U372" s="220"/>
      <c r="V372" s="220"/>
      <c r="W372" s="220"/>
    </row>
    <row r="373" spans="1:23" ht="5.0999999999999996" customHeight="1" thickBot="1" x14ac:dyDescent="0.2">
      <c r="A373" s="220"/>
      <c r="B373" s="4"/>
      <c r="C373" s="4"/>
      <c r="D373" s="4"/>
      <c r="E373" s="4"/>
      <c r="F373" s="4"/>
      <c r="G373" s="4"/>
      <c r="H373" s="4"/>
      <c r="I373" s="4"/>
      <c r="J373" s="4"/>
      <c r="K373" s="4"/>
      <c r="L373" s="4"/>
      <c r="M373" s="4"/>
      <c r="N373" s="4"/>
      <c r="O373" s="4"/>
      <c r="P373" s="4"/>
      <c r="Q373" s="4"/>
      <c r="R373" s="4"/>
      <c r="S373" s="4"/>
      <c r="T373" s="4"/>
      <c r="U373" s="220"/>
      <c r="V373" s="220"/>
      <c r="W373" s="220"/>
    </row>
    <row r="374" spans="1:23" ht="14.25" thickBot="1" x14ac:dyDescent="0.2">
      <c r="A374" s="220"/>
      <c r="B374" s="4"/>
      <c r="C374" s="4"/>
      <c r="D374" s="4"/>
      <c r="E374" s="4"/>
      <c r="F374" s="4"/>
      <c r="G374" s="58" t="s">
        <v>73</v>
      </c>
      <c r="H374" s="58"/>
      <c r="I374" s="281"/>
      <c r="J374" s="282"/>
      <c r="K374" s="282"/>
      <c r="L374" s="282"/>
      <c r="M374" s="283"/>
      <c r="N374" s="4" t="str">
        <f>IF(OR(COUNTIF(I374,"*-*"),COUNTIF(I374,"*－*"),COUNTIF(I374,"*―*")),"　ハイフンを使用不可","　ハイフンなしで入力すること")</f>
        <v>　ハイフンなしで入力すること</v>
      </c>
      <c r="O374" s="4"/>
      <c r="P374" s="4"/>
      <c r="Q374" s="4"/>
      <c r="R374" s="4"/>
      <c r="S374" s="4"/>
      <c r="T374" s="4"/>
      <c r="U374" s="220"/>
      <c r="V374" s="220"/>
      <c r="W374" s="220"/>
    </row>
    <row r="375" spans="1:23" ht="5.0999999999999996" customHeight="1" thickBot="1" x14ac:dyDescent="0.2">
      <c r="A375" s="220"/>
      <c r="B375" s="4"/>
      <c r="C375" s="4"/>
      <c r="D375" s="4"/>
      <c r="E375" s="4"/>
      <c r="F375" s="4"/>
      <c r="G375" s="4"/>
      <c r="H375" s="4"/>
      <c r="I375" s="4"/>
      <c r="J375" s="4"/>
      <c r="K375" s="4"/>
      <c r="L375" s="4"/>
      <c r="M375" s="4"/>
      <c r="N375" s="4"/>
      <c r="O375" s="4"/>
      <c r="P375" s="4"/>
      <c r="Q375" s="4"/>
      <c r="R375" s="4"/>
      <c r="S375" s="4"/>
      <c r="T375" s="4"/>
      <c r="U375" s="220"/>
      <c r="V375" s="220"/>
      <c r="W375" s="220"/>
    </row>
    <row r="376" spans="1:23" ht="14.25" thickBot="1" x14ac:dyDescent="0.2">
      <c r="A376" s="220"/>
      <c r="B376" s="4"/>
      <c r="C376" s="4"/>
      <c r="D376" s="4"/>
      <c r="E376" s="4"/>
      <c r="F376" s="4"/>
      <c r="G376" s="58" t="s">
        <v>74</v>
      </c>
      <c r="H376" s="58"/>
      <c r="I376" s="136" t="s">
        <v>75</v>
      </c>
      <c r="J376" s="136"/>
      <c r="K376" s="302"/>
      <c r="L376" s="303"/>
      <c r="M376" s="303"/>
      <c r="N376" s="303"/>
      <c r="O376" s="304"/>
      <c r="P376" s="4"/>
      <c r="Q376" s="4"/>
      <c r="R376" s="4"/>
      <c r="S376" s="4"/>
      <c r="T376" s="4"/>
      <c r="U376" s="220"/>
      <c r="V376" s="220"/>
      <c r="W376" s="220"/>
    </row>
    <row r="377" spans="1:23" ht="5.0999999999999996" customHeight="1" thickBot="1" x14ac:dyDescent="0.2">
      <c r="A377" s="220"/>
      <c r="B377" s="4"/>
      <c r="C377" s="4"/>
      <c r="D377" s="4"/>
      <c r="E377" s="4"/>
      <c r="F377" s="4"/>
      <c r="G377" s="4"/>
      <c r="H377" s="4"/>
      <c r="I377" s="4"/>
      <c r="J377" s="4"/>
      <c r="K377" s="4"/>
      <c r="L377" s="4"/>
      <c r="M377" s="4"/>
      <c r="N377" s="4"/>
      <c r="O377" s="4"/>
      <c r="P377" s="4"/>
      <c r="Q377" s="4"/>
      <c r="R377" s="4"/>
      <c r="S377" s="4"/>
      <c r="T377" s="4"/>
      <c r="U377" s="220"/>
      <c r="V377" s="220"/>
      <c r="W377" s="220"/>
    </row>
    <row r="378" spans="1:23" ht="14.25" thickBot="1" x14ac:dyDescent="0.2">
      <c r="A378" s="220"/>
      <c r="B378" s="4"/>
      <c r="C378" s="4"/>
      <c r="D378" s="4"/>
      <c r="E378" s="4"/>
      <c r="F378" s="4"/>
      <c r="G378" s="4"/>
      <c r="H378" s="4"/>
      <c r="I378" s="136" t="s">
        <v>76</v>
      </c>
      <c r="J378" s="136"/>
      <c r="K378" s="58" t="s">
        <v>77</v>
      </c>
      <c r="L378" s="58"/>
      <c r="M378" s="302"/>
      <c r="N378" s="303"/>
      <c r="O378" s="304"/>
      <c r="P378" s="4"/>
      <c r="Q378" s="4"/>
      <c r="R378" s="4"/>
      <c r="S378" s="4"/>
      <c r="T378" s="4"/>
      <c r="U378" s="220"/>
      <c r="V378" s="220"/>
      <c r="W378" s="220"/>
    </row>
    <row r="379" spans="1:23" ht="5.0999999999999996" customHeight="1" thickBot="1" x14ac:dyDescent="0.2">
      <c r="A379" s="220"/>
      <c r="B379" s="4"/>
      <c r="C379" s="4"/>
      <c r="D379" s="4"/>
      <c r="E379" s="4"/>
      <c r="F379" s="4"/>
      <c r="G379" s="4"/>
      <c r="H379" s="4"/>
      <c r="I379" s="4"/>
      <c r="J379" s="4"/>
      <c r="K379" s="4"/>
      <c r="L379" s="4"/>
      <c r="M379" s="4"/>
      <c r="N379" s="4"/>
      <c r="O379" s="4"/>
      <c r="P379" s="4"/>
      <c r="Q379" s="4"/>
      <c r="R379" s="4"/>
      <c r="S379" s="4"/>
      <c r="T379" s="4"/>
      <c r="U379" s="220"/>
      <c r="V379" s="220"/>
      <c r="W379" s="220"/>
    </row>
    <row r="380" spans="1:23" ht="13.5" customHeight="1" thickBot="1" x14ac:dyDescent="0.2">
      <c r="A380" s="220"/>
      <c r="B380" s="4"/>
      <c r="C380" s="4"/>
      <c r="D380" s="4"/>
      <c r="E380" s="4"/>
      <c r="F380" s="4"/>
      <c r="G380" s="58" t="s">
        <v>281</v>
      </c>
      <c r="H380" s="4"/>
      <c r="I380" s="305"/>
      <c r="J380" s="306"/>
      <c r="K380" s="306"/>
      <c r="L380" s="306"/>
      <c r="M380" s="306"/>
      <c r="N380" s="306"/>
      <c r="O380" s="306"/>
      <c r="P380" s="307"/>
      <c r="Q380" s="4"/>
      <c r="R380" s="4"/>
      <c r="S380" s="4"/>
      <c r="T380" s="4"/>
      <c r="U380" s="220"/>
      <c r="V380" s="220"/>
      <c r="W380" s="220"/>
    </row>
    <row r="381" spans="1:23" ht="3.95" customHeight="1" x14ac:dyDescent="0.15">
      <c r="A381" s="220"/>
      <c r="B381" s="4"/>
      <c r="C381" s="4"/>
      <c r="D381" s="4"/>
      <c r="E381" s="4"/>
      <c r="F381" s="4"/>
      <c r="G381" s="4"/>
      <c r="H381" s="4"/>
      <c r="I381" s="4"/>
      <c r="J381" s="4"/>
      <c r="K381" s="4"/>
      <c r="L381" s="4"/>
      <c r="M381" s="4"/>
      <c r="N381" s="4"/>
      <c r="O381" s="4"/>
      <c r="P381" s="4"/>
      <c r="Q381" s="4"/>
      <c r="R381" s="4"/>
      <c r="S381" s="4"/>
      <c r="T381" s="4"/>
      <c r="U381" s="220"/>
      <c r="V381" s="220"/>
      <c r="W381" s="220"/>
    </row>
    <row r="382" spans="1:23" x14ac:dyDescent="0.15">
      <c r="A382" s="220"/>
      <c r="B382" s="243" t="s">
        <v>497</v>
      </c>
      <c r="C382" s="243"/>
      <c r="D382" s="243"/>
      <c r="E382" s="243"/>
      <c r="F382" s="243"/>
      <c r="G382" s="243"/>
      <c r="H382" s="243"/>
      <c r="I382" s="243"/>
      <c r="J382" s="243"/>
      <c r="K382" s="243"/>
      <c r="L382" s="243"/>
      <c r="M382" s="243"/>
      <c r="N382" s="243"/>
      <c r="O382" s="243"/>
      <c r="P382" s="243"/>
      <c r="Q382" s="243"/>
      <c r="R382" s="243"/>
      <c r="S382" s="243"/>
      <c r="T382" s="243"/>
      <c r="U382" s="220"/>
      <c r="V382" s="220"/>
      <c r="W382" s="220"/>
    </row>
    <row r="383" spans="1:23" ht="5.0999999999999996" customHeight="1" x14ac:dyDescent="0.15">
      <c r="A383" s="220"/>
      <c r="B383" s="2"/>
      <c r="C383" s="2"/>
      <c r="D383" s="2"/>
      <c r="E383" s="2"/>
      <c r="F383" s="2"/>
      <c r="G383" s="2"/>
      <c r="H383" s="2"/>
      <c r="I383" s="2"/>
      <c r="J383" s="2"/>
      <c r="K383" s="2"/>
      <c r="L383" s="2"/>
      <c r="M383" s="2"/>
      <c r="N383" s="2"/>
      <c r="O383" s="2"/>
      <c r="P383" s="2"/>
      <c r="Q383" s="2"/>
      <c r="R383" s="2"/>
      <c r="S383" s="2"/>
      <c r="T383" s="2"/>
      <c r="U383" s="220"/>
      <c r="V383" s="220"/>
      <c r="W383" s="220"/>
    </row>
    <row r="384" spans="1:23" x14ac:dyDescent="0.15">
      <c r="A384" s="220"/>
      <c r="B384" s="2" t="s">
        <v>365</v>
      </c>
      <c r="C384" s="2"/>
      <c r="D384" s="2"/>
      <c r="E384" s="2"/>
      <c r="F384" s="2"/>
      <c r="G384" s="2"/>
      <c r="H384" s="2"/>
      <c r="I384" s="2"/>
      <c r="J384" s="2"/>
      <c r="K384" s="2"/>
      <c r="L384" s="2"/>
      <c r="M384" s="2"/>
      <c r="N384" s="2"/>
      <c r="O384" s="2"/>
      <c r="P384" s="2"/>
      <c r="Q384" s="2"/>
      <c r="R384" s="2"/>
      <c r="S384" s="2"/>
      <c r="T384" s="2"/>
      <c r="U384" s="220"/>
      <c r="V384" s="220"/>
      <c r="W384" s="220"/>
    </row>
    <row r="385" spans="1:23" x14ac:dyDescent="0.15">
      <c r="A385" s="220"/>
      <c r="B385" s="2"/>
      <c r="C385" s="124"/>
      <c r="D385" s="2"/>
      <c r="E385" s="2"/>
      <c r="F385" s="2"/>
      <c r="G385" s="2"/>
      <c r="H385" s="2"/>
      <c r="I385" s="2"/>
      <c r="J385" s="2"/>
      <c r="K385" s="2"/>
      <c r="L385" s="2"/>
      <c r="M385" s="2"/>
      <c r="N385" s="2"/>
      <c r="O385" s="2"/>
      <c r="P385" s="2"/>
      <c r="Q385" s="2"/>
      <c r="R385" s="2"/>
      <c r="S385" s="2"/>
      <c r="T385" s="2"/>
      <c r="U385" s="220"/>
      <c r="V385" s="220"/>
      <c r="W385" s="220"/>
    </row>
    <row r="386" spans="1:23" x14ac:dyDescent="0.15">
      <c r="A386" s="220"/>
      <c r="B386" s="2"/>
      <c r="C386" s="301" t="s">
        <v>71</v>
      </c>
      <c r="D386" s="301"/>
      <c r="E386" s="301"/>
      <c r="F386" s="301"/>
      <c r="G386" s="2"/>
      <c r="H386" s="2"/>
      <c r="I386" s="137"/>
      <c r="J386" s="2"/>
      <c r="K386" s="2"/>
      <c r="L386" s="2"/>
      <c r="M386" s="2"/>
      <c r="N386" s="2"/>
      <c r="O386" s="2"/>
      <c r="P386" s="2"/>
      <c r="Q386" s="2"/>
      <c r="R386" s="2"/>
      <c r="S386" s="2"/>
      <c r="T386" s="2"/>
      <c r="U386" s="220"/>
      <c r="V386" s="220"/>
      <c r="W386" s="220"/>
    </row>
    <row r="387" spans="1:23" ht="5.0999999999999996" customHeight="1" thickBot="1" x14ac:dyDescent="0.2">
      <c r="A387" s="220"/>
      <c r="B387" s="2"/>
      <c r="C387" s="2"/>
      <c r="D387" s="2"/>
      <c r="E387" s="2"/>
      <c r="F387" s="2"/>
      <c r="G387" s="2"/>
      <c r="H387" s="2"/>
      <c r="I387" s="2"/>
      <c r="J387" s="2"/>
      <c r="K387" s="2"/>
      <c r="L387" s="2"/>
      <c r="M387" s="2"/>
      <c r="N387" s="2"/>
      <c r="O387" s="2"/>
      <c r="P387" s="2"/>
      <c r="Q387" s="2"/>
      <c r="R387" s="2"/>
      <c r="S387" s="2"/>
      <c r="T387" s="2"/>
      <c r="U387" s="220"/>
      <c r="V387" s="220"/>
      <c r="W387" s="220"/>
    </row>
    <row r="388" spans="1:23" ht="14.25" thickBot="1" x14ac:dyDescent="0.2">
      <c r="A388" s="220"/>
      <c r="B388" s="2"/>
      <c r="C388" s="2"/>
      <c r="D388" s="2"/>
      <c r="E388" s="2"/>
      <c r="F388" s="2"/>
      <c r="G388" s="63" t="s">
        <v>72</v>
      </c>
      <c r="H388" s="63"/>
      <c r="I388" s="281"/>
      <c r="J388" s="282"/>
      <c r="K388" s="282"/>
      <c r="L388" s="282"/>
      <c r="M388" s="283"/>
      <c r="N388" s="2" t="str">
        <f>IF(OR(COUNTIF(I388,"*-*"),COUNTIF(I388,"*－*"),COUNTIF(I388,"*―*")),"　ハイフンを使用不可","　ハイフンなしで入力すること")</f>
        <v>　ハイフンなしで入力すること</v>
      </c>
      <c r="O388" s="2"/>
      <c r="P388" s="2"/>
      <c r="Q388" s="2"/>
      <c r="R388" s="2"/>
      <c r="S388" s="2"/>
      <c r="T388" s="2"/>
      <c r="U388" s="220"/>
      <c r="V388" s="220"/>
      <c r="W388" s="220"/>
    </row>
    <row r="389" spans="1:23" ht="5.0999999999999996" customHeight="1" thickBot="1" x14ac:dyDescent="0.2">
      <c r="A389" s="220"/>
      <c r="B389" s="2"/>
      <c r="C389" s="2"/>
      <c r="D389" s="2"/>
      <c r="E389" s="2"/>
      <c r="F389" s="2"/>
      <c r="G389" s="2"/>
      <c r="H389" s="2"/>
      <c r="I389" s="2"/>
      <c r="J389" s="2"/>
      <c r="K389" s="2"/>
      <c r="L389" s="2"/>
      <c r="M389" s="2"/>
      <c r="N389" s="2"/>
      <c r="O389" s="2"/>
      <c r="P389" s="2"/>
      <c r="Q389" s="2"/>
      <c r="R389" s="2"/>
      <c r="S389" s="2"/>
      <c r="T389" s="2"/>
      <c r="U389" s="220"/>
      <c r="V389" s="220"/>
      <c r="W389" s="220"/>
    </row>
    <row r="390" spans="1:23" ht="14.25" thickBot="1" x14ac:dyDescent="0.2">
      <c r="A390" s="220"/>
      <c r="B390" s="2"/>
      <c r="C390" s="2"/>
      <c r="D390" s="2"/>
      <c r="E390" s="2"/>
      <c r="F390" s="2"/>
      <c r="G390" s="63" t="s">
        <v>73</v>
      </c>
      <c r="H390" s="63"/>
      <c r="I390" s="281"/>
      <c r="J390" s="282"/>
      <c r="K390" s="282"/>
      <c r="L390" s="282"/>
      <c r="M390" s="283"/>
      <c r="N390" s="2" t="str">
        <f>IF(OR(COUNTIF(I390,"*-*"),COUNTIF(I390,"*－*"),COUNTIF(I390,"*―*")),"　ハイフンを使用不可","　ハイフンなしで入力すること")</f>
        <v>　ハイフンなしで入力すること</v>
      </c>
      <c r="O390" s="2"/>
      <c r="P390" s="2"/>
      <c r="Q390" s="2"/>
      <c r="R390" s="2"/>
      <c r="S390" s="2"/>
      <c r="T390" s="2"/>
      <c r="U390" s="220"/>
      <c r="V390" s="220"/>
      <c r="W390" s="220"/>
    </row>
    <row r="391" spans="1:23" ht="5.0999999999999996" customHeight="1" thickBot="1" x14ac:dyDescent="0.2">
      <c r="A391" s="220"/>
      <c r="B391" s="2"/>
      <c r="C391" s="2"/>
      <c r="D391" s="2"/>
      <c r="E391" s="2"/>
      <c r="F391" s="2"/>
      <c r="G391" s="2"/>
      <c r="H391" s="2"/>
      <c r="I391" s="2"/>
      <c r="J391" s="2"/>
      <c r="K391" s="2"/>
      <c r="L391" s="2"/>
      <c r="M391" s="2"/>
      <c r="N391" s="2"/>
      <c r="O391" s="2"/>
      <c r="P391" s="2"/>
      <c r="Q391" s="2"/>
      <c r="R391" s="2"/>
      <c r="S391" s="2"/>
      <c r="T391" s="2"/>
      <c r="U391" s="220"/>
      <c r="V391" s="220"/>
      <c r="W391" s="220"/>
    </row>
    <row r="392" spans="1:23" ht="14.25" thickBot="1" x14ac:dyDescent="0.2">
      <c r="A392" s="220"/>
      <c r="B392" s="2"/>
      <c r="C392" s="2"/>
      <c r="D392" s="2"/>
      <c r="E392" s="2"/>
      <c r="F392" s="2"/>
      <c r="G392" s="63" t="s">
        <v>74</v>
      </c>
      <c r="H392" s="63"/>
      <c r="I392" s="138" t="s">
        <v>75</v>
      </c>
      <c r="J392" s="138"/>
      <c r="K392" s="302"/>
      <c r="L392" s="303"/>
      <c r="M392" s="303"/>
      <c r="N392" s="303"/>
      <c r="O392" s="304"/>
      <c r="P392" s="2"/>
      <c r="Q392" s="2"/>
      <c r="R392" s="2"/>
      <c r="S392" s="2"/>
      <c r="T392" s="2"/>
      <c r="U392" s="220"/>
      <c r="V392" s="220"/>
      <c r="W392" s="220"/>
    </row>
    <row r="393" spans="1:23" ht="5.0999999999999996" customHeight="1" thickBot="1" x14ac:dyDescent="0.2">
      <c r="A393" s="220"/>
      <c r="B393" s="2"/>
      <c r="C393" s="2"/>
      <c r="D393" s="2"/>
      <c r="E393" s="2"/>
      <c r="F393" s="2"/>
      <c r="G393" s="2"/>
      <c r="H393" s="2"/>
      <c r="I393" s="2"/>
      <c r="J393" s="2"/>
      <c r="K393" s="2"/>
      <c r="L393" s="2"/>
      <c r="M393" s="2"/>
      <c r="N393" s="2"/>
      <c r="O393" s="2"/>
      <c r="P393" s="2"/>
      <c r="Q393" s="2"/>
      <c r="R393" s="2"/>
      <c r="S393" s="2"/>
      <c r="T393" s="2"/>
      <c r="U393" s="220"/>
      <c r="V393" s="220"/>
      <c r="W393" s="220"/>
    </row>
    <row r="394" spans="1:23" ht="14.25" thickBot="1" x14ac:dyDescent="0.2">
      <c r="A394" s="220"/>
      <c r="B394" s="2"/>
      <c r="C394" s="2"/>
      <c r="D394" s="2"/>
      <c r="E394" s="2"/>
      <c r="F394" s="2"/>
      <c r="G394" s="2"/>
      <c r="H394" s="2"/>
      <c r="I394" s="138" t="s">
        <v>76</v>
      </c>
      <c r="J394" s="138"/>
      <c r="K394" s="63" t="s">
        <v>77</v>
      </c>
      <c r="L394" s="63"/>
      <c r="M394" s="302"/>
      <c r="N394" s="303"/>
      <c r="O394" s="304"/>
      <c r="P394" s="2"/>
      <c r="Q394" s="2"/>
      <c r="R394" s="2"/>
      <c r="S394" s="2"/>
      <c r="T394" s="2"/>
      <c r="U394" s="220"/>
      <c r="V394" s="220"/>
      <c r="W394" s="220"/>
    </row>
    <row r="395" spans="1:23" ht="5.0999999999999996" customHeight="1" thickBot="1" x14ac:dyDescent="0.2">
      <c r="A395" s="220"/>
      <c r="B395" s="2"/>
      <c r="C395" s="2"/>
      <c r="D395" s="2"/>
      <c r="E395" s="2"/>
      <c r="F395" s="2"/>
      <c r="G395" s="2"/>
      <c r="H395" s="2"/>
      <c r="I395" s="2"/>
      <c r="J395" s="2"/>
      <c r="K395" s="2"/>
      <c r="L395" s="2"/>
      <c r="M395" s="2"/>
      <c r="N395" s="2"/>
      <c r="O395" s="2"/>
      <c r="P395" s="2"/>
      <c r="Q395" s="2"/>
      <c r="R395" s="2"/>
      <c r="S395" s="2"/>
      <c r="T395" s="2"/>
      <c r="U395" s="220"/>
      <c r="V395" s="220"/>
      <c r="W395" s="220"/>
    </row>
    <row r="396" spans="1:23" ht="13.5" customHeight="1" thickBot="1" x14ac:dyDescent="0.2">
      <c r="A396" s="220"/>
      <c r="B396" s="2"/>
      <c r="C396" s="2"/>
      <c r="D396" s="2"/>
      <c r="E396" s="2"/>
      <c r="F396" s="2"/>
      <c r="G396" s="63" t="s">
        <v>281</v>
      </c>
      <c r="H396" s="2"/>
      <c r="I396" s="305"/>
      <c r="J396" s="306"/>
      <c r="K396" s="306"/>
      <c r="L396" s="306"/>
      <c r="M396" s="306"/>
      <c r="N396" s="306"/>
      <c r="O396" s="306"/>
      <c r="P396" s="307"/>
      <c r="Q396" s="2"/>
      <c r="R396" s="2"/>
      <c r="S396" s="2"/>
      <c r="T396" s="2"/>
      <c r="U396" s="220"/>
      <c r="V396" s="220"/>
      <c r="W396" s="220"/>
    </row>
    <row r="397" spans="1:23" ht="3.95" customHeight="1" x14ac:dyDescent="0.15">
      <c r="A397" s="220"/>
      <c r="B397" s="2"/>
      <c r="C397" s="2"/>
      <c r="D397" s="2"/>
      <c r="E397" s="2"/>
      <c r="F397" s="2"/>
      <c r="G397" s="2"/>
      <c r="H397" s="2"/>
      <c r="I397" s="2"/>
      <c r="J397" s="2"/>
      <c r="K397" s="2"/>
      <c r="L397" s="2"/>
      <c r="M397" s="2"/>
      <c r="N397" s="2"/>
      <c r="O397" s="2"/>
      <c r="P397" s="2"/>
      <c r="Q397" s="2"/>
      <c r="R397" s="2"/>
      <c r="S397" s="2"/>
      <c r="T397" s="2"/>
      <c r="U397" s="220"/>
      <c r="V397" s="220"/>
      <c r="W397" s="220"/>
    </row>
    <row r="398" spans="1:23" x14ac:dyDescent="0.15">
      <c r="A398" s="220"/>
      <c r="B398" s="220"/>
      <c r="C398" s="220"/>
      <c r="D398" s="220"/>
      <c r="E398" s="220"/>
      <c r="F398" s="220"/>
      <c r="G398" s="220"/>
      <c r="H398" s="220"/>
      <c r="I398" s="220"/>
      <c r="J398" s="220"/>
      <c r="K398" s="220"/>
      <c r="L398" s="220"/>
      <c r="M398" s="220"/>
      <c r="N398" s="220"/>
      <c r="O398" s="220"/>
      <c r="P398" s="220"/>
      <c r="Q398" s="220"/>
      <c r="R398" s="220"/>
      <c r="S398" s="220"/>
      <c r="T398" s="220"/>
      <c r="U398" s="220"/>
      <c r="V398" s="220"/>
      <c r="W398" s="220"/>
    </row>
    <row r="399" spans="1:23" ht="5.0999999999999996" customHeight="1" x14ac:dyDescent="0.15">
      <c r="A399" s="220"/>
      <c r="B399" s="4"/>
      <c r="C399" s="4"/>
      <c r="D399" s="4"/>
      <c r="E399" s="4"/>
      <c r="F399" s="4"/>
      <c r="G399" s="4"/>
      <c r="H399" s="4"/>
      <c r="I399" s="4"/>
      <c r="J399" s="4"/>
      <c r="K399" s="4"/>
      <c r="L399" s="4"/>
      <c r="M399" s="4"/>
      <c r="N399" s="4"/>
      <c r="O399" s="4"/>
      <c r="P399" s="4"/>
      <c r="Q399" s="4"/>
      <c r="R399" s="4"/>
      <c r="S399" s="4"/>
      <c r="T399" s="4"/>
      <c r="U399" s="220"/>
      <c r="V399" s="220"/>
      <c r="W399" s="220"/>
    </row>
    <row r="400" spans="1:23" x14ac:dyDescent="0.15">
      <c r="A400" s="220"/>
      <c r="B400" s="4" t="s">
        <v>465</v>
      </c>
      <c r="C400" s="4"/>
      <c r="D400" s="4"/>
      <c r="E400" s="4"/>
      <c r="F400" s="4"/>
      <c r="G400" s="4"/>
      <c r="H400" s="4"/>
      <c r="I400" s="4"/>
      <c r="J400" s="4"/>
      <c r="K400" s="4"/>
      <c r="L400" s="4"/>
      <c r="M400" s="4"/>
      <c r="N400" s="4"/>
      <c r="O400" s="4"/>
      <c r="P400" s="4"/>
      <c r="Q400" s="4"/>
      <c r="R400" s="4"/>
      <c r="S400" s="4"/>
      <c r="T400" s="4"/>
      <c r="U400" s="220"/>
      <c r="V400" s="220"/>
      <c r="W400" s="220"/>
    </row>
    <row r="401" spans="1:23" x14ac:dyDescent="0.15">
      <c r="A401" s="220"/>
      <c r="B401" s="4" t="s">
        <v>84</v>
      </c>
      <c r="C401" s="4" t="s">
        <v>85</v>
      </c>
      <c r="D401" s="4"/>
      <c r="E401" s="4"/>
      <c r="F401" s="4"/>
      <c r="G401" s="4"/>
      <c r="H401" s="4"/>
      <c r="I401" s="4"/>
      <c r="J401" s="4"/>
      <c r="K401" s="4"/>
      <c r="L401" s="4"/>
      <c r="M401" s="4"/>
      <c r="N401" s="4"/>
      <c r="O401" s="4"/>
      <c r="P401" s="4"/>
      <c r="Q401" s="4"/>
      <c r="R401" s="4"/>
      <c r="S401" s="4"/>
      <c r="T401" s="4"/>
      <c r="U401" s="220"/>
      <c r="V401" s="220"/>
      <c r="W401" s="220"/>
    </row>
    <row r="402" spans="1:23" ht="5.0999999999999996" customHeight="1" x14ac:dyDescent="0.15">
      <c r="A402" s="220"/>
      <c r="B402" s="4"/>
      <c r="C402" s="4"/>
      <c r="D402" s="4"/>
      <c r="E402" s="4"/>
      <c r="F402" s="4"/>
      <c r="G402" s="4"/>
      <c r="H402" s="4"/>
      <c r="I402" s="4"/>
      <c r="J402" s="4"/>
      <c r="K402" s="4"/>
      <c r="L402" s="4"/>
      <c r="M402" s="4"/>
      <c r="N402" s="4"/>
      <c r="O402" s="4"/>
      <c r="P402" s="4"/>
      <c r="Q402" s="4"/>
      <c r="R402" s="4"/>
      <c r="S402" s="4"/>
      <c r="T402" s="4"/>
      <c r="U402" s="220"/>
      <c r="V402" s="220"/>
      <c r="W402" s="220"/>
    </row>
    <row r="403" spans="1:23" x14ac:dyDescent="0.15">
      <c r="A403" s="220"/>
      <c r="B403" s="4"/>
      <c r="C403" s="66" t="s">
        <v>258</v>
      </c>
      <c r="D403" s="66"/>
      <c r="E403" s="66"/>
      <c r="F403" s="66"/>
      <c r="G403" s="4"/>
      <c r="H403" s="4"/>
      <c r="I403" s="4"/>
      <c r="J403" s="4"/>
      <c r="K403" s="4"/>
      <c r="L403" s="4"/>
      <c r="M403" s="4"/>
      <c r="N403" s="4"/>
      <c r="O403" s="4"/>
      <c r="P403" s="4"/>
      <c r="Q403" s="4"/>
      <c r="R403" s="4"/>
      <c r="S403" s="4"/>
      <c r="T403" s="4"/>
      <c r="U403" s="220"/>
      <c r="V403" s="220"/>
      <c r="W403" s="220"/>
    </row>
    <row r="404" spans="1:23" x14ac:dyDescent="0.15">
      <c r="A404" s="220"/>
      <c r="B404" s="4"/>
      <c r="C404" s="4" t="s">
        <v>501</v>
      </c>
      <c r="D404" s="4"/>
      <c r="E404" s="4"/>
      <c r="F404" s="4"/>
      <c r="G404" s="4"/>
      <c r="H404" s="4"/>
      <c r="I404" s="4"/>
      <c r="J404" s="4"/>
      <c r="K404" s="4"/>
      <c r="L404" s="4"/>
      <c r="M404" s="4"/>
      <c r="N404" s="4"/>
      <c r="O404" s="4"/>
      <c r="P404" s="4"/>
      <c r="Q404" s="4"/>
      <c r="R404" s="4"/>
      <c r="S404" s="4"/>
      <c r="T404" s="4"/>
      <c r="U404" s="220"/>
      <c r="V404" s="220"/>
      <c r="W404" s="220"/>
    </row>
    <row r="405" spans="1:23" ht="5.0999999999999996" customHeight="1" thickBot="1" x14ac:dyDescent="0.2">
      <c r="A405" s="220"/>
      <c r="B405" s="4"/>
      <c r="C405" s="4"/>
      <c r="D405" s="4"/>
      <c r="E405" s="4"/>
      <c r="F405" s="4"/>
      <c r="G405" s="4"/>
      <c r="H405" s="4"/>
      <c r="I405" s="4"/>
      <c r="J405" s="4"/>
      <c r="K405" s="4"/>
      <c r="L405" s="4"/>
      <c r="M405" s="4"/>
      <c r="N405" s="4"/>
      <c r="O405" s="4"/>
      <c r="P405" s="4"/>
      <c r="Q405" s="4"/>
      <c r="R405" s="4"/>
      <c r="S405" s="4"/>
      <c r="T405" s="4"/>
      <c r="U405" s="220"/>
      <c r="V405" s="220"/>
      <c r="W405" s="220"/>
    </row>
    <row r="406" spans="1:23" ht="14.25" thickBot="1" x14ac:dyDescent="0.2">
      <c r="A406" s="220"/>
      <c r="B406" s="298" t="s">
        <v>86</v>
      </c>
      <c r="C406" s="256"/>
      <c r="D406" s="256"/>
      <c r="E406" s="256"/>
      <c r="F406" s="311"/>
      <c r="G406" s="312"/>
      <c r="H406" s="4"/>
      <c r="I406" s="4" t="s">
        <v>30</v>
      </c>
      <c r="J406" s="4"/>
      <c r="K406" s="4"/>
      <c r="L406" s="4"/>
      <c r="M406" s="4"/>
      <c r="N406" s="4"/>
      <c r="O406" s="4"/>
      <c r="P406" s="4"/>
      <c r="Q406" s="4"/>
      <c r="R406" s="4"/>
      <c r="S406" s="4"/>
      <c r="T406" s="4"/>
      <c r="U406" s="220"/>
      <c r="V406" s="220"/>
      <c r="W406" s="220"/>
    </row>
    <row r="407" spans="1:23" x14ac:dyDescent="0.15">
      <c r="A407" s="220"/>
      <c r="B407" s="4"/>
      <c r="C407" s="4" t="s">
        <v>500</v>
      </c>
      <c r="D407" s="4"/>
      <c r="E407" s="4"/>
      <c r="F407" s="4"/>
      <c r="G407" s="4"/>
      <c r="H407" s="4"/>
      <c r="I407" s="4"/>
      <c r="J407" s="4"/>
      <c r="K407" s="4"/>
      <c r="L407" s="4"/>
      <c r="M407" s="4"/>
      <c r="N407" s="4"/>
      <c r="O407" s="4"/>
      <c r="P407" s="4"/>
      <c r="Q407" s="4"/>
      <c r="R407" s="4"/>
      <c r="S407" s="4"/>
      <c r="T407" s="4"/>
      <c r="U407" s="220"/>
      <c r="V407" s="220"/>
      <c r="W407" s="220"/>
    </row>
    <row r="408" spans="1:23" x14ac:dyDescent="0.15">
      <c r="A408" s="220"/>
      <c r="B408" s="4"/>
      <c r="C408" s="4" t="str">
        <f>IF(F406="16以上","役員が16名以上の場合は、16人目以降の情報を「様式第1_別紙2（予備）」シートに直接入力してください。","枠内が白色の箇所に役職、氏名、生年月日、性別を入力してください。")</f>
        <v>枠内が白色の箇所に役職、氏名、生年月日、性別を入力してください。</v>
      </c>
      <c r="D408" s="4"/>
      <c r="E408" s="4"/>
      <c r="F408" s="4"/>
      <c r="G408" s="4"/>
      <c r="H408" s="4"/>
      <c r="I408" s="4"/>
      <c r="J408" s="4"/>
      <c r="K408" s="4"/>
      <c r="L408" s="4"/>
      <c r="M408" s="4"/>
      <c r="N408" s="4"/>
      <c r="O408" s="4"/>
      <c r="P408" s="4"/>
      <c r="Q408" s="4"/>
      <c r="R408" s="4"/>
      <c r="S408" s="4"/>
      <c r="T408" s="4"/>
      <c r="U408" s="220"/>
      <c r="V408" s="220"/>
      <c r="W408" s="220"/>
    </row>
    <row r="409" spans="1:23" ht="5.0999999999999996" customHeight="1" x14ac:dyDescent="0.15">
      <c r="A409" s="220"/>
      <c r="B409" s="4"/>
      <c r="C409" s="4"/>
      <c r="D409" s="4"/>
      <c r="E409" s="4"/>
      <c r="F409" s="4"/>
      <c r="G409" s="4"/>
      <c r="H409" s="4"/>
      <c r="I409" s="4"/>
      <c r="J409" s="4"/>
      <c r="K409" s="4"/>
      <c r="L409" s="4"/>
      <c r="M409" s="4"/>
      <c r="N409" s="4"/>
      <c r="O409" s="4"/>
      <c r="P409" s="4"/>
      <c r="Q409" s="4"/>
      <c r="R409" s="4"/>
      <c r="S409" s="4"/>
      <c r="T409" s="4"/>
      <c r="U409" s="220"/>
      <c r="V409" s="220"/>
      <c r="W409" s="220"/>
    </row>
    <row r="410" spans="1:23" x14ac:dyDescent="0.15">
      <c r="A410" s="220"/>
      <c r="B410" s="4"/>
      <c r="C410" s="289" t="s">
        <v>87</v>
      </c>
      <c r="D410" s="301"/>
      <c r="E410" s="4"/>
      <c r="F410" s="289" t="s">
        <v>69</v>
      </c>
      <c r="G410" s="301"/>
      <c r="H410" s="13"/>
      <c r="I410" s="13" t="s">
        <v>70</v>
      </c>
      <c r="J410" s="13"/>
      <c r="K410" s="13" t="s">
        <v>88</v>
      </c>
      <c r="L410" s="4"/>
      <c r="M410" s="13" t="s">
        <v>89</v>
      </c>
      <c r="N410" s="4"/>
      <c r="O410" s="13" t="s">
        <v>90</v>
      </c>
      <c r="P410" s="4"/>
      <c r="Q410" s="13" t="s">
        <v>91</v>
      </c>
      <c r="R410" s="13"/>
      <c r="S410" s="4"/>
      <c r="T410" s="4"/>
      <c r="U410" s="220"/>
      <c r="V410" s="220"/>
      <c r="W410" s="220"/>
    </row>
    <row r="411" spans="1:23" ht="5.0999999999999996" customHeight="1" thickBot="1" x14ac:dyDescent="0.2">
      <c r="A411" s="220"/>
      <c r="B411" s="4"/>
      <c r="C411" s="4"/>
      <c r="D411" s="4"/>
      <c r="E411" s="4"/>
      <c r="F411" s="4"/>
      <c r="G411" s="4"/>
      <c r="H411" s="4"/>
      <c r="I411" s="4"/>
      <c r="J411" s="13"/>
      <c r="K411" s="4"/>
      <c r="L411" s="4"/>
      <c r="M411" s="4"/>
      <c r="N411" s="4"/>
      <c r="O411" s="4"/>
      <c r="P411" s="4"/>
      <c r="Q411" s="4"/>
      <c r="R411" s="4"/>
      <c r="S411" s="4"/>
      <c r="T411" s="4"/>
      <c r="U411" s="220"/>
      <c r="V411" s="220"/>
      <c r="W411" s="220"/>
    </row>
    <row r="412" spans="1:23" ht="14.25" thickBot="1" x14ac:dyDescent="0.2">
      <c r="A412" s="220"/>
      <c r="B412" s="20">
        <v>1</v>
      </c>
      <c r="C412" s="285" t="str">
        <f>IF(G54&lt;&gt;"",G54,"")</f>
        <v/>
      </c>
      <c r="D412" s="286"/>
      <c r="E412" s="4"/>
      <c r="F412" s="285" t="str">
        <f>IF(G56&lt;&gt;"",G56,"")</f>
        <v/>
      </c>
      <c r="G412" s="286"/>
      <c r="H412" s="4"/>
      <c r="I412" s="79" t="str">
        <f>IF(G58&lt;&gt;"",G58,"")</f>
        <v/>
      </c>
      <c r="J412" s="13"/>
      <c r="K412" s="79" t="str">
        <f>IF(G60&lt;&gt;"",G60,"")</f>
        <v/>
      </c>
      <c r="L412" s="21"/>
      <c r="M412" s="79" t="str">
        <f>IF(G62&lt;&gt;"",G62,"")</f>
        <v/>
      </c>
      <c r="N412" s="4"/>
      <c r="O412" s="80" t="str">
        <f>IF(G64&lt;&gt;"",G64,"")</f>
        <v/>
      </c>
      <c r="P412" s="4"/>
      <c r="Q412" s="80" t="str">
        <f>IF(G66&lt;&gt;"",G66,"")</f>
        <v/>
      </c>
      <c r="R412" s="98" t="s">
        <v>256</v>
      </c>
      <c r="S412" s="4"/>
      <c r="T412" s="4"/>
      <c r="U412" s="220"/>
      <c r="V412" s="220"/>
      <c r="W412" s="220"/>
    </row>
    <row r="413" spans="1:23" ht="5.0999999999999996" customHeight="1" thickBot="1" x14ac:dyDescent="0.2">
      <c r="A413" s="220"/>
      <c r="B413" s="4"/>
      <c r="C413" s="13"/>
      <c r="D413" s="13"/>
      <c r="E413" s="4"/>
      <c r="F413" s="4"/>
      <c r="G413" s="4"/>
      <c r="H413" s="4"/>
      <c r="I413" s="4"/>
      <c r="J413" s="13"/>
      <c r="K413" s="4"/>
      <c r="L413" s="4"/>
      <c r="M413" s="4"/>
      <c r="N413" s="4"/>
      <c r="O413" s="4"/>
      <c r="P413" s="4"/>
      <c r="Q413" s="4"/>
      <c r="R413" s="4"/>
      <c r="S413" s="4"/>
      <c r="T413" s="4"/>
      <c r="U413" s="220"/>
      <c r="V413" s="220"/>
      <c r="W413" s="220"/>
    </row>
    <row r="414" spans="1:23" ht="14.25" thickBot="1" x14ac:dyDescent="0.2">
      <c r="A414" s="220"/>
      <c r="B414" s="20">
        <v>2</v>
      </c>
      <c r="C414" s="287"/>
      <c r="D414" s="288"/>
      <c r="E414" s="4"/>
      <c r="F414" s="287"/>
      <c r="G414" s="288"/>
      <c r="H414" s="4"/>
      <c r="I414" s="15"/>
      <c r="J414" s="13"/>
      <c r="K414" s="15"/>
      <c r="L414" s="21"/>
      <c r="M414" s="15"/>
      <c r="N414" s="4"/>
      <c r="O414" s="18"/>
      <c r="P414" s="4"/>
      <c r="Q414" s="15"/>
      <c r="R414" s="4"/>
      <c r="S414" s="4"/>
      <c r="T414" s="4"/>
      <c r="U414" s="220"/>
      <c r="V414" s="220"/>
      <c r="W414" s="220"/>
    </row>
    <row r="415" spans="1:23" ht="5.0999999999999996" customHeight="1" thickBot="1" x14ac:dyDescent="0.2">
      <c r="A415" s="220"/>
      <c r="B415" s="4"/>
      <c r="C415" s="13"/>
      <c r="D415" s="13"/>
      <c r="E415" s="4"/>
      <c r="F415" s="4"/>
      <c r="G415" s="4"/>
      <c r="H415" s="4"/>
      <c r="I415" s="4"/>
      <c r="J415" s="13"/>
      <c r="K415" s="4"/>
      <c r="L415" s="4"/>
      <c r="M415" s="4"/>
      <c r="N415" s="4"/>
      <c r="O415" s="4"/>
      <c r="P415" s="4"/>
      <c r="Q415" s="4"/>
      <c r="R415" s="4"/>
      <c r="S415" s="4"/>
      <c r="T415" s="4"/>
      <c r="U415" s="220"/>
      <c r="V415" s="220"/>
      <c r="W415" s="220"/>
    </row>
    <row r="416" spans="1:23" ht="14.25" thickBot="1" x14ac:dyDescent="0.2">
      <c r="A416" s="220"/>
      <c r="B416" s="20">
        <v>3</v>
      </c>
      <c r="C416" s="287"/>
      <c r="D416" s="288"/>
      <c r="E416" s="4"/>
      <c r="F416" s="287"/>
      <c r="G416" s="288"/>
      <c r="H416" s="4"/>
      <c r="I416" s="15"/>
      <c r="J416" s="13"/>
      <c r="K416" s="15"/>
      <c r="L416" s="21"/>
      <c r="M416" s="15"/>
      <c r="N416" s="4"/>
      <c r="O416" s="18"/>
      <c r="P416" s="4"/>
      <c r="Q416" s="15"/>
      <c r="R416" s="4"/>
      <c r="S416" s="4"/>
      <c r="T416" s="4"/>
      <c r="U416" s="220"/>
      <c r="V416" s="220"/>
      <c r="W416" s="220"/>
    </row>
    <row r="417" spans="1:23" ht="5.0999999999999996" customHeight="1" thickBot="1" x14ac:dyDescent="0.2">
      <c r="A417" s="220"/>
      <c r="B417" s="4"/>
      <c r="C417" s="13"/>
      <c r="D417" s="13"/>
      <c r="E417" s="4"/>
      <c r="F417" s="4"/>
      <c r="G417" s="4"/>
      <c r="H417" s="4"/>
      <c r="I417" s="4"/>
      <c r="J417" s="13"/>
      <c r="K417" s="4"/>
      <c r="L417" s="4"/>
      <c r="M417" s="4"/>
      <c r="N417" s="4"/>
      <c r="O417" s="4"/>
      <c r="P417" s="4"/>
      <c r="Q417" s="4"/>
      <c r="R417" s="4"/>
      <c r="S417" s="4"/>
      <c r="T417" s="4"/>
      <c r="U417" s="220"/>
      <c r="V417" s="220"/>
      <c r="W417" s="220"/>
    </row>
    <row r="418" spans="1:23" ht="14.25" thickBot="1" x14ac:dyDescent="0.2">
      <c r="A418" s="220"/>
      <c r="B418" s="20">
        <v>4</v>
      </c>
      <c r="C418" s="287"/>
      <c r="D418" s="288"/>
      <c r="E418" s="4"/>
      <c r="F418" s="287"/>
      <c r="G418" s="288"/>
      <c r="H418" s="4"/>
      <c r="I418" s="15"/>
      <c r="J418" s="13"/>
      <c r="K418" s="15"/>
      <c r="L418" s="21"/>
      <c r="M418" s="15"/>
      <c r="N418" s="4"/>
      <c r="O418" s="18"/>
      <c r="P418" s="4"/>
      <c r="Q418" s="15"/>
      <c r="R418" s="4"/>
      <c r="S418" s="4"/>
      <c r="T418" s="4"/>
      <c r="U418" s="220"/>
      <c r="V418" s="220"/>
      <c r="W418" s="220"/>
    </row>
    <row r="419" spans="1:23" ht="5.0999999999999996" customHeight="1" thickBot="1" x14ac:dyDescent="0.2">
      <c r="A419" s="220"/>
      <c r="B419" s="4"/>
      <c r="C419" s="13"/>
      <c r="D419" s="13"/>
      <c r="E419" s="4"/>
      <c r="F419" s="4"/>
      <c r="G419" s="4"/>
      <c r="H419" s="4"/>
      <c r="I419" s="4"/>
      <c r="J419" s="13"/>
      <c r="K419" s="4"/>
      <c r="L419" s="4"/>
      <c r="M419" s="4"/>
      <c r="N419" s="4"/>
      <c r="O419" s="4"/>
      <c r="P419" s="4"/>
      <c r="Q419" s="4"/>
      <c r="R419" s="4"/>
      <c r="S419" s="4"/>
      <c r="T419" s="4"/>
      <c r="U419" s="220"/>
      <c r="V419" s="220"/>
      <c r="W419" s="220"/>
    </row>
    <row r="420" spans="1:23" ht="14.25" thickBot="1" x14ac:dyDescent="0.2">
      <c r="A420" s="220"/>
      <c r="B420" s="20">
        <v>5</v>
      </c>
      <c r="C420" s="287"/>
      <c r="D420" s="288"/>
      <c r="E420" s="4"/>
      <c r="F420" s="287"/>
      <c r="G420" s="288"/>
      <c r="H420" s="4"/>
      <c r="I420" s="15"/>
      <c r="J420" s="13"/>
      <c r="K420" s="15"/>
      <c r="L420" s="21"/>
      <c r="M420" s="15"/>
      <c r="N420" s="4"/>
      <c r="O420" s="18"/>
      <c r="P420" s="4"/>
      <c r="Q420" s="15"/>
      <c r="R420" s="4"/>
      <c r="S420" s="4"/>
      <c r="T420" s="4"/>
      <c r="U420" s="220"/>
      <c r="V420" s="220"/>
      <c r="W420" s="220"/>
    </row>
    <row r="421" spans="1:23" ht="5.0999999999999996" customHeight="1" thickBot="1" x14ac:dyDescent="0.2">
      <c r="A421" s="220"/>
      <c r="B421" s="4"/>
      <c r="C421" s="13"/>
      <c r="D421" s="13"/>
      <c r="E421" s="4"/>
      <c r="F421" s="4"/>
      <c r="G421" s="4"/>
      <c r="H421" s="4"/>
      <c r="I421" s="4"/>
      <c r="J421" s="13"/>
      <c r="K421" s="4"/>
      <c r="L421" s="4"/>
      <c r="M421" s="4"/>
      <c r="N421" s="4"/>
      <c r="O421" s="4"/>
      <c r="P421" s="4"/>
      <c r="Q421" s="4"/>
      <c r="R421" s="4"/>
      <c r="S421" s="4"/>
      <c r="T421" s="4"/>
      <c r="U421" s="220"/>
      <c r="V421" s="220"/>
      <c r="W421" s="220"/>
    </row>
    <row r="422" spans="1:23" ht="14.25" thickBot="1" x14ac:dyDescent="0.2">
      <c r="A422" s="220"/>
      <c r="B422" s="20">
        <v>6</v>
      </c>
      <c r="C422" s="287"/>
      <c r="D422" s="288"/>
      <c r="E422" s="4"/>
      <c r="F422" s="287"/>
      <c r="G422" s="288"/>
      <c r="H422" s="4"/>
      <c r="I422" s="15"/>
      <c r="J422" s="13"/>
      <c r="K422" s="15"/>
      <c r="L422" s="21"/>
      <c r="M422" s="15"/>
      <c r="N422" s="4"/>
      <c r="O422" s="18"/>
      <c r="P422" s="4"/>
      <c r="Q422" s="15"/>
      <c r="R422" s="4"/>
      <c r="S422" s="4"/>
      <c r="T422" s="4"/>
      <c r="U422" s="220"/>
      <c r="V422" s="220"/>
      <c r="W422" s="220"/>
    </row>
    <row r="423" spans="1:23" ht="5.0999999999999996" customHeight="1" thickBot="1" x14ac:dyDescent="0.2">
      <c r="A423" s="220"/>
      <c r="B423" s="4"/>
      <c r="C423" s="13"/>
      <c r="D423" s="13"/>
      <c r="E423" s="4"/>
      <c r="F423" s="4"/>
      <c r="G423" s="4"/>
      <c r="H423" s="4"/>
      <c r="I423" s="4"/>
      <c r="J423" s="13"/>
      <c r="K423" s="4"/>
      <c r="L423" s="4"/>
      <c r="M423" s="4"/>
      <c r="N423" s="4"/>
      <c r="O423" s="4"/>
      <c r="P423" s="4"/>
      <c r="Q423" s="4"/>
      <c r="R423" s="4"/>
      <c r="S423" s="4"/>
      <c r="T423" s="4"/>
      <c r="U423" s="220"/>
      <c r="V423" s="220"/>
      <c r="W423" s="220"/>
    </row>
    <row r="424" spans="1:23" ht="14.25" thickBot="1" x14ac:dyDescent="0.2">
      <c r="A424" s="220"/>
      <c r="B424" s="20">
        <v>7</v>
      </c>
      <c r="C424" s="287"/>
      <c r="D424" s="288"/>
      <c r="E424" s="4"/>
      <c r="F424" s="287"/>
      <c r="G424" s="288"/>
      <c r="H424" s="4"/>
      <c r="I424" s="15"/>
      <c r="J424" s="13"/>
      <c r="K424" s="15"/>
      <c r="L424" s="21"/>
      <c r="M424" s="15"/>
      <c r="N424" s="4"/>
      <c r="O424" s="18"/>
      <c r="P424" s="4"/>
      <c r="Q424" s="15"/>
      <c r="R424" s="4"/>
      <c r="S424" s="4"/>
      <c r="T424" s="4"/>
      <c r="U424" s="220"/>
      <c r="V424" s="220"/>
      <c r="W424" s="220"/>
    </row>
    <row r="425" spans="1:23" ht="5.0999999999999996" customHeight="1" thickBot="1" x14ac:dyDescent="0.2">
      <c r="A425" s="220"/>
      <c r="B425" s="4"/>
      <c r="C425" s="13"/>
      <c r="D425" s="13"/>
      <c r="E425" s="4"/>
      <c r="F425" s="4"/>
      <c r="G425" s="4"/>
      <c r="H425" s="4"/>
      <c r="I425" s="4"/>
      <c r="J425" s="13"/>
      <c r="K425" s="4"/>
      <c r="L425" s="4"/>
      <c r="M425" s="4"/>
      <c r="N425" s="4"/>
      <c r="O425" s="4"/>
      <c r="P425" s="4"/>
      <c r="Q425" s="4"/>
      <c r="R425" s="4"/>
      <c r="S425" s="4"/>
      <c r="T425" s="4"/>
      <c r="U425" s="220"/>
      <c r="V425" s="220"/>
      <c r="W425" s="220"/>
    </row>
    <row r="426" spans="1:23" ht="14.25" thickBot="1" x14ac:dyDescent="0.2">
      <c r="A426" s="220"/>
      <c r="B426" s="20">
        <v>8</v>
      </c>
      <c r="C426" s="287"/>
      <c r="D426" s="288"/>
      <c r="E426" s="4"/>
      <c r="F426" s="287"/>
      <c r="G426" s="288"/>
      <c r="H426" s="4"/>
      <c r="I426" s="15"/>
      <c r="J426" s="13"/>
      <c r="K426" s="15"/>
      <c r="L426" s="21"/>
      <c r="M426" s="15"/>
      <c r="N426" s="4"/>
      <c r="O426" s="18"/>
      <c r="P426" s="4"/>
      <c r="Q426" s="15"/>
      <c r="R426" s="4"/>
      <c r="S426" s="4"/>
      <c r="T426" s="4"/>
      <c r="U426" s="220"/>
      <c r="V426" s="220"/>
      <c r="W426" s="220"/>
    </row>
    <row r="427" spans="1:23" ht="5.0999999999999996" customHeight="1" thickBot="1" x14ac:dyDescent="0.2">
      <c r="A427" s="220"/>
      <c r="B427" s="4"/>
      <c r="C427" s="13"/>
      <c r="D427" s="13"/>
      <c r="E427" s="4"/>
      <c r="F427" s="4"/>
      <c r="G427" s="4"/>
      <c r="H427" s="4"/>
      <c r="I427" s="4"/>
      <c r="J427" s="13"/>
      <c r="K427" s="4"/>
      <c r="L427" s="4"/>
      <c r="M427" s="4"/>
      <c r="N427" s="4"/>
      <c r="O427" s="4"/>
      <c r="P427" s="4"/>
      <c r="Q427" s="4"/>
      <c r="R427" s="4"/>
      <c r="S427" s="4"/>
      <c r="T427" s="4"/>
      <c r="U427" s="220"/>
      <c r="V427" s="220"/>
      <c r="W427" s="220"/>
    </row>
    <row r="428" spans="1:23" ht="14.25" thickBot="1" x14ac:dyDescent="0.2">
      <c r="A428" s="220"/>
      <c r="B428" s="20">
        <v>9</v>
      </c>
      <c r="C428" s="287"/>
      <c r="D428" s="288"/>
      <c r="E428" s="4"/>
      <c r="F428" s="287"/>
      <c r="G428" s="288"/>
      <c r="H428" s="4"/>
      <c r="I428" s="15"/>
      <c r="J428" s="13"/>
      <c r="K428" s="15"/>
      <c r="L428" s="21"/>
      <c r="M428" s="15"/>
      <c r="N428" s="4"/>
      <c r="O428" s="18"/>
      <c r="P428" s="4"/>
      <c r="Q428" s="15"/>
      <c r="R428" s="4"/>
      <c r="S428" s="4"/>
      <c r="T428" s="4"/>
      <c r="U428" s="220"/>
      <c r="V428" s="220"/>
      <c r="W428" s="220"/>
    </row>
    <row r="429" spans="1:23" ht="5.0999999999999996" customHeight="1" thickBot="1" x14ac:dyDescent="0.2">
      <c r="A429" s="220"/>
      <c r="B429" s="4"/>
      <c r="C429" s="13"/>
      <c r="D429" s="13"/>
      <c r="E429" s="4"/>
      <c r="F429" s="4"/>
      <c r="G429" s="4"/>
      <c r="H429" s="4"/>
      <c r="I429" s="4"/>
      <c r="J429" s="13"/>
      <c r="K429" s="4"/>
      <c r="L429" s="4"/>
      <c r="M429" s="4"/>
      <c r="N429" s="4"/>
      <c r="O429" s="4"/>
      <c r="P429" s="4"/>
      <c r="Q429" s="4"/>
      <c r="R429" s="4"/>
      <c r="S429" s="4"/>
      <c r="T429" s="4"/>
      <c r="U429" s="220"/>
      <c r="V429" s="220"/>
      <c r="W429" s="220"/>
    </row>
    <row r="430" spans="1:23" ht="14.25" thickBot="1" x14ac:dyDescent="0.2">
      <c r="A430" s="220"/>
      <c r="B430" s="20">
        <v>10</v>
      </c>
      <c r="C430" s="287"/>
      <c r="D430" s="288"/>
      <c r="E430" s="4"/>
      <c r="F430" s="287"/>
      <c r="G430" s="288"/>
      <c r="H430" s="4"/>
      <c r="I430" s="15"/>
      <c r="J430" s="13"/>
      <c r="K430" s="15"/>
      <c r="L430" s="21"/>
      <c r="M430" s="15"/>
      <c r="N430" s="4"/>
      <c r="O430" s="18"/>
      <c r="P430" s="4"/>
      <c r="Q430" s="15"/>
      <c r="R430" s="4"/>
      <c r="S430" s="4"/>
      <c r="T430" s="4"/>
      <c r="U430" s="220"/>
      <c r="V430" s="220"/>
      <c r="W430" s="220"/>
    </row>
    <row r="431" spans="1:23" ht="5.0999999999999996" customHeight="1" thickBot="1" x14ac:dyDescent="0.2">
      <c r="A431" s="220"/>
      <c r="B431" s="4"/>
      <c r="C431" s="13"/>
      <c r="D431" s="13"/>
      <c r="E431" s="4"/>
      <c r="F431" s="4"/>
      <c r="G431" s="4"/>
      <c r="H431" s="4"/>
      <c r="I431" s="4"/>
      <c r="J431" s="13"/>
      <c r="K431" s="4"/>
      <c r="L431" s="4"/>
      <c r="M431" s="4"/>
      <c r="N431" s="4"/>
      <c r="O431" s="4"/>
      <c r="P431" s="4"/>
      <c r="Q431" s="4"/>
      <c r="R431" s="4"/>
      <c r="S431" s="4"/>
      <c r="T431" s="4"/>
      <c r="U431" s="220"/>
      <c r="V431" s="220"/>
      <c r="W431" s="220"/>
    </row>
    <row r="432" spans="1:23" ht="14.25" thickBot="1" x14ac:dyDescent="0.2">
      <c r="A432" s="220"/>
      <c r="B432" s="20">
        <v>11</v>
      </c>
      <c r="C432" s="287"/>
      <c r="D432" s="288"/>
      <c r="E432" s="4"/>
      <c r="F432" s="287"/>
      <c r="G432" s="288"/>
      <c r="H432" s="4"/>
      <c r="I432" s="15"/>
      <c r="J432" s="13"/>
      <c r="K432" s="15"/>
      <c r="L432" s="21"/>
      <c r="M432" s="15"/>
      <c r="N432" s="4"/>
      <c r="O432" s="18"/>
      <c r="P432" s="4"/>
      <c r="Q432" s="15"/>
      <c r="R432" s="4"/>
      <c r="S432" s="4"/>
      <c r="T432" s="4"/>
      <c r="U432" s="220"/>
      <c r="V432" s="220"/>
      <c r="W432" s="220"/>
    </row>
    <row r="433" spans="1:23" ht="5.0999999999999996" customHeight="1" thickBot="1" x14ac:dyDescent="0.2">
      <c r="A433" s="220"/>
      <c r="B433" s="4"/>
      <c r="C433" s="13"/>
      <c r="D433" s="13"/>
      <c r="E433" s="4"/>
      <c r="F433" s="4"/>
      <c r="G433" s="4"/>
      <c r="H433" s="4"/>
      <c r="I433" s="4"/>
      <c r="J433" s="13"/>
      <c r="K433" s="4"/>
      <c r="L433" s="4"/>
      <c r="M433" s="4"/>
      <c r="N433" s="4"/>
      <c r="O433" s="4"/>
      <c r="P433" s="4"/>
      <c r="Q433" s="4"/>
      <c r="R433" s="4"/>
      <c r="S433" s="4"/>
      <c r="T433" s="4"/>
      <c r="U433" s="220"/>
      <c r="V433" s="220"/>
      <c r="W433" s="220"/>
    </row>
    <row r="434" spans="1:23" ht="14.25" thickBot="1" x14ac:dyDescent="0.2">
      <c r="A434" s="220"/>
      <c r="B434" s="20">
        <v>12</v>
      </c>
      <c r="C434" s="287"/>
      <c r="D434" s="288"/>
      <c r="E434" s="4"/>
      <c r="F434" s="287"/>
      <c r="G434" s="288"/>
      <c r="H434" s="4"/>
      <c r="I434" s="15"/>
      <c r="J434" s="13"/>
      <c r="K434" s="15"/>
      <c r="L434" s="21"/>
      <c r="M434" s="15"/>
      <c r="N434" s="4"/>
      <c r="O434" s="18"/>
      <c r="P434" s="4"/>
      <c r="Q434" s="15"/>
      <c r="R434" s="4"/>
      <c r="S434" s="4"/>
      <c r="T434" s="4"/>
      <c r="U434" s="220"/>
      <c r="V434" s="220"/>
      <c r="W434" s="220"/>
    </row>
    <row r="435" spans="1:23" ht="5.0999999999999996" customHeight="1" thickBot="1" x14ac:dyDescent="0.2">
      <c r="A435" s="220"/>
      <c r="B435" s="4"/>
      <c r="C435" s="13"/>
      <c r="D435" s="13"/>
      <c r="E435" s="4"/>
      <c r="F435" s="4"/>
      <c r="G435" s="4"/>
      <c r="H435" s="4"/>
      <c r="I435" s="4"/>
      <c r="J435" s="13"/>
      <c r="K435" s="4"/>
      <c r="L435" s="4"/>
      <c r="M435" s="4"/>
      <c r="N435" s="4"/>
      <c r="O435" s="4"/>
      <c r="P435" s="4"/>
      <c r="Q435" s="4"/>
      <c r="R435" s="4"/>
      <c r="S435" s="4"/>
      <c r="T435" s="4"/>
      <c r="U435" s="220"/>
      <c r="V435" s="220"/>
      <c r="W435" s="220"/>
    </row>
    <row r="436" spans="1:23" ht="14.25" thickBot="1" x14ac:dyDescent="0.2">
      <c r="A436" s="220"/>
      <c r="B436" s="20">
        <v>13</v>
      </c>
      <c r="C436" s="287"/>
      <c r="D436" s="288"/>
      <c r="E436" s="4"/>
      <c r="F436" s="287"/>
      <c r="G436" s="288"/>
      <c r="H436" s="4"/>
      <c r="I436" s="15"/>
      <c r="J436" s="13"/>
      <c r="K436" s="15"/>
      <c r="L436" s="21"/>
      <c r="M436" s="15"/>
      <c r="N436" s="4"/>
      <c r="O436" s="18"/>
      <c r="P436" s="4"/>
      <c r="Q436" s="15"/>
      <c r="R436" s="4"/>
      <c r="S436" s="4"/>
      <c r="T436" s="4"/>
      <c r="U436" s="220"/>
      <c r="V436" s="220"/>
      <c r="W436" s="220"/>
    </row>
    <row r="437" spans="1:23" ht="5.0999999999999996" customHeight="1" thickBot="1" x14ac:dyDescent="0.2">
      <c r="A437" s="220"/>
      <c r="B437" s="4"/>
      <c r="C437" s="13"/>
      <c r="D437" s="13"/>
      <c r="E437" s="4"/>
      <c r="F437" s="4"/>
      <c r="G437" s="4"/>
      <c r="H437" s="4"/>
      <c r="I437" s="4"/>
      <c r="J437" s="13"/>
      <c r="K437" s="4"/>
      <c r="L437" s="4"/>
      <c r="M437" s="4"/>
      <c r="N437" s="4"/>
      <c r="O437" s="4"/>
      <c r="P437" s="4"/>
      <c r="Q437" s="4"/>
      <c r="R437" s="4"/>
      <c r="S437" s="4"/>
      <c r="T437" s="4"/>
      <c r="U437" s="220"/>
      <c r="V437" s="220"/>
      <c r="W437" s="220"/>
    </row>
    <row r="438" spans="1:23" ht="14.25" thickBot="1" x14ac:dyDescent="0.2">
      <c r="A438" s="220"/>
      <c r="B438" s="20">
        <v>14</v>
      </c>
      <c r="C438" s="287"/>
      <c r="D438" s="288"/>
      <c r="E438" s="4"/>
      <c r="F438" s="287"/>
      <c r="G438" s="288"/>
      <c r="H438" s="4"/>
      <c r="I438" s="15"/>
      <c r="J438" s="13"/>
      <c r="K438" s="15"/>
      <c r="L438" s="21"/>
      <c r="M438" s="15"/>
      <c r="N438" s="4"/>
      <c r="O438" s="18"/>
      <c r="P438" s="4"/>
      <c r="Q438" s="15"/>
      <c r="R438" s="4"/>
      <c r="S438" s="4"/>
      <c r="T438" s="4"/>
      <c r="U438" s="220"/>
      <c r="V438" s="220"/>
      <c r="W438" s="220"/>
    </row>
    <row r="439" spans="1:23" ht="5.0999999999999996" customHeight="1" thickBot="1" x14ac:dyDescent="0.2">
      <c r="A439" s="220"/>
      <c r="B439" s="4"/>
      <c r="C439" s="13"/>
      <c r="D439" s="13"/>
      <c r="E439" s="4"/>
      <c r="F439" s="4"/>
      <c r="G439" s="4"/>
      <c r="H439" s="4"/>
      <c r="I439" s="4"/>
      <c r="J439" s="13"/>
      <c r="K439" s="4"/>
      <c r="L439" s="4"/>
      <c r="M439" s="4"/>
      <c r="N439" s="4"/>
      <c r="O439" s="4"/>
      <c r="P439" s="4"/>
      <c r="Q439" s="4"/>
      <c r="R439" s="4"/>
      <c r="S439" s="4"/>
      <c r="T439" s="4"/>
      <c r="U439" s="220"/>
      <c r="V439" s="220"/>
      <c r="W439" s="220"/>
    </row>
    <row r="440" spans="1:23" ht="14.25" thickBot="1" x14ac:dyDescent="0.2">
      <c r="A440" s="220"/>
      <c r="B440" s="20">
        <v>15</v>
      </c>
      <c r="C440" s="287"/>
      <c r="D440" s="288"/>
      <c r="E440" s="4"/>
      <c r="F440" s="287"/>
      <c r="G440" s="288"/>
      <c r="H440" s="4"/>
      <c r="I440" s="15"/>
      <c r="J440" s="13"/>
      <c r="K440" s="15"/>
      <c r="L440" s="21"/>
      <c r="M440" s="15"/>
      <c r="N440" s="4"/>
      <c r="O440" s="18"/>
      <c r="P440" s="4"/>
      <c r="Q440" s="15"/>
      <c r="R440" s="4"/>
      <c r="S440" s="4"/>
      <c r="T440" s="4"/>
      <c r="U440" s="220"/>
      <c r="V440" s="220"/>
      <c r="W440" s="220"/>
    </row>
    <row r="441" spans="1:23" ht="5.0999999999999996" customHeight="1" x14ac:dyDescent="0.15">
      <c r="A441" s="220"/>
      <c r="B441" s="4"/>
      <c r="C441" s="4"/>
      <c r="D441" s="4"/>
      <c r="E441" s="4"/>
      <c r="F441" s="4"/>
      <c r="G441" s="4"/>
      <c r="H441" s="4"/>
      <c r="I441" s="4"/>
      <c r="J441" s="4"/>
      <c r="K441" s="4"/>
      <c r="L441" s="4"/>
      <c r="M441" s="4"/>
      <c r="N441" s="4"/>
      <c r="O441" s="4"/>
      <c r="P441" s="4"/>
      <c r="Q441" s="4"/>
      <c r="R441" s="4"/>
      <c r="S441" s="4"/>
      <c r="T441" s="4"/>
      <c r="U441" s="220"/>
      <c r="V441" s="220"/>
      <c r="W441" s="220"/>
    </row>
    <row r="442" spans="1:23" hidden="1" x14ac:dyDescent="0.15">
      <c r="A442" s="220"/>
      <c r="B442" s="284" t="str">
        <f>IF(反映シート!C5=1,"↓↓↓下にスクロールして項目１４を確認してください。↓↓↓","")</f>
        <v/>
      </c>
      <c r="C442" s="284"/>
      <c r="D442" s="284"/>
      <c r="E442" s="284"/>
      <c r="F442" s="284"/>
      <c r="G442" s="284"/>
      <c r="H442" s="284"/>
      <c r="I442" s="284"/>
      <c r="J442" s="284"/>
      <c r="K442" s="284"/>
      <c r="L442" s="284"/>
      <c r="M442" s="284"/>
      <c r="N442" s="284"/>
      <c r="O442" s="284"/>
      <c r="P442" s="284"/>
      <c r="Q442" s="284"/>
      <c r="R442" s="284"/>
      <c r="S442" s="284"/>
      <c r="T442" s="139"/>
      <c r="U442" s="220"/>
      <c r="V442" s="220"/>
      <c r="W442" s="220"/>
    </row>
    <row r="443" spans="1:23" x14ac:dyDescent="0.15">
      <c r="A443" s="227"/>
      <c r="B443" s="266" t="s">
        <v>647</v>
      </c>
      <c r="C443" s="243"/>
      <c r="D443" s="243"/>
      <c r="E443" s="243"/>
      <c r="F443" s="243"/>
      <c r="G443" s="243"/>
      <c r="H443" s="243"/>
      <c r="I443" s="243"/>
      <c r="J443" s="243"/>
      <c r="K443" s="243"/>
      <c r="L443" s="243"/>
      <c r="M443" s="243"/>
      <c r="N443" s="243"/>
      <c r="O443" s="243"/>
      <c r="P443" s="243"/>
      <c r="Q443" s="243"/>
      <c r="R443" s="243"/>
      <c r="S443" s="243"/>
      <c r="T443" s="140"/>
      <c r="U443" s="220"/>
      <c r="V443" s="220"/>
      <c r="W443" s="220"/>
    </row>
    <row r="444" spans="1:23" ht="5.0999999999999996" customHeight="1" x14ac:dyDescent="0.15">
      <c r="A444" s="220"/>
      <c r="B444" s="2"/>
      <c r="C444" s="2"/>
      <c r="D444" s="2"/>
      <c r="E444" s="2"/>
      <c r="F444" s="2"/>
      <c r="G444" s="2"/>
      <c r="H444" s="2"/>
      <c r="I444" s="2"/>
      <c r="J444" s="2"/>
      <c r="K444" s="2"/>
      <c r="L444" s="2"/>
      <c r="M444" s="2"/>
      <c r="N444" s="2"/>
      <c r="O444" s="2"/>
      <c r="P444" s="2"/>
      <c r="Q444" s="2"/>
      <c r="R444" s="2"/>
      <c r="S444" s="2"/>
      <c r="T444" s="2"/>
      <c r="U444" s="220"/>
      <c r="V444" s="220"/>
      <c r="W444" s="220"/>
    </row>
    <row r="445" spans="1:23" x14ac:dyDescent="0.15">
      <c r="A445" s="220"/>
      <c r="B445" s="141" t="s">
        <v>483</v>
      </c>
      <c r="C445" s="122" t="s">
        <v>484</v>
      </c>
      <c r="D445" s="6"/>
      <c r="E445" s="142"/>
      <c r="F445" s="2" t="s">
        <v>485</v>
      </c>
      <c r="G445" s="2"/>
      <c r="H445" s="2"/>
      <c r="I445" s="2"/>
      <c r="J445" s="2"/>
      <c r="K445" s="2"/>
      <c r="L445" s="2"/>
      <c r="M445" s="2"/>
      <c r="N445" s="2"/>
      <c r="O445" s="2"/>
      <c r="P445" s="2"/>
      <c r="Q445" s="2"/>
      <c r="R445" s="143" t="s">
        <v>486</v>
      </c>
      <c r="S445" s="2"/>
      <c r="T445" s="2"/>
      <c r="U445" s="220"/>
      <c r="V445" s="220"/>
      <c r="W445" s="220"/>
    </row>
    <row r="446" spans="1:23" hidden="1" x14ac:dyDescent="0.15">
      <c r="A446" s="220"/>
      <c r="B446" s="2" t="s">
        <v>84</v>
      </c>
      <c r="C446" s="99" t="str">
        <f>IF(OR($C$10="代表申請者が「トラック事業者」、共同申請者が「なし」",$C$10="代表申請者が「荷主」、　　　　　 共同申請者が「なし」"),"↓↓↓下にスクロールして項目１２を確認してください。↓↓↓","（2社以上で共同申請の場合に限り、枠内の色が白い箇所のみ入力してください。）")</f>
        <v>（2社以上で共同申請の場合に限り、枠内の色が白い箇所のみ入力してください。）</v>
      </c>
      <c r="D446" s="99"/>
      <c r="E446" s="2"/>
      <c r="F446" s="2"/>
      <c r="G446" s="2"/>
      <c r="H446" s="2"/>
      <c r="I446" s="2"/>
      <c r="J446" s="2"/>
      <c r="K446" s="2"/>
      <c r="L446" s="2"/>
      <c r="M446" s="2"/>
      <c r="N446" s="2"/>
      <c r="O446" s="2"/>
      <c r="P446" s="2"/>
      <c r="Q446" s="2"/>
      <c r="R446" s="2"/>
      <c r="S446" s="2"/>
      <c r="T446" s="2"/>
      <c r="U446" s="220"/>
      <c r="V446" s="220"/>
      <c r="W446" s="220"/>
    </row>
    <row r="447" spans="1:23" x14ac:dyDescent="0.15">
      <c r="A447" s="220"/>
      <c r="B447" s="2"/>
      <c r="C447" s="124" t="s">
        <v>366</v>
      </c>
      <c r="D447" s="2"/>
      <c r="E447" s="2"/>
      <c r="F447" s="2"/>
      <c r="G447" s="63"/>
      <c r="H447" s="63"/>
      <c r="I447" s="63"/>
      <c r="J447" s="63"/>
      <c r="K447" s="63"/>
      <c r="L447" s="63"/>
      <c r="M447" s="63"/>
      <c r="N447" s="63"/>
      <c r="O447" s="63"/>
      <c r="P447" s="63"/>
      <c r="Q447" s="2"/>
      <c r="R447" s="6"/>
      <c r="S447" s="144"/>
      <c r="T447" s="144"/>
      <c r="U447" s="220"/>
      <c r="V447" s="220"/>
      <c r="W447" s="220"/>
    </row>
    <row r="448" spans="1:23" ht="5.0999999999999996" customHeight="1" x14ac:dyDescent="0.15">
      <c r="A448" s="220"/>
      <c r="B448" s="2"/>
      <c r="C448" s="2"/>
      <c r="D448" s="2"/>
      <c r="E448" s="2"/>
      <c r="F448" s="2"/>
      <c r="G448" s="2"/>
      <c r="H448" s="2"/>
      <c r="I448" s="2"/>
      <c r="J448" s="2"/>
      <c r="K448" s="2"/>
      <c r="L448" s="2"/>
      <c r="M448" s="2"/>
      <c r="N448" s="2"/>
      <c r="O448" s="2"/>
      <c r="P448" s="2"/>
      <c r="Q448" s="2"/>
      <c r="R448" s="2"/>
      <c r="S448" s="2"/>
      <c r="T448" s="2"/>
      <c r="U448" s="220"/>
      <c r="V448" s="220"/>
      <c r="W448" s="220"/>
    </row>
    <row r="449" spans="1:27" ht="14.25" hidden="1" thickBot="1" x14ac:dyDescent="0.2">
      <c r="A449" s="220"/>
      <c r="B449" s="256" t="s">
        <v>64</v>
      </c>
      <c r="C449" s="298"/>
      <c r="D449" s="298"/>
      <c r="E449" s="298"/>
      <c r="F449" s="308"/>
      <c r="G449" s="309"/>
      <c r="H449" s="309"/>
      <c r="I449" s="309"/>
      <c r="J449" s="309"/>
      <c r="K449" s="309"/>
      <c r="L449" s="309"/>
      <c r="M449" s="309"/>
      <c r="N449" s="309"/>
      <c r="O449" s="309"/>
      <c r="P449" s="309"/>
      <c r="Q449" s="310"/>
      <c r="R449" s="2"/>
      <c r="S449" s="2"/>
      <c r="T449" s="2"/>
      <c r="U449" s="220"/>
      <c r="V449" s="220"/>
      <c r="W449" s="220"/>
    </row>
    <row r="450" spans="1:27" ht="5.0999999999999996" customHeight="1" thickBot="1" x14ac:dyDescent="0.2">
      <c r="A450" s="220"/>
      <c r="B450" s="2"/>
      <c r="C450" s="2"/>
      <c r="D450" s="2"/>
      <c r="E450" s="2"/>
      <c r="F450" s="2"/>
      <c r="G450" s="2"/>
      <c r="H450" s="2"/>
      <c r="I450" s="2"/>
      <c r="J450" s="2"/>
      <c r="K450" s="2"/>
      <c r="L450" s="2"/>
      <c r="M450" s="2"/>
      <c r="N450" s="2"/>
      <c r="O450" s="2"/>
      <c r="P450" s="2"/>
      <c r="Q450" s="2"/>
      <c r="R450" s="2"/>
      <c r="S450" s="2"/>
      <c r="T450" s="2"/>
      <c r="U450" s="220"/>
      <c r="V450" s="220"/>
      <c r="W450" s="220"/>
    </row>
    <row r="451" spans="1:27" ht="14.25" thickBot="1" x14ac:dyDescent="0.2">
      <c r="A451" s="220"/>
      <c r="B451" s="256" t="s">
        <v>86</v>
      </c>
      <c r="C451" s="298"/>
      <c r="D451" s="298"/>
      <c r="E451" s="298"/>
      <c r="F451" s="311"/>
      <c r="G451" s="312"/>
      <c r="H451" s="2"/>
      <c r="I451" s="2" t="s">
        <v>30</v>
      </c>
      <c r="J451" s="2"/>
      <c r="K451" s="2"/>
      <c r="L451" s="2"/>
      <c r="M451" s="2"/>
      <c r="N451" s="2"/>
      <c r="O451" s="2"/>
      <c r="P451" s="2"/>
      <c r="Q451" s="2"/>
      <c r="R451" s="2"/>
      <c r="S451" s="2"/>
      <c r="T451" s="2"/>
      <c r="U451" s="220"/>
      <c r="V451" s="220"/>
      <c r="W451" s="220"/>
    </row>
    <row r="452" spans="1:27" x14ac:dyDescent="0.15">
      <c r="A452" s="220"/>
      <c r="B452" s="2"/>
      <c r="C452" s="2" t="s">
        <v>500</v>
      </c>
      <c r="D452" s="2"/>
      <c r="E452" s="2"/>
      <c r="F452" s="2"/>
      <c r="G452" s="2"/>
      <c r="H452" s="2"/>
      <c r="I452" s="2"/>
      <c r="J452" s="2"/>
      <c r="K452" s="2"/>
      <c r="L452" s="2"/>
      <c r="M452" s="2"/>
      <c r="N452" s="2"/>
      <c r="O452" s="2"/>
      <c r="P452" s="2"/>
      <c r="Q452" s="2"/>
      <c r="R452" s="2"/>
      <c r="S452" s="2"/>
      <c r="T452" s="2"/>
      <c r="U452" s="220"/>
      <c r="V452" s="220"/>
      <c r="W452" s="220"/>
      <c r="Z452" s="319"/>
      <c r="AA452" s="319"/>
    </row>
    <row r="453" spans="1:27" x14ac:dyDescent="0.15">
      <c r="A453" s="220"/>
      <c r="B453" s="2"/>
      <c r="C453" s="2" t="str">
        <f>IF(F451="16以上","役員が16名以上の場合は、16人目以降の情報を「様式第1_別紙2（予備）」シートに直接入力してください。","枠内が白色の箇所に役職、氏名、生年月日、性別を入力してください。")</f>
        <v>枠内が白色の箇所に役職、氏名、生年月日、性別を入力してください。</v>
      </c>
      <c r="D453" s="2"/>
      <c r="E453" s="2"/>
      <c r="F453" s="2"/>
      <c r="G453" s="2"/>
      <c r="H453" s="2"/>
      <c r="I453" s="2"/>
      <c r="J453" s="2"/>
      <c r="K453" s="2"/>
      <c r="L453" s="2"/>
      <c r="M453" s="2"/>
      <c r="N453" s="2"/>
      <c r="O453" s="2"/>
      <c r="P453" s="2"/>
      <c r="Q453" s="2"/>
      <c r="R453" s="2"/>
      <c r="S453" s="2"/>
      <c r="T453" s="2"/>
      <c r="U453" s="220"/>
      <c r="V453" s="220"/>
      <c r="W453" s="220"/>
    </row>
    <row r="454" spans="1:27" ht="5.0999999999999996" customHeight="1" x14ac:dyDescent="0.15">
      <c r="A454" s="220"/>
      <c r="B454" s="2"/>
      <c r="C454" s="2"/>
      <c r="D454" s="2"/>
      <c r="E454" s="2"/>
      <c r="F454" s="2"/>
      <c r="G454" s="2"/>
      <c r="H454" s="2"/>
      <c r="I454" s="2"/>
      <c r="J454" s="2"/>
      <c r="K454" s="2"/>
      <c r="L454" s="2"/>
      <c r="M454" s="2"/>
      <c r="N454" s="2"/>
      <c r="O454" s="2"/>
      <c r="P454" s="2"/>
      <c r="Q454" s="2"/>
      <c r="R454" s="2"/>
      <c r="S454" s="2"/>
      <c r="T454" s="2"/>
      <c r="U454" s="220"/>
      <c r="V454" s="220"/>
      <c r="W454" s="220"/>
    </row>
    <row r="455" spans="1:27" x14ac:dyDescent="0.15">
      <c r="A455" s="220"/>
      <c r="B455" s="2"/>
      <c r="C455" s="301" t="s">
        <v>87</v>
      </c>
      <c r="D455" s="289"/>
      <c r="E455" s="2"/>
      <c r="F455" s="301" t="s">
        <v>69</v>
      </c>
      <c r="G455" s="289"/>
      <c r="H455" s="64"/>
      <c r="I455" s="64" t="s">
        <v>70</v>
      </c>
      <c r="J455" s="64"/>
      <c r="K455" s="64" t="s">
        <v>92</v>
      </c>
      <c r="L455" s="2"/>
      <c r="M455" s="64" t="s">
        <v>89</v>
      </c>
      <c r="N455" s="2"/>
      <c r="O455" s="64" t="s">
        <v>90</v>
      </c>
      <c r="P455" s="2"/>
      <c r="Q455" s="64" t="s">
        <v>91</v>
      </c>
      <c r="R455" s="64"/>
      <c r="S455" s="2"/>
      <c r="T455" s="2"/>
      <c r="U455" s="220"/>
      <c r="V455" s="220"/>
      <c r="W455" s="220"/>
    </row>
    <row r="456" spans="1:27" ht="5.0999999999999996" customHeight="1" thickBot="1" x14ac:dyDescent="0.2">
      <c r="A456" s="220"/>
      <c r="B456" s="2"/>
      <c r="C456" s="2"/>
      <c r="D456" s="2"/>
      <c r="E456" s="2"/>
      <c r="F456" s="2"/>
      <c r="G456" s="2"/>
      <c r="H456" s="2"/>
      <c r="I456" s="2"/>
      <c r="J456" s="64"/>
      <c r="K456" s="2"/>
      <c r="L456" s="2"/>
      <c r="M456" s="2"/>
      <c r="N456" s="2"/>
      <c r="O456" s="2"/>
      <c r="P456" s="2"/>
      <c r="Q456" s="2"/>
      <c r="R456" s="2"/>
      <c r="S456" s="2"/>
      <c r="T456" s="2"/>
      <c r="U456" s="220"/>
      <c r="V456" s="220"/>
      <c r="W456" s="220"/>
    </row>
    <row r="457" spans="1:27" ht="14.25" thickBot="1" x14ac:dyDescent="0.2">
      <c r="A457" s="220"/>
      <c r="B457" s="16">
        <v>1</v>
      </c>
      <c r="C457" s="285" t="str">
        <f>IF(G97&lt;&gt;"",G97,"")</f>
        <v/>
      </c>
      <c r="D457" s="286"/>
      <c r="E457" s="2"/>
      <c r="F457" s="285" t="str">
        <f>IF(G99&lt;&gt;"",G99,"")</f>
        <v/>
      </c>
      <c r="G457" s="286"/>
      <c r="H457" s="2"/>
      <c r="I457" s="79" t="str">
        <f>IF(G101&lt;&gt;"",G101,"")</f>
        <v/>
      </c>
      <c r="J457" s="64"/>
      <c r="K457" s="79" t="str">
        <f>IF(G103&lt;&gt;"",G103,"")</f>
        <v/>
      </c>
      <c r="L457" s="64"/>
      <c r="M457" s="79" t="str">
        <f>IF(G105&lt;&gt;"",G105,"")</f>
        <v/>
      </c>
      <c r="N457" s="64"/>
      <c r="O457" s="80" t="str">
        <f>IF(G107&lt;&gt;"",G107,"")</f>
        <v/>
      </c>
      <c r="P457" s="64"/>
      <c r="Q457" s="80" t="str">
        <f>IF(G109&lt;&gt;"",G109,"")</f>
        <v/>
      </c>
      <c r="R457" s="2" t="s">
        <v>487</v>
      </c>
      <c r="S457" s="2"/>
      <c r="T457" s="2"/>
      <c r="U457" s="220"/>
      <c r="V457" s="220"/>
      <c r="W457" s="220"/>
    </row>
    <row r="458" spans="1:27" ht="5.0999999999999996" customHeight="1" thickBot="1" x14ac:dyDescent="0.2">
      <c r="A458" s="220"/>
      <c r="B458" s="2"/>
      <c r="C458" s="64"/>
      <c r="D458" s="64"/>
      <c r="E458" s="2"/>
      <c r="F458" s="2"/>
      <c r="G458" s="2"/>
      <c r="H458" s="2"/>
      <c r="I458" s="2"/>
      <c r="J458" s="64"/>
      <c r="K458" s="2"/>
      <c r="L458" s="2"/>
      <c r="M458" s="2"/>
      <c r="N458" s="2"/>
      <c r="O458" s="2"/>
      <c r="P458" s="2"/>
      <c r="Q458" s="2"/>
      <c r="R458" s="2"/>
      <c r="S458" s="2"/>
      <c r="T458" s="2"/>
      <c r="U458" s="220"/>
      <c r="V458" s="220"/>
      <c r="W458" s="220"/>
    </row>
    <row r="459" spans="1:27" ht="14.25" thickBot="1" x14ac:dyDescent="0.2">
      <c r="A459" s="220"/>
      <c r="B459" s="16">
        <v>2</v>
      </c>
      <c r="C459" s="287"/>
      <c r="D459" s="288"/>
      <c r="E459" s="2"/>
      <c r="F459" s="287"/>
      <c r="G459" s="288"/>
      <c r="H459" s="2"/>
      <c r="I459" s="15"/>
      <c r="J459" s="64"/>
      <c r="K459" s="15"/>
      <c r="L459" s="145"/>
      <c r="M459" s="15"/>
      <c r="N459" s="2"/>
      <c r="O459" s="18"/>
      <c r="P459" s="2"/>
      <c r="Q459" s="15"/>
      <c r="R459" s="2"/>
      <c r="S459" s="2"/>
      <c r="T459" s="2"/>
      <c r="U459" s="220"/>
      <c r="V459" s="220"/>
      <c r="W459" s="220"/>
    </row>
    <row r="460" spans="1:27" ht="5.0999999999999996" customHeight="1" thickBot="1" x14ac:dyDescent="0.2">
      <c r="A460" s="220"/>
      <c r="B460" s="2"/>
      <c r="C460" s="2"/>
      <c r="D460" s="2"/>
      <c r="E460" s="2"/>
      <c r="F460" s="2"/>
      <c r="G460" s="2"/>
      <c r="H460" s="2"/>
      <c r="I460" s="2"/>
      <c r="J460" s="64"/>
      <c r="K460" s="2"/>
      <c r="L460" s="2"/>
      <c r="M460" s="2"/>
      <c r="N460" s="2"/>
      <c r="O460" s="2"/>
      <c r="P460" s="2"/>
      <c r="Q460" s="2"/>
      <c r="R460" s="2"/>
      <c r="S460" s="2"/>
      <c r="T460" s="2"/>
      <c r="U460" s="220"/>
      <c r="V460" s="220"/>
      <c r="W460" s="220"/>
    </row>
    <row r="461" spans="1:27" ht="14.25" thickBot="1" x14ac:dyDescent="0.2">
      <c r="A461" s="220"/>
      <c r="B461" s="16">
        <v>3</v>
      </c>
      <c r="C461" s="287"/>
      <c r="D461" s="288"/>
      <c r="E461" s="2"/>
      <c r="F461" s="287"/>
      <c r="G461" s="288"/>
      <c r="H461" s="2"/>
      <c r="I461" s="15"/>
      <c r="J461" s="64"/>
      <c r="K461" s="15"/>
      <c r="L461" s="145"/>
      <c r="M461" s="15"/>
      <c r="N461" s="2"/>
      <c r="O461" s="18"/>
      <c r="P461" s="2"/>
      <c r="Q461" s="15"/>
      <c r="R461" s="2"/>
      <c r="S461" s="2"/>
      <c r="T461" s="2"/>
      <c r="U461" s="220"/>
      <c r="V461" s="220"/>
      <c r="W461" s="220"/>
    </row>
    <row r="462" spans="1:27" ht="5.0999999999999996" customHeight="1" thickBot="1" x14ac:dyDescent="0.2">
      <c r="A462" s="220"/>
      <c r="B462" s="2"/>
      <c r="C462" s="2"/>
      <c r="D462" s="2"/>
      <c r="E462" s="2"/>
      <c r="F462" s="2"/>
      <c r="G462" s="2"/>
      <c r="H462" s="2"/>
      <c r="I462" s="2"/>
      <c r="J462" s="64"/>
      <c r="K462" s="2"/>
      <c r="L462" s="2"/>
      <c r="M462" s="2"/>
      <c r="N462" s="2"/>
      <c r="O462" s="2"/>
      <c r="P462" s="2"/>
      <c r="Q462" s="2"/>
      <c r="R462" s="2"/>
      <c r="S462" s="2"/>
      <c r="T462" s="2"/>
      <c r="U462" s="220"/>
      <c r="V462" s="220"/>
      <c r="W462" s="220"/>
    </row>
    <row r="463" spans="1:27" ht="14.25" thickBot="1" x14ac:dyDescent="0.2">
      <c r="A463" s="220"/>
      <c r="B463" s="16">
        <v>4</v>
      </c>
      <c r="C463" s="287"/>
      <c r="D463" s="288"/>
      <c r="E463" s="2"/>
      <c r="F463" s="287"/>
      <c r="G463" s="288"/>
      <c r="H463" s="2"/>
      <c r="I463" s="15"/>
      <c r="J463" s="64"/>
      <c r="K463" s="15"/>
      <c r="L463" s="145"/>
      <c r="M463" s="15"/>
      <c r="N463" s="2"/>
      <c r="O463" s="18"/>
      <c r="P463" s="2"/>
      <c r="Q463" s="15"/>
      <c r="R463" s="2"/>
      <c r="S463" s="2"/>
      <c r="T463" s="2"/>
      <c r="U463" s="220"/>
      <c r="V463" s="220"/>
      <c r="W463" s="220"/>
    </row>
    <row r="464" spans="1:27" ht="5.0999999999999996" customHeight="1" thickBot="1" x14ac:dyDescent="0.2">
      <c r="A464" s="220"/>
      <c r="B464" s="2"/>
      <c r="C464" s="2"/>
      <c r="D464" s="2"/>
      <c r="E464" s="2"/>
      <c r="F464" s="2"/>
      <c r="G464" s="2"/>
      <c r="H464" s="2"/>
      <c r="I464" s="2"/>
      <c r="J464" s="64"/>
      <c r="K464" s="2"/>
      <c r="L464" s="2"/>
      <c r="M464" s="2"/>
      <c r="N464" s="2"/>
      <c r="O464" s="2"/>
      <c r="P464" s="2"/>
      <c r="Q464" s="2"/>
      <c r="R464" s="2"/>
      <c r="S464" s="2"/>
      <c r="T464" s="2"/>
      <c r="U464" s="220"/>
      <c r="V464" s="220"/>
      <c r="W464" s="220"/>
    </row>
    <row r="465" spans="1:23" ht="14.25" thickBot="1" x14ac:dyDescent="0.2">
      <c r="A465" s="220"/>
      <c r="B465" s="16">
        <v>5</v>
      </c>
      <c r="C465" s="287"/>
      <c r="D465" s="288"/>
      <c r="E465" s="2"/>
      <c r="F465" s="287"/>
      <c r="G465" s="288"/>
      <c r="H465" s="2"/>
      <c r="I465" s="15"/>
      <c r="J465" s="64"/>
      <c r="K465" s="15"/>
      <c r="L465" s="145"/>
      <c r="M465" s="15"/>
      <c r="N465" s="2"/>
      <c r="O465" s="18"/>
      <c r="P465" s="2"/>
      <c r="Q465" s="15"/>
      <c r="R465" s="2"/>
      <c r="S465" s="2"/>
      <c r="T465" s="2"/>
      <c r="U465" s="220"/>
      <c r="V465" s="220"/>
      <c r="W465" s="220"/>
    </row>
    <row r="466" spans="1:23" ht="5.0999999999999996" customHeight="1" thickBot="1" x14ac:dyDescent="0.2">
      <c r="A466" s="220"/>
      <c r="B466" s="2"/>
      <c r="C466" s="2"/>
      <c r="D466" s="2"/>
      <c r="E466" s="2"/>
      <c r="F466" s="2"/>
      <c r="G466" s="2"/>
      <c r="H466" s="2"/>
      <c r="I466" s="2"/>
      <c r="J466" s="64"/>
      <c r="K466" s="2"/>
      <c r="L466" s="2"/>
      <c r="M466" s="2"/>
      <c r="N466" s="2"/>
      <c r="O466" s="2"/>
      <c r="P466" s="2"/>
      <c r="Q466" s="2"/>
      <c r="R466" s="2"/>
      <c r="S466" s="2"/>
      <c r="T466" s="2"/>
      <c r="U466" s="220"/>
      <c r="V466" s="220"/>
      <c r="W466" s="220"/>
    </row>
    <row r="467" spans="1:23" ht="14.25" thickBot="1" x14ac:dyDescent="0.2">
      <c r="A467" s="220"/>
      <c r="B467" s="16">
        <v>6</v>
      </c>
      <c r="C467" s="287"/>
      <c r="D467" s="288"/>
      <c r="E467" s="2"/>
      <c r="F467" s="287"/>
      <c r="G467" s="288"/>
      <c r="H467" s="2"/>
      <c r="I467" s="15"/>
      <c r="J467" s="64"/>
      <c r="K467" s="15"/>
      <c r="L467" s="145"/>
      <c r="M467" s="15"/>
      <c r="N467" s="2"/>
      <c r="O467" s="18"/>
      <c r="P467" s="2"/>
      <c r="Q467" s="15"/>
      <c r="R467" s="2"/>
      <c r="S467" s="2"/>
      <c r="T467" s="2"/>
      <c r="U467" s="220"/>
      <c r="V467" s="220"/>
      <c r="W467" s="220"/>
    </row>
    <row r="468" spans="1:23" ht="5.0999999999999996" customHeight="1" thickBot="1" x14ac:dyDescent="0.2">
      <c r="A468" s="220"/>
      <c r="B468" s="2"/>
      <c r="C468" s="2"/>
      <c r="D468" s="2"/>
      <c r="E468" s="2"/>
      <c r="F468" s="2"/>
      <c r="G468" s="2"/>
      <c r="H468" s="2"/>
      <c r="I468" s="2"/>
      <c r="J468" s="64"/>
      <c r="K468" s="2"/>
      <c r="L468" s="2"/>
      <c r="M468" s="2"/>
      <c r="N468" s="2"/>
      <c r="O468" s="2"/>
      <c r="P468" s="2"/>
      <c r="Q468" s="2"/>
      <c r="R468" s="2"/>
      <c r="S468" s="2"/>
      <c r="T468" s="2"/>
      <c r="U468" s="220"/>
      <c r="V468" s="220"/>
      <c r="W468" s="220"/>
    </row>
    <row r="469" spans="1:23" ht="14.25" thickBot="1" x14ac:dyDescent="0.2">
      <c r="A469" s="220"/>
      <c r="B469" s="16">
        <v>7</v>
      </c>
      <c r="C469" s="287"/>
      <c r="D469" s="288"/>
      <c r="E469" s="2"/>
      <c r="F469" s="287"/>
      <c r="G469" s="288"/>
      <c r="H469" s="2"/>
      <c r="I469" s="15"/>
      <c r="J469" s="64"/>
      <c r="K469" s="15"/>
      <c r="L469" s="145"/>
      <c r="M469" s="15"/>
      <c r="N469" s="2"/>
      <c r="O469" s="18"/>
      <c r="P469" s="2"/>
      <c r="Q469" s="15"/>
      <c r="R469" s="2"/>
      <c r="S469" s="2"/>
      <c r="T469" s="2"/>
      <c r="U469" s="220"/>
      <c r="V469" s="220"/>
      <c r="W469" s="220"/>
    </row>
    <row r="470" spans="1:23" ht="5.0999999999999996" customHeight="1" thickBot="1" x14ac:dyDescent="0.2">
      <c r="A470" s="220"/>
      <c r="B470" s="2"/>
      <c r="C470" s="2"/>
      <c r="D470" s="2"/>
      <c r="E470" s="2"/>
      <c r="F470" s="2"/>
      <c r="G470" s="2"/>
      <c r="H470" s="2"/>
      <c r="I470" s="2"/>
      <c r="J470" s="64"/>
      <c r="K470" s="2"/>
      <c r="L470" s="2"/>
      <c r="M470" s="2"/>
      <c r="N470" s="2"/>
      <c r="O470" s="2"/>
      <c r="P470" s="2"/>
      <c r="Q470" s="2"/>
      <c r="R470" s="2"/>
      <c r="S470" s="2"/>
      <c r="T470" s="2"/>
      <c r="U470" s="220"/>
      <c r="V470" s="220"/>
      <c r="W470" s="220"/>
    </row>
    <row r="471" spans="1:23" ht="14.25" thickBot="1" x14ac:dyDescent="0.2">
      <c r="A471" s="220"/>
      <c r="B471" s="16">
        <v>8</v>
      </c>
      <c r="C471" s="287"/>
      <c r="D471" s="288"/>
      <c r="E471" s="2"/>
      <c r="F471" s="287"/>
      <c r="G471" s="288"/>
      <c r="H471" s="2"/>
      <c r="I471" s="15"/>
      <c r="J471" s="64"/>
      <c r="K471" s="15"/>
      <c r="L471" s="145"/>
      <c r="M471" s="15"/>
      <c r="N471" s="2"/>
      <c r="O471" s="18"/>
      <c r="P471" s="2"/>
      <c r="Q471" s="15"/>
      <c r="R471" s="2"/>
      <c r="S471" s="2"/>
      <c r="T471" s="2"/>
      <c r="U471" s="220"/>
      <c r="V471" s="220"/>
      <c r="W471" s="220"/>
    </row>
    <row r="472" spans="1:23" ht="5.0999999999999996" customHeight="1" thickBot="1" x14ac:dyDescent="0.2">
      <c r="A472" s="220"/>
      <c r="B472" s="2"/>
      <c r="C472" s="2"/>
      <c r="D472" s="2"/>
      <c r="E472" s="2"/>
      <c r="F472" s="2"/>
      <c r="G472" s="2"/>
      <c r="H472" s="2"/>
      <c r="I472" s="2"/>
      <c r="J472" s="64"/>
      <c r="K472" s="2"/>
      <c r="L472" s="2"/>
      <c r="M472" s="2"/>
      <c r="N472" s="2"/>
      <c r="O472" s="2"/>
      <c r="P472" s="2"/>
      <c r="Q472" s="2"/>
      <c r="R472" s="2"/>
      <c r="S472" s="2"/>
      <c r="T472" s="2"/>
      <c r="U472" s="220"/>
      <c r="V472" s="220"/>
      <c r="W472" s="220"/>
    </row>
    <row r="473" spans="1:23" ht="14.25" thickBot="1" x14ac:dyDescent="0.2">
      <c r="A473" s="220"/>
      <c r="B473" s="16">
        <v>9</v>
      </c>
      <c r="C473" s="287"/>
      <c r="D473" s="288"/>
      <c r="E473" s="2"/>
      <c r="F473" s="287"/>
      <c r="G473" s="288"/>
      <c r="H473" s="2"/>
      <c r="I473" s="15"/>
      <c r="J473" s="64"/>
      <c r="K473" s="15"/>
      <c r="L473" s="145"/>
      <c r="M473" s="15"/>
      <c r="N473" s="2"/>
      <c r="O473" s="18"/>
      <c r="P473" s="2"/>
      <c r="Q473" s="15"/>
      <c r="R473" s="2"/>
      <c r="S473" s="2"/>
      <c r="T473" s="2"/>
      <c r="U473" s="220"/>
      <c r="V473" s="220"/>
      <c r="W473" s="220"/>
    </row>
    <row r="474" spans="1:23" ht="5.0999999999999996" customHeight="1" thickBot="1" x14ac:dyDescent="0.2">
      <c r="A474" s="220"/>
      <c r="B474" s="2"/>
      <c r="C474" s="2"/>
      <c r="D474" s="2"/>
      <c r="E474" s="2"/>
      <c r="F474" s="2"/>
      <c r="G474" s="2"/>
      <c r="H474" s="2"/>
      <c r="I474" s="2"/>
      <c r="J474" s="64"/>
      <c r="K474" s="2"/>
      <c r="L474" s="2"/>
      <c r="M474" s="2"/>
      <c r="N474" s="2"/>
      <c r="O474" s="2"/>
      <c r="P474" s="2"/>
      <c r="Q474" s="2"/>
      <c r="R474" s="2"/>
      <c r="S474" s="2"/>
      <c r="T474" s="2"/>
      <c r="U474" s="220"/>
      <c r="V474" s="220"/>
      <c r="W474" s="220"/>
    </row>
    <row r="475" spans="1:23" ht="14.25" thickBot="1" x14ac:dyDescent="0.2">
      <c r="A475" s="220"/>
      <c r="B475" s="16">
        <v>10</v>
      </c>
      <c r="C475" s="287"/>
      <c r="D475" s="288"/>
      <c r="E475" s="2"/>
      <c r="F475" s="287"/>
      <c r="G475" s="288"/>
      <c r="H475" s="2"/>
      <c r="I475" s="15"/>
      <c r="J475" s="64"/>
      <c r="K475" s="15"/>
      <c r="L475" s="145"/>
      <c r="M475" s="15"/>
      <c r="N475" s="2"/>
      <c r="O475" s="18"/>
      <c r="P475" s="2"/>
      <c r="Q475" s="15"/>
      <c r="R475" s="2"/>
      <c r="S475" s="2"/>
      <c r="T475" s="2"/>
      <c r="U475" s="220"/>
      <c r="V475" s="220"/>
      <c r="W475" s="220"/>
    </row>
    <row r="476" spans="1:23" ht="5.0999999999999996" customHeight="1" thickBot="1" x14ac:dyDescent="0.2">
      <c r="A476" s="220"/>
      <c r="B476" s="2"/>
      <c r="C476" s="2"/>
      <c r="D476" s="2"/>
      <c r="E476" s="2"/>
      <c r="F476" s="2"/>
      <c r="G476" s="2"/>
      <c r="H476" s="2"/>
      <c r="I476" s="2"/>
      <c r="J476" s="64"/>
      <c r="K476" s="2"/>
      <c r="L476" s="2"/>
      <c r="M476" s="2"/>
      <c r="N476" s="2"/>
      <c r="O476" s="2"/>
      <c r="P476" s="2"/>
      <c r="Q476" s="2"/>
      <c r="R476" s="2"/>
      <c r="S476" s="2"/>
      <c r="T476" s="2"/>
      <c r="U476" s="220"/>
      <c r="V476" s="220"/>
      <c r="W476" s="220"/>
    </row>
    <row r="477" spans="1:23" ht="14.25" thickBot="1" x14ac:dyDescent="0.2">
      <c r="A477" s="220"/>
      <c r="B477" s="16">
        <v>11</v>
      </c>
      <c r="C477" s="287"/>
      <c r="D477" s="288"/>
      <c r="E477" s="2"/>
      <c r="F477" s="287"/>
      <c r="G477" s="288"/>
      <c r="H477" s="2"/>
      <c r="I477" s="15"/>
      <c r="J477" s="64"/>
      <c r="K477" s="15"/>
      <c r="L477" s="145"/>
      <c r="M477" s="15"/>
      <c r="N477" s="2"/>
      <c r="O477" s="18"/>
      <c r="P477" s="2"/>
      <c r="Q477" s="15"/>
      <c r="R477" s="2"/>
      <c r="S477" s="2"/>
      <c r="T477" s="2"/>
      <c r="U477" s="220"/>
      <c r="V477" s="220"/>
      <c r="W477" s="220"/>
    </row>
    <row r="478" spans="1:23" ht="5.0999999999999996" customHeight="1" thickBot="1" x14ac:dyDescent="0.2">
      <c r="A478" s="220"/>
      <c r="B478" s="2"/>
      <c r="C478" s="2"/>
      <c r="D478" s="2"/>
      <c r="E478" s="2"/>
      <c r="F478" s="2"/>
      <c r="G478" s="2"/>
      <c r="H478" s="2"/>
      <c r="I478" s="2"/>
      <c r="J478" s="64"/>
      <c r="K478" s="2"/>
      <c r="L478" s="2"/>
      <c r="M478" s="2"/>
      <c r="N478" s="2"/>
      <c r="O478" s="2"/>
      <c r="P478" s="2"/>
      <c r="Q478" s="2"/>
      <c r="R478" s="2"/>
      <c r="S478" s="2"/>
      <c r="T478" s="2"/>
      <c r="U478" s="220"/>
      <c r="V478" s="220"/>
      <c r="W478" s="220"/>
    </row>
    <row r="479" spans="1:23" ht="14.25" thickBot="1" x14ac:dyDescent="0.2">
      <c r="A479" s="220"/>
      <c r="B479" s="16">
        <v>12</v>
      </c>
      <c r="C479" s="287"/>
      <c r="D479" s="288"/>
      <c r="E479" s="2"/>
      <c r="F479" s="287"/>
      <c r="G479" s="288"/>
      <c r="H479" s="2"/>
      <c r="I479" s="15"/>
      <c r="J479" s="64"/>
      <c r="K479" s="15"/>
      <c r="L479" s="145"/>
      <c r="M479" s="15"/>
      <c r="N479" s="2"/>
      <c r="O479" s="18"/>
      <c r="P479" s="2"/>
      <c r="Q479" s="15"/>
      <c r="R479" s="2"/>
      <c r="S479" s="2"/>
      <c r="T479" s="2"/>
      <c r="U479" s="220"/>
      <c r="V479" s="220"/>
      <c r="W479" s="220"/>
    </row>
    <row r="480" spans="1:23" ht="5.0999999999999996" customHeight="1" thickBot="1" x14ac:dyDescent="0.2">
      <c r="A480" s="220"/>
      <c r="B480" s="2"/>
      <c r="C480" s="2"/>
      <c r="D480" s="2"/>
      <c r="E480" s="2"/>
      <c r="F480" s="2"/>
      <c r="G480" s="2"/>
      <c r="H480" s="2"/>
      <c r="I480" s="2"/>
      <c r="J480" s="64"/>
      <c r="K480" s="2"/>
      <c r="L480" s="2"/>
      <c r="M480" s="2"/>
      <c r="N480" s="2"/>
      <c r="O480" s="2"/>
      <c r="P480" s="2"/>
      <c r="Q480" s="2"/>
      <c r="R480" s="2"/>
      <c r="S480" s="2"/>
      <c r="T480" s="2"/>
      <c r="U480" s="220"/>
      <c r="V480" s="220"/>
      <c r="W480" s="220"/>
    </row>
    <row r="481" spans="1:23" ht="14.25" thickBot="1" x14ac:dyDescent="0.2">
      <c r="A481" s="220"/>
      <c r="B481" s="16">
        <v>13</v>
      </c>
      <c r="C481" s="287"/>
      <c r="D481" s="288"/>
      <c r="E481" s="2"/>
      <c r="F481" s="287"/>
      <c r="G481" s="288"/>
      <c r="H481" s="2"/>
      <c r="I481" s="15"/>
      <c r="J481" s="64"/>
      <c r="K481" s="15"/>
      <c r="L481" s="145"/>
      <c r="M481" s="15"/>
      <c r="N481" s="2"/>
      <c r="O481" s="18"/>
      <c r="P481" s="2"/>
      <c r="Q481" s="15"/>
      <c r="R481" s="2"/>
      <c r="S481" s="2"/>
      <c r="T481" s="2"/>
      <c r="U481" s="220"/>
      <c r="V481" s="220"/>
      <c r="W481" s="220"/>
    </row>
    <row r="482" spans="1:23" ht="5.0999999999999996" customHeight="1" thickBot="1" x14ac:dyDescent="0.2">
      <c r="A482" s="220"/>
      <c r="B482" s="2"/>
      <c r="C482" s="2"/>
      <c r="D482" s="2"/>
      <c r="E482" s="2"/>
      <c r="F482" s="2"/>
      <c r="G482" s="2"/>
      <c r="H482" s="2"/>
      <c r="I482" s="2"/>
      <c r="J482" s="64"/>
      <c r="K482" s="2"/>
      <c r="L482" s="2"/>
      <c r="M482" s="2"/>
      <c r="N482" s="2"/>
      <c r="O482" s="2"/>
      <c r="P482" s="2"/>
      <c r="Q482" s="2"/>
      <c r="R482" s="2"/>
      <c r="S482" s="2"/>
      <c r="T482" s="2"/>
      <c r="U482" s="220"/>
      <c r="V482" s="220"/>
      <c r="W482" s="220"/>
    </row>
    <row r="483" spans="1:23" ht="14.25" thickBot="1" x14ac:dyDescent="0.2">
      <c r="A483" s="220"/>
      <c r="B483" s="16">
        <v>14</v>
      </c>
      <c r="C483" s="287"/>
      <c r="D483" s="288"/>
      <c r="E483" s="2"/>
      <c r="F483" s="287"/>
      <c r="G483" s="288"/>
      <c r="H483" s="2"/>
      <c r="I483" s="15"/>
      <c r="J483" s="64"/>
      <c r="K483" s="15"/>
      <c r="L483" s="145"/>
      <c r="M483" s="15"/>
      <c r="N483" s="2"/>
      <c r="O483" s="18"/>
      <c r="P483" s="2"/>
      <c r="Q483" s="15"/>
      <c r="R483" s="2"/>
      <c r="S483" s="2"/>
      <c r="T483" s="2"/>
      <c r="U483" s="220"/>
      <c r="V483" s="220"/>
      <c r="W483" s="220"/>
    </row>
    <row r="484" spans="1:23" ht="5.0999999999999996" customHeight="1" thickBot="1" x14ac:dyDescent="0.2">
      <c r="A484" s="220"/>
      <c r="B484" s="2"/>
      <c r="C484" s="2"/>
      <c r="D484" s="2"/>
      <c r="E484" s="2"/>
      <c r="F484" s="2"/>
      <c r="G484" s="2"/>
      <c r="H484" s="2"/>
      <c r="I484" s="2"/>
      <c r="J484" s="64"/>
      <c r="K484" s="2"/>
      <c r="L484" s="2"/>
      <c r="M484" s="2"/>
      <c r="N484" s="2"/>
      <c r="O484" s="2"/>
      <c r="P484" s="2"/>
      <c r="Q484" s="2"/>
      <c r="R484" s="2"/>
      <c r="S484" s="2"/>
      <c r="T484" s="2"/>
      <c r="U484" s="220"/>
      <c r="V484" s="220"/>
      <c r="W484" s="220"/>
    </row>
    <row r="485" spans="1:23" ht="14.25" thickBot="1" x14ac:dyDescent="0.2">
      <c r="A485" s="220"/>
      <c r="B485" s="16">
        <v>15</v>
      </c>
      <c r="C485" s="287"/>
      <c r="D485" s="288"/>
      <c r="E485" s="2"/>
      <c r="F485" s="287"/>
      <c r="G485" s="288"/>
      <c r="H485" s="2"/>
      <c r="I485" s="15"/>
      <c r="J485" s="64"/>
      <c r="K485" s="15"/>
      <c r="L485" s="145"/>
      <c r="M485" s="15"/>
      <c r="N485" s="2"/>
      <c r="O485" s="18"/>
      <c r="P485" s="2"/>
      <c r="Q485" s="15"/>
      <c r="R485" s="2"/>
      <c r="S485" s="2"/>
      <c r="T485" s="2"/>
      <c r="U485" s="220"/>
      <c r="V485" s="220"/>
      <c r="W485" s="220"/>
    </row>
    <row r="486" spans="1:23" ht="5.0999999999999996" customHeight="1" x14ac:dyDescent="0.15">
      <c r="A486" s="220"/>
      <c r="B486" s="2"/>
      <c r="C486" s="2"/>
      <c r="D486" s="2"/>
      <c r="E486" s="2"/>
      <c r="F486" s="2"/>
      <c r="G486" s="2"/>
      <c r="H486" s="2"/>
      <c r="I486" s="2"/>
      <c r="J486" s="2"/>
      <c r="K486" s="2"/>
      <c r="L486" s="2"/>
      <c r="M486" s="2"/>
      <c r="N486" s="2"/>
      <c r="O486" s="2"/>
      <c r="P486" s="2"/>
      <c r="Q486" s="2"/>
      <c r="R486" s="2"/>
      <c r="S486" s="2"/>
      <c r="T486" s="2"/>
      <c r="U486" s="220"/>
      <c r="V486" s="220"/>
      <c r="W486" s="220"/>
    </row>
    <row r="487" spans="1:23" x14ac:dyDescent="0.15">
      <c r="A487" s="220"/>
      <c r="B487" s="266" t="s">
        <v>647</v>
      </c>
      <c r="C487" s="243"/>
      <c r="D487" s="243"/>
      <c r="E487" s="243"/>
      <c r="F487" s="243"/>
      <c r="G487" s="243"/>
      <c r="H487" s="243"/>
      <c r="I487" s="243"/>
      <c r="J487" s="243"/>
      <c r="K487" s="243"/>
      <c r="L487" s="243"/>
      <c r="M487" s="243"/>
      <c r="N487" s="243"/>
      <c r="O487" s="243"/>
      <c r="P487" s="243"/>
      <c r="Q487" s="243"/>
      <c r="R487" s="243"/>
      <c r="S487" s="243"/>
      <c r="T487" s="140"/>
      <c r="U487" s="220"/>
      <c r="V487" s="220"/>
      <c r="W487" s="220"/>
    </row>
    <row r="488" spans="1:23" ht="5.0999999999999996" customHeight="1" x14ac:dyDescent="0.15">
      <c r="A488" s="220"/>
      <c r="B488" s="220"/>
      <c r="C488" s="220"/>
      <c r="D488" s="220"/>
      <c r="E488" s="220"/>
      <c r="F488" s="220"/>
      <c r="G488" s="220"/>
      <c r="H488" s="220"/>
      <c r="I488" s="220"/>
      <c r="J488" s="220"/>
      <c r="K488" s="220"/>
      <c r="L488" s="220"/>
      <c r="M488" s="220"/>
      <c r="N488" s="220"/>
      <c r="O488" s="220"/>
      <c r="P488" s="220"/>
      <c r="Q488" s="220"/>
      <c r="R488" s="220"/>
      <c r="S488" s="220"/>
      <c r="T488" s="220"/>
      <c r="U488" s="220"/>
      <c r="V488" s="220"/>
      <c r="W488" s="220"/>
    </row>
    <row r="489" spans="1:23" x14ac:dyDescent="0.15">
      <c r="A489" s="220"/>
      <c r="B489" s="220"/>
      <c r="C489" s="220"/>
      <c r="D489" s="220"/>
      <c r="E489" s="220"/>
      <c r="F489" s="220"/>
      <c r="G489" s="220"/>
      <c r="H489" s="220"/>
      <c r="I489" s="220"/>
      <c r="J489" s="220"/>
      <c r="K489" s="220"/>
      <c r="L489" s="220"/>
      <c r="M489" s="220"/>
      <c r="N489" s="220"/>
      <c r="O489" s="220"/>
      <c r="P489" s="220"/>
      <c r="Q489" s="220"/>
      <c r="R489" s="220"/>
      <c r="S489" s="220"/>
      <c r="T489" s="220"/>
      <c r="U489" s="220"/>
      <c r="V489" s="220"/>
      <c r="W489" s="220"/>
    </row>
  </sheetData>
  <sheetProtection algorithmName="SHA-512" hashValue="uKnNR3bFlXvncMyZuNUfbgbJp41aog30Bfe6N6X3iolHv6O2fM74J6aM7nS31RcExI4TWx5Fjxkr2ht/Xe6/wg==" saltValue="Us7g1VMEK4qdLBII390qCA==" spinCount="100000" sheet="1" objects="1" scenarios="1" selectLockedCells="1"/>
  <mergeCells count="203">
    <mergeCell ref="Z452:AA452"/>
    <mergeCell ref="B49:F49"/>
    <mergeCell ref="G49:N49"/>
    <mergeCell ref="B92:F92"/>
    <mergeCell ref="G92:N92"/>
    <mergeCell ref="I274:K274"/>
    <mergeCell ref="I258:K258"/>
    <mergeCell ref="C386:F386"/>
    <mergeCell ref="I380:P380"/>
    <mergeCell ref="B99:F99"/>
    <mergeCell ref="G99:N99"/>
    <mergeCell ref="B101:F101"/>
    <mergeCell ref="G101:N101"/>
    <mergeCell ref="B103:F103"/>
    <mergeCell ref="G103:N103"/>
    <mergeCell ref="B105:F105"/>
    <mergeCell ref="G105:N105"/>
    <mergeCell ref="B107:F107"/>
    <mergeCell ref="G107:I107"/>
    <mergeCell ref="I312:K312"/>
    <mergeCell ref="I314:K314"/>
    <mergeCell ref="I316:K316"/>
    <mergeCell ref="I318:K318"/>
    <mergeCell ref="B64:F64"/>
    <mergeCell ref="B66:F66"/>
    <mergeCell ref="I250:K250"/>
    <mergeCell ref="I252:K252"/>
    <mergeCell ref="I254:K254"/>
    <mergeCell ref="I256:K256"/>
    <mergeCell ref="I240:K240"/>
    <mergeCell ref="I326:K326"/>
    <mergeCell ref="I328:K328"/>
    <mergeCell ref="G39:I39"/>
    <mergeCell ref="I266:K266"/>
    <mergeCell ref="I264:K264"/>
    <mergeCell ref="G64:I64"/>
    <mergeCell ref="I276:K276"/>
    <mergeCell ref="I270:K270"/>
    <mergeCell ref="I268:K268"/>
    <mergeCell ref="G66:H66"/>
    <mergeCell ref="I262:K262"/>
    <mergeCell ref="I278:K278"/>
    <mergeCell ref="I280:K280"/>
    <mergeCell ref="I282:K282"/>
    <mergeCell ref="I286:K286"/>
    <mergeCell ref="I288:K288"/>
    <mergeCell ref="I242:K242"/>
    <mergeCell ref="I244:K244"/>
    <mergeCell ref="I246:K246"/>
    <mergeCell ref="I366:P366"/>
    <mergeCell ref="I368:P368"/>
    <mergeCell ref="M378:O378"/>
    <mergeCell ref="K376:O376"/>
    <mergeCell ref="I304:K304"/>
    <mergeCell ref="I306:K306"/>
    <mergeCell ref="I308:K308"/>
    <mergeCell ref="I322:K322"/>
    <mergeCell ref="I324:K324"/>
    <mergeCell ref="I388:M388"/>
    <mergeCell ref="I390:M390"/>
    <mergeCell ref="K392:O392"/>
    <mergeCell ref="M394:O394"/>
    <mergeCell ref="I396:P396"/>
    <mergeCell ref="C455:D455"/>
    <mergeCell ref="C471:D471"/>
    <mergeCell ref="C473:D473"/>
    <mergeCell ref="F426:G426"/>
    <mergeCell ref="F428:G428"/>
    <mergeCell ref="C418:D418"/>
    <mergeCell ref="F449:Q449"/>
    <mergeCell ref="F451:G451"/>
    <mergeCell ref="F406:G406"/>
    <mergeCell ref="B406:E406"/>
    <mergeCell ref="C422:D422"/>
    <mergeCell ref="C424:D424"/>
    <mergeCell ref="F412:G412"/>
    <mergeCell ref="F410:G410"/>
    <mergeCell ref="F414:G414"/>
    <mergeCell ref="F416:G416"/>
    <mergeCell ref="B443:S443"/>
    <mergeCell ref="C410:D410"/>
    <mergeCell ref="F440:G440"/>
    <mergeCell ref="C416:D416"/>
    <mergeCell ref="C436:D436"/>
    <mergeCell ref="F436:G436"/>
    <mergeCell ref="F438:G438"/>
    <mergeCell ref="F420:G420"/>
    <mergeCell ref="C432:D432"/>
    <mergeCell ref="C434:D434"/>
    <mergeCell ref="F422:G422"/>
    <mergeCell ref="F424:G424"/>
    <mergeCell ref="C420:D420"/>
    <mergeCell ref="C477:D477"/>
    <mergeCell ref="C479:D479"/>
    <mergeCell ref="C481:D481"/>
    <mergeCell ref="B449:E449"/>
    <mergeCell ref="B451:E451"/>
    <mergeCell ref="F418:G418"/>
    <mergeCell ref="C438:D438"/>
    <mergeCell ref="C440:D440"/>
    <mergeCell ref="F455:G455"/>
    <mergeCell ref="C475:D475"/>
    <mergeCell ref="C428:D428"/>
    <mergeCell ref="C430:D430"/>
    <mergeCell ref="F430:G430"/>
    <mergeCell ref="F432:G432"/>
    <mergeCell ref="F434:G434"/>
    <mergeCell ref="C483:D483"/>
    <mergeCell ref="C485:D485"/>
    <mergeCell ref="F457:G457"/>
    <mergeCell ref="F459:G459"/>
    <mergeCell ref="F461:G461"/>
    <mergeCell ref="F463:G463"/>
    <mergeCell ref="F465:G465"/>
    <mergeCell ref="F467:G467"/>
    <mergeCell ref="F469:G469"/>
    <mergeCell ref="F471:G471"/>
    <mergeCell ref="F473:G473"/>
    <mergeCell ref="F475:G475"/>
    <mergeCell ref="F477:G477"/>
    <mergeCell ref="F479:G479"/>
    <mergeCell ref="F481:G481"/>
    <mergeCell ref="F483:G483"/>
    <mergeCell ref="F485:G485"/>
    <mergeCell ref="C457:D457"/>
    <mergeCell ref="C459:D459"/>
    <mergeCell ref="C461:D461"/>
    <mergeCell ref="C463:D463"/>
    <mergeCell ref="C465:D465"/>
    <mergeCell ref="C467:D467"/>
    <mergeCell ref="C469:D469"/>
    <mergeCell ref="B2:S2"/>
    <mergeCell ref="C25:G25"/>
    <mergeCell ref="C17:I17"/>
    <mergeCell ref="G41:N41"/>
    <mergeCell ref="G43:N43"/>
    <mergeCell ref="B60:F60"/>
    <mergeCell ref="B62:F62"/>
    <mergeCell ref="B37:F37"/>
    <mergeCell ref="B39:F39"/>
    <mergeCell ref="B41:F41"/>
    <mergeCell ref="B43:F43"/>
    <mergeCell ref="B45:F45"/>
    <mergeCell ref="B47:F47"/>
    <mergeCell ref="B54:F54"/>
    <mergeCell ref="B56:F56"/>
    <mergeCell ref="B58:F58"/>
    <mergeCell ref="G45:N45"/>
    <mergeCell ref="G47:N47"/>
    <mergeCell ref="G54:N54"/>
    <mergeCell ref="G56:N56"/>
    <mergeCell ref="G58:N58"/>
    <mergeCell ref="C10:Q10"/>
    <mergeCell ref="G60:N60"/>
    <mergeCell ref="G62:N62"/>
    <mergeCell ref="B84:F84"/>
    <mergeCell ref="G84:N84"/>
    <mergeCell ref="B86:F86"/>
    <mergeCell ref="G86:N86"/>
    <mergeCell ref="B88:F88"/>
    <mergeCell ref="G88:N88"/>
    <mergeCell ref="B487:S487"/>
    <mergeCell ref="I342:K342"/>
    <mergeCell ref="I332:K332"/>
    <mergeCell ref="I334:K334"/>
    <mergeCell ref="I336:K336"/>
    <mergeCell ref="I338:K338"/>
    <mergeCell ref="C348:G348"/>
    <mergeCell ref="I360:P360"/>
    <mergeCell ref="I362:P362"/>
    <mergeCell ref="I356:P356"/>
    <mergeCell ref="I372:M372"/>
    <mergeCell ref="I374:M374"/>
    <mergeCell ref="B442:S442"/>
    <mergeCell ref="C412:D412"/>
    <mergeCell ref="C414:D414"/>
    <mergeCell ref="C364:F364"/>
    <mergeCell ref="C370:F370"/>
    <mergeCell ref="C426:D426"/>
    <mergeCell ref="B73:T73"/>
    <mergeCell ref="B382:T382"/>
    <mergeCell ref="D181:H181"/>
    <mergeCell ref="D183:H183"/>
    <mergeCell ref="I238:K238"/>
    <mergeCell ref="C115:F115"/>
    <mergeCell ref="I69:S69"/>
    <mergeCell ref="G71:N71"/>
    <mergeCell ref="I113:S113"/>
    <mergeCell ref="C71:F71"/>
    <mergeCell ref="G115:N115"/>
    <mergeCell ref="D177:H177"/>
    <mergeCell ref="D175:H175"/>
    <mergeCell ref="D173:H173"/>
    <mergeCell ref="D179:H179"/>
    <mergeCell ref="B90:F90"/>
    <mergeCell ref="G90:N90"/>
    <mergeCell ref="B97:F97"/>
    <mergeCell ref="G97:N97"/>
    <mergeCell ref="B109:F109"/>
    <mergeCell ref="G109:H109"/>
    <mergeCell ref="B80:F80"/>
    <mergeCell ref="B82:F82"/>
    <mergeCell ref="G82:I82"/>
  </mergeCells>
  <phoneticPr fontId="5"/>
  <conditionalFormatting sqref="I338:K338">
    <cfRule type="expression" dxfId="998" priority="875">
      <formula>$M$338="　AI・IoTによるシステム連係ツールのみの申請はできません"</formula>
    </cfRule>
  </conditionalFormatting>
  <conditionalFormatting sqref="M304">
    <cfRule type="expression" dxfId="997" priority="890">
      <formula>$M$304="　補助対象経費より金額が低くなっています。"</formula>
    </cfRule>
  </conditionalFormatting>
  <conditionalFormatting sqref="M306">
    <cfRule type="expression" dxfId="996" priority="889">
      <formula>$M306="　補助対象経費より金額が低くなっています。"</formula>
    </cfRule>
  </conditionalFormatting>
  <conditionalFormatting sqref="M312">
    <cfRule type="expression" dxfId="995" priority="888">
      <formula>$M312="　補助対象経費より金額が低くなっています。"</formula>
    </cfRule>
  </conditionalFormatting>
  <conditionalFormatting sqref="M314">
    <cfRule type="expression" dxfId="994" priority="887">
      <formula>$M314="　補助対象経費より金額が低くなっています。"</formula>
    </cfRule>
  </conditionalFormatting>
  <conditionalFormatting sqref="M316">
    <cfRule type="expression" dxfId="993" priority="886">
      <formula>$M316="　補助対象経費より金額が低くなっています。"</formula>
    </cfRule>
  </conditionalFormatting>
  <conditionalFormatting sqref="M322">
    <cfRule type="expression" dxfId="992" priority="885">
      <formula>$M322="　補助対象経費より金額が低くなっています。"</formula>
    </cfRule>
  </conditionalFormatting>
  <conditionalFormatting sqref="M324">
    <cfRule type="expression" dxfId="991" priority="884">
      <formula>$M324="　補助対象経費より金額が低くなっています。"</formula>
    </cfRule>
  </conditionalFormatting>
  <conditionalFormatting sqref="M326">
    <cfRule type="expression" dxfId="990" priority="883">
      <formula>$M326="　補助対象経費より金額が低くなっています。"</formula>
    </cfRule>
  </conditionalFormatting>
  <conditionalFormatting sqref="M332">
    <cfRule type="expression" dxfId="989" priority="882">
      <formula>$M332="　補助対象経費より金額が低くなっています。"</formula>
    </cfRule>
  </conditionalFormatting>
  <conditionalFormatting sqref="M334">
    <cfRule type="expression" dxfId="988" priority="881">
      <formula>$M334="　補助対象経費より金額が低くなっています。"</formula>
    </cfRule>
  </conditionalFormatting>
  <conditionalFormatting sqref="M336">
    <cfRule type="expression" dxfId="987" priority="880">
      <formula>$M336="　補助対象経費より金額が低くなっています。"</formula>
    </cfRule>
  </conditionalFormatting>
  <conditionalFormatting sqref="N372">
    <cfRule type="expression" dxfId="986" priority="878">
      <formula>$N$372="　ハイフンを使用不可"</formula>
    </cfRule>
  </conditionalFormatting>
  <conditionalFormatting sqref="I280:K280 I282:K282">
    <cfRule type="expression" dxfId="985" priority="876">
      <formula>$M$280="　AI・IoTによるシステム連係ツールのみの申請はできません"</formula>
    </cfRule>
  </conditionalFormatting>
  <conditionalFormatting sqref="I372:M372">
    <cfRule type="expression" dxfId="984" priority="873">
      <formula>$N$372="　ハイフンを使用不可"</formula>
    </cfRule>
  </conditionalFormatting>
  <conditionalFormatting sqref="C408:F408">
    <cfRule type="expression" dxfId="983" priority="867">
      <formula>$C$408="役員が16名以上の場合は、16人目以降の情報を「様式第1_別紙2（予備）」シートに直接入力してください。"</formula>
    </cfRule>
  </conditionalFormatting>
  <conditionalFormatting sqref="C453:F453">
    <cfRule type="expression" dxfId="982" priority="838">
      <formula>$C$453="役員が16名以上の場合は、16人目以降の情報を「様式第1_別紙2（予備）」シートに直接入力してください。"</formula>
    </cfRule>
  </conditionalFormatting>
  <conditionalFormatting sqref="B442:T442">
    <cfRule type="expression" dxfId="981" priority="344">
      <formula>$B$442="↓↓↓下にスクロールして項目１２を確認してください。↓↓↓"</formula>
    </cfRule>
  </conditionalFormatting>
  <conditionalFormatting sqref="O459 M459 Q459 I459 O463 Q463 O465 Q465 K459 F459 F463 F465 I463 I465 K463 K465 M463 M465 O461 M461 Q461 I461 K461 F461 O467 Q467 F467 I467 K467 M467 O469 M469 Q469 I469 O473 Q473 O475 Q475 K469 F469 F473 F475 I473 I475 K473 K475 M473 M475 O471 M471 Q471 I471 K471 F471 O477 M477 Q477 I477 O481 Q481 O483 Q483 K477 F477 F481 F483 I481 I483 K481 K483 M481 M483 O479 M479 Q479 I479 K479 F479 O485 Q485 F485 I485 K485 M485">
    <cfRule type="expression" dxfId="980" priority="8">
      <formula>$F$451&lt;$B459</formula>
    </cfRule>
  </conditionalFormatting>
  <conditionalFormatting sqref="I414 K414 O414 Q414 M414 K418 O418 Q418 M418 I420 O420 M420 K422 O422 Q422 M422 I424 O424 M424 K426 O426 M426 I428 O428 M428 I440 O440 M440 K416 O416 Q416 M416 I418 K420 Q420 I422 K424 I426 K428 K440 Q440 I416 F414 F420 F424 F428 F440 F418 F422 F426 F416 C414 C428 C422 C424 C426 C440 C418 C420 C416 Q424 Q428 Q432 Q426 Q430 Q434 Q438 Q436 I430 K430 M430 K434 M434 I436 M436 K438 M438 K432 M432 I434 K436 I438 I432 F430 F436 F434 F438 F432 C430 C438 C434 C436 C432 O430 O432 O434 O436 O438">
    <cfRule type="expression" dxfId="979" priority="77">
      <formula>$F$406&lt;$B414</formula>
    </cfRule>
  </conditionalFormatting>
  <conditionalFormatting sqref="N388">
    <cfRule type="expression" dxfId="978" priority="324">
      <formula>$N$372="　ハイフンを使用不可"</formula>
    </cfRule>
  </conditionalFormatting>
  <conditionalFormatting sqref="A443">
    <cfRule type="expression" dxfId="977" priority="307">
      <formula>$B$442="↓↓↓下にスクロールして項目１２を確認してください。↓↓↓"</formula>
    </cfRule>
  </conditionalFormatting>
  <conditionalFormatting sqref="I152">
    <cfRule type="containsText" dxfId="976" priority="200" operator="containsText" text="要確認">
      <formula>NOT(ISERROR(SEARCH("要確認",I152)))</formula>
    </cfRule>
  </conditionalFormatting>
  <conditionalFormatting sqref="N374">
    <cfRule type="expression" dxfId="975" priority="254">
      <formula>$N$374="　ハイフンを使用不可"</formula>
    </cfRule>
  </conditionalFormatting>
  <conditionalFormatting sqref="N390">
    <cfRule type="expression" dxfId="974" priority="250">
      <formula>$N$372="　ハイフンを使用不可"</formula>
    </cfRule>
  </conditionalFormatting>
  <conditionalFormatting sqref="C459 C463 C465 C461 C467 C469 C473 C475 C471 C477 C481 C483 C479 C485">
    <cfRule type="expression" dxfId="973" priority="64">
      <formula>$F$451&lt;$B459</formula>
    </cfRule>
  </conditionalFormatting>
  <conditionalFormatting sqref="I374:M374">
    <cfRule type="expression" dxfId="972" priority="169">
      <formula>$N$372="　ハイフンを使用不可"</formula>
    </cfRule>
  </conditionalFormatting>
  <conditionalFormatting sqref="I388:M388">
    <cfRule type="expression" dxfId="971" priority="166">
      <formula>$N$372="　ハイフンを使用不可"</formula>
    </cfRule>
  </conditionalFormatting>
  <conditionalFormatting sqref="I390:M390">
    <cfRule type="expression" dxfId="970" priority="165">
      <formula>$N$372="　ハイフンを使用不可"</formula>
    </cfRule>
  </conditionalFormatting>
  <dataValidations count="38">
    <dataValidation type="whole" allowBlank="1" showInputMessage="1" showErrorMessage="1" sqref="I318:K318 I282:K282 I338:K338 I286:K286 I280:K280 I328:K328 I258:K258 I256:K256 I288:K288 I308:K308 I342:K342 I268:K268 I270:K270" xr:uid="{00000000-0002-0000-0100-000000000000}">
      <formula1>0</formula1>
      <formula2>9.99999999999999E+28</formula2>
    </dataValidation>
    <dataValidation imeMode="halfAlpha" allowBlank="1" showInputMessage="1" showErrorMessage="1" sqref="O439 O417 O415 O431 I396:P396 O429 O427 O425 O423 O421 O419 O437 O435 O433" xr:uid="{00000000-0002-0000-0100-000001000000}"/>
    <dataValidation imeMode="hiragana" allowBlank="1" showInputMessage="1" showErrorMessage="1" sqref="G97:N97 G43:N43 G45:N45 F459 G54:N54 G56:N56 G58:N58 F469 I356:P356 I360:P360 I362:P362 I366:P366 I368:P368 G90:N90 I461 G439 I471 G99:N99 G101:N101 I459 I469 F473 F467 F449 C469 I473 C459 G433 G435 I463 C463 I465 C465 C461 F461 C473 I467 G437 F463 G86:N86 C467 G88:N88 I475 F465 D415 D417 D419 D421 D423 D425 D427 D429 C414:C440 E414:F440 D439 H414:I440 D431 G415 G417 G419 G421 G423 G425 G427 G429 D433 D435 C475 C471 F471 F475 D437 G431 G47:N47 F477 I479 I477 F485 C477 I481 C481 I483 C483 C479 F479 I485 F481 C485 F483" xr:uid="{00000000-0002-0000-0100-000002000000}"/>
    <dataValidation type="custom" imeMode="disabled" allowBlank="1" showInputMessage="1" showErrorMessage="1" errorTitle="郵便番号エラー" error="郵便番号のうしろの4桁のみを入力してください。" sqref="I80 I37" xr:uid="{00000000-0002-0000-0100-000003000000}">
      <formula1>AND(LENB(I37)=4,0&lt;=VALUE(I37))</formula1>
    </dataValidation>
    <dataValidation type="custom" imeMode="disabled" allowBlank="1" showInputMessage="1" showErrorMessage="1" errorTitle="E-mailアドレスエラー" error="メールアドレスは@の前とうしろで分けて入力してください。" sqref="M394:O394 K376:O376 M378:O378 K392:O392" xr:uid="{00000000-0002-0000-0100-000004000000}">
      <formula1>NOT(COUNTIF(K376,"*@*"))</formula1>
    </dataValidation>
    <dataValidation type="custom" imeMode="disabled" allowBlank="1" showInputMessage="1" showErrorMessage="1" errorTitle="郵便番号エラー" error="郵便番号のあたまの3桁のみを入力してください。" promptTitle="リースによる導入時は注意してください。" prompt="リース事業者との共同申請をされる場合は、代表申請者に補助金をお支払いするため、気を付けてください。" sqref="G80 G37" xr:uid="{00000000-0002-0000-0100-000005000000}">
      <formula1>AND(LENB(G37)=3,0&lt;VALUE(G37))</formula1>
    </dataValidation>
    <dataValidation type="list" allowBlank="1" showInputMessage="1" showErrorMessage="1" errorTitle="チェックエラー" error="チェックはグレーアウトしていない箇所にてプルダウンリストから「✔」を選択してください。" sqref="C300 D124 D128 D130 D132 D134 D136 D138 D140 I162 I164 I166" xr:uid="{00000000-0002-0000-0100-000006000000}">
      <formula1>"✓,　"</formula1>
    </dataValidation>
    <dataValidation type="date" imeMode="halfAlpha" allowBlank="1" showInputMessage="1" showErrorMessage="1" errorTitle="事業の完了年月日エラー" error="完了予定年月日は1～3次：2023/1/20、4次：2023/2/3までの日付を西暦4桁/月1～2桁/日1～2桁で入力してください。半角スラッシュも必須です。" sqref="C348:G348" xr:uid="{00000000-0002-0000-0100-000007000000}">
      <formula1>44824</formula1>
      <formula2>44960</formula2>
    </dataValidation>
    <dataValidation type="date" imeMode="hiragana" allowBlank="1" showInputMessage="1" showErrorMessage="1" errorTitle="生年月日エラー" error="生年月日は、西暦4桁/月1～2桁/日1～2桁で入力してください。半角スラッシュも必須です。_x000a_" sqref="G107:I107" xr:uid="{00000000-0002-0000-0100-000008000000}">
      <formula1>1</formula1>
      <formula2>44926</formula2>
    </dataValidation>
    <dataValidation type="list" allowBlank="1" showInputMessage="1" showErrorMessage="1" errorTitle="代表／共同申請者組み合わせエラー" error="プルダウンリストの中から選択してください。" sqref="C10:Q10" xr:uid="{00000000-0002-0000-0100-000009000000}">
      <formula1>"代表申請者が「トラック事業者」、共同申請者が「なし」,代表申請者が「トラック事業者」、共同申請者が「リース事業者」,代表申請者が「荷主等」、　　　　　 共同申請者が「なし」,代表申請者が「荷主等」、　　　　　 共同申請者が「リース事業者」,代表申請者が「リース事業者」、　共同申請者が「トラック事業者」,代表申請者が「リース事業者」、　共同申請者が「荷主等」"</formula1>
    </dataValidation>
    <dataValidation imeMode="disabled" allowBlank="1" showInputMessage="1" showErrorMessage="1" sqref="I152 I380:P380" xr:uid="{00000000-0002-0000-0100-00000A000000}"/>
    <dataValidation type="custom" imeMode="fullKatakana" allowBlank="1" showInputMessage="1" showErrorMessage="1" errorTitle="ホウジンメイ（全角） エラー" error="全角カタカナのみで入力してください。" sqref="G92:N92" xr:uid="{00000000-0002-0000-0100-00000B000000}">
      <formula1>AND(G92=PHONETIC(G92),LEN(G92)*2=LENB(G92))</formula1>
    </dataValidation>
    <dataValidation type="date" imeMode="halfAlpha" allowBlank="1" showInputMessage="1" showErrorMessage="1" errorTitle="文書作成日エラー" error="文書作成日は2022/8/9～2022/12/2までの日付を西暦4桁/月1～2桁/日1～2桁で入力してください。半角スラッシュも必須です。" sqref="C25:G25" xr:uid="{00000000-0002-0000-0100-00000C000000}">
      <formula1>44782</formula1>
      <formula2>44897</formula2>
    </dataValidation>
    <dataValidation type="whole" imeMode="halfAlpha" allowBlank="1" showInputMessage="1" showErrorMessage="1" sqref="I158" xr:uid="{00000000-0002-0000-0100-00000D000000}">
      <formula1>I152</formula1>
      <formula2>999999</formula2>
    </dataValidation>
    <dataValidation type="custom" imeMode="halfAlpha" allowBlank="1" showInputMessage="1" showErrorMessage="1" errorTitle="FAX番号エラー" error="FAX番号はハイフンなし、スペースなし、半角数字で入力してください。" sqref="I390:M390 I374:M374" xr:uid="{00000000-0002-0000-0100-00000E000000}">
      <formula1>AND(OR(LEN(I374)=10,LEN(I374)=11),NOT(COUNTIF(I374,"*-*")))</formula1>
    </dataValidation>
    <dataValidation type="custom" imeMode="fullKatakana" allowBlank="1" showInputMessage="1" showErrorMessage="1" errorTitle="ホウジンメイ（全角） 　" error="全角カタカナのみで入力してください。" sqref="G49:N49" xr:uid="{00000000-0002-0000-0100-00000F000000}">
      <formula1>AND(G49=PHONETIC(G49),LEN(G49)*2=LENB(G49))</formula1>
    </dataValidation>
    <dataValidation type="custom" imeMode="fullKatakana" allowBlank="1" showInputMessage="1" showErrorMessage="1" errorTitle="セイ（全角）エラー 　" error="全角カタカナのみで入力してください。" sqref="G60:N60" xr:uid="{00000000-0002-0000-0100-000010000000}">
      <formula1>AND(G60=PHONETIC(G60),LEN(G60)*2=LENB(G60))</formula1>
    </dataValidation>
    <dataValidation type="custom" imeMode="fullKatakana" allowBlank="1" showInputMessage="1" showErrorMessage="1" errorTitle="メイ（全角） エラー 　" error="全角カタカナのみで入力してください。" sqref="G62:N62" xr:uid="{00000000-0002-0000-0100-000011000000}">
      <formula1>AND(G62=PHONETIC(G62),LEN(G62)*2=LENB(G62))</formula1>
    </dataValidation>
    <dataValidation type="custom" imeMode="fullKatakana" allowBlank="1" showInputMessage="1" showErrorMessage="1" errorTitle="セイ（全角）エラー" error="全角カタカナのみで入力してください。" sqref="G103:N103" xr:uid="{00000000-0002-0000-0100-000012000000}">
      <formula1>AND(G103=PHONETIC(G103),LEN(G103)*2=LENB(G103))</formula1>
    </dataValidation>
    <dataValidation type="custom" imeMode="fullKatakana" allowBlank="1" showInputMessage="1" showErrorMessage="1" errorTitle=" メイ（全角）エラー" error="全角カタカナのみで入力してください。" sqref="G105:N105" xr:uid="{00000000-0002-0000-0100-000013000000}">
      <formula1>AND(G105=PHONETIC(G105),LEN(G105)*2=LENB(G105))</formula1>
    </dataValidation>
    <dataValidation type="custom" imeMode="fullKatakana" allowBlank="1" showInputMessage="1" showErrorMessage="1" errorTitle="セイ（全角）エラー" error="全角カタカナのみで入力してください。" sqref="K414 K416 K418 K420 K422 K424 K426 K428 K430 K432 K434 K436 K438 K440 K459 K461 K463 K465 K467 K469 K471 K473 K475 K477 K479 K481 K483 K485" xr:uid="{00000000-0002-0000-0100-000014000000}">
      <formula1>K414=PHONETIC(K414)</formula1>
    </dataValidation>
    <dataValidation type="custom" imeMode="fullKatakana" allowBlank="1" showInputMessage="1" showErrorMessage="1" errorTitle=" メイ（全角）エラー" error="全角カタカナのみで入力してください。" sqref="M414 M416 M418 M420 M422 M424 M426 M428 M430 M432 M434 M436 M438 M440 M459 M461 M463 M465 M467 M469 M471 M473 M475 M477 M479 M481 M483 M485" xr:uid="{00000000-0002-0000-0100-000015000000}">
      <formula1>M414=PHONETIC(M414)</formula1>
    </dataValidation>
    <dataValidation type="custom" imeMode="halfAlpha" allowBlank="1" showInputMessage="1" showErrorMessage="1" errorTitle="電話番号エラー" error="電話番号はハイフンなし、スペースなし、半角数字で入力してください。" sqref="I372:M372 I388:M388" xr:uid="{00000000-0002-0000-0100-000016000000}">
      <formula1>AND(OR(LEN(I372)=10,LEN(I372)=11),NOT(COUNTIF(I372,"*-*")))</formula1>
    </dataValidation>
    <dataValidation type="date" imeMode="hiragana" allowBlank="1" showInputMessage="1" showErrorMessage="1" errorTitle="生年月日エラー" error="生年月日は、西暦4桁/月1～2桁/日1～2桁で入力してください。半角スラッシュも必須です。" sqref="G64:I64" xr:uid="{00000000-0002-0000-0100-000017000000}">
      <formula1>1</formula1>
      <formula2>44926</formula2>
    </dataValidation>
    <dataValidation type="list" imeMode="hiragana" allowBlank="1" showInputMessage="1" showErrorMessage="1" errorTitle="性別エラー" error="性別はリストからプルダウンで選択してください。" sqref="G66:H66 G109:H109 Q414 Q416 Q418 Q420 Q422 Q424 Q426 Q428 Q430 Q432 Q434 Q436 Q438 Q440 Q459 Q461 Q463 Q465 Q467 Q469 Q471 Q473 Q475 Q477 Q479 Q481 Q483 Q485" xr:uid="{00000000-0002-0000-0100-000018000000}">
      <formula1>"男,女"</formula1>
    </dataValidation>
    <dataValidation type="whole" imeMode="halfAlpha" allowBlank="1" showInputMessage="1" showErrorMessage="1" errorTitle="事業所数エラー" error="事業所数は整数で入力してください。" sqref="I154" xr:uid="{00000000-0002-0000-0100-000019000000}">
      <formula1>1</formula1>
      <formula2>999999999999999</formula2>
    </dataValidation>
    <dataValidation type="whole" imeMode="halfAlpha" allowBlank="1" showInputMessage="1" showErrorMessage="1" errorTitle="補助対象設備を導入する事業所数エラー" error="補助対象設備を導入する事業所数は整数で入力してください。" sqref="I173 I175 I177 I179 I181" xr:uid="{00000000-0002-0000-0100-00001A000000}">
      <formula1>0</formula1>
      <formula2>999999999999999</formula2>
    </dataValidation>
    <dataValidation type="whole" imeMode="halfAlpha" allowBlank="1" showInputMessage="1" showErrorMessage="1" errorTitle="申請する車両台数エラー" error="申請する車両台数は、事業用と自家用を合計して50台までの申請です。" sqref="I148 I150" xr:uid="{00000000-0002-0000-0100-00001B000000}">
      <formula1>0</formula1>
      <formula2>I148+I150&lt;=50</formula2>
    </dataValidation>
    <dataValidation type="whole" imeMode="halfAlpha" allowBlank="1" showInputMessage="1" showErrorMessage="1" errorTitle="連携するトラック事業者数エラー" error="連携するトラック事業者数は整数で入力してください。" sqref="I187" xr:uid="{00000000-0002-0000-0100-00001C000000}">
      <formula1>1</formula1>
      <formula2>999999999999999</formula2>
    </dataValidation>
    <dataValidation type="whole" imeMode="halfAlpha" allowBlank="1" showInputMessage="1" showErrorMessage="1" errorTitle="連携する車両台数エラー" error="連携する車両台数は整数で入力してください。" sqref="I191 I193" xr:uid="{00000000-0002-0000-0100-00001D000000}">
      <formula1>1</formula1>
      <formula2>999999999999999</formula2>
    </dataValidation>
    <dataValidation type="whole" imeMode="halfAlpha" allowBlank="1" showInputMessage="1" showErrorMessage="1" errorTitle="保有車両台数エラー" error="保有車両台数は連携する車両台数以上を整数で入力してください。" sqref="I222 I199" xr:uid="{00000000-0002-0000-0100-00001E000000}">
      <formula1>I195</formula1>
      <formula2>999999999999999</formula2>
    </dataValidation>
    <dataValidation imeMode="halfAlpha" allowBlank="1" showInputMessage="1" showErrorMessage="1" errorTitle="連携するトラック事業者数エラー" error="連携するトラック事業者数は整数で入力してください。" sqref="I210" xr:uid="{00000000-0002-0000-0100-00001F000000}"/>
    <dataValidation type="whole" imeMode="halfAlpha" allowBlank="1" showInputMessage="1" showErrorMessage="1" errorTitle="導入事業者数エラー" error="導入事業者数は整数で入力してください。" sqref="I206 I229" xr:uid="{00000000-0002-0000-0100-000020000000}">
      <formula1>1</formula1>
      <formula2>99999999999999900</formula2>
    </dataValidation>
    <dataValidation type="whole" imeMode="halfAlpha" allowBlank="1" showInputMessage="1" showErrorMessage="1" errorTitle="連携する車両台数エラー" error="連携する車両台数は整数で入力してください。" sqref="I214 I216" xr:uid="{00000000-0002-0000-0100-000021000000}">
      <formula1>1</formula1>
      <formula2>99999999999999900</formula2>
    </dataValidation>
    <dataValidation type="whole" imeMode="halfAlpha" allowBlank="1" showInputMessage="1" showErrorMessage="1" errorTitle="金額入力エラー" error="金額は半角数字で入力してください。" sqref="I250:K250 I252:K252 I254:K254 I262:K262 I264:K264 I266:K266 I274:K274 I276:K276 I278:K278" xr:uid="{00000000-0002-0000-0100-000022000000}">
      <formula1>0</formula1>
      <formula2>999999999999999000000</formula2>
    </dataValidation>
    <dataValidation type="whole" imeMode="halfAlpha" allowBlank="1" showInputMessage="1" showErrorMessage="1" errorTitle="金額入力エラー" error="金額は半角数字で入力してください" sqref="I304:K304 I306:K306 I312:K312 I314:K314 I316:K316 I322:K322 I324:K324 I326:K326 I332:K332 I334:K334 I336:K336" xr:uid="{00000000-0002-0000-0100-000023000000}">
      <formula1>1</formula1>
      <formula2>9.99999999999999E+22</formula2>
    </dataValidation>
    <dataValidation type="date" imeMode="halfAlpha" allowBlank="1" showInputMessage="1" showErrorMessage="1" errorTitle="生年月日エラー" error="生年月日は、西暦4桁/月1～2桁/日1～2桁で入力してください。半角スラッシュも必須です。" sqref="O414 O416 O418 O420 O422 O424 O426 O428 O430 O432 O434 O436 O438 O440 O459 O461 O463 O465 O467 O469 O471 O473 O475 O477 O479 O481 O483 O485" xr:uid="{00000000-0002-0000-0100-000024000000}">
      <formula1>1</formula1>
      <formula2>44926</formula2>
    </dataValidation>
    <dataValidation type="list" imeMode="disabled" allowBlank="1" showInputMessage="1" showErrorMessage="1" errorTitle="役員の人数エラー" error="役員の人数はリストからプルダウンで入力してください。" sqref="F406:G406 F451:G451" xr:uid="{00000000-0002-0000-0100-000025000000}">
      <formula1>"1,2,3,4,5,6,7,8,9,10,11,12,13,14,15,16以上"</formula1>
    </dataValidation>
  </dataValidations>
  <hyperlinks>
    <hyperlink ref="I238:K238" location="金額入力シート!E12" display="金額の入力はこちらから" xr:uid="{00000000-0004-0000-0100-000000000000}"/>
  </hyperlinks>
  <pageMargins left="0.25" right="0.25" top="0.75" bottom="0.75" header="0.3" footer="0.3"/>
  <pageSetup paperSize="9" scale="96" orientation="portrait" r:id="rId1"/>
  <rowBreaks count="3" manualBreakCount="3">
    <brk id="117" max="16383" man="1"/>
    <brk id="292" max="18" man="1"/>
    <brk id="443" max="16383" man="1"/>
  </rowBreaks>
  <extLst>
    <ext xmlns:x14="http://schemas.microsoft.com/office/spreadsheetml/2009/9/main" uri="{78C0D931-6437-407d-A8EE-F0AAD7539E65}">
      <x14:conditionalFormattings>
        <x14:conditionalFormatting xmlns:xm="http://schemas.microsoft.com/office/excel/2006/main">
          <x14:cfRule type="expression" priority="170" id="{0AE00B50-06C3-4186-9CC9-D58F6991291E}">
            <xm:f>AND(反映シート!$G$5=1,エラー判定!$E$232="NG")</xm:f>
            <x14:dxf>
              <font>
                <color rgb="FFFF0000"/>
              </font>
              <fill>
                <patternFill>
                  <bgColor rgb="FFFFC7CE"/>
                </patternFill>
              </fill>
            </x14:dxf>
          </x14:cfRule>
          <xm:sqref>I372:M372</xm:sqref>
        </x14:conditionalFormatting>
        <x14:conditionalFormatting xmlns:xm="http://schemas.microsoft.com/office/excel/2006/main">
          <x14:cfRule type="expression" priority="240" id="{369DE538-99A5-4BF5-9753-9DBB98D63C8B}">
            <xm:f>AND(反映シート!$G$5=1,エラー判定!$E$234="SPACE")</xm:f>
            <x14:dxf>
              <font>
                <color theme="2" tint="-0.499984740745262"/>
              </font>
              <fill>
                <patternFill>
                  <bgColor rgb="FFFFD966"/>
                </patternFill>
              </fill>
            </x14:dxf>
          </x14:cfRule>
          <xm:sqref>I374:M374</xm:sqref>
        </x14:conditionalFormatting>
        <x14:conditionalFormatting xmlns:xm="http://schemas.microsoft.com/office/excel/2006/main">
          <x14:cfRule type="expression" priority="239" id="{71C8468D-CD33-4FE5-AD5D-17AC7E5A86B9}">
            <xm:f>AND(反映シート!$G$5=1,エラー判定!$E$245="NG")</xm:f>
            <x14:dxf>
              <font>
                <color rgb="FFFF0000"/>
              </font>
              <fill>
                <patternFill>
                  <bgColor rgb="FFFFC7CE"/>
                </patternFill>
              </fill>
            </x14:dxf>
          </x14:cfRule>
          <xm:sqref>I388:M388</xm:sqref>
        </x14:conditionalFormatting>
        <x14:conditionalFormatting xmlns:xm="http://schemas.microsoft.com/office/excel/2006/main">
          <x14:cfRule type="expression" priority="238" id="{E52D01D2-AAD5-4A65-8594-C784E85655F0}">
            <xm:f>AND(反映シート!$G$5=1,エラー判定!$E$247="SPACE")</xm:f>
            <x14:dxf>
              <font>
                <color theme="2" tint="-0.499984740745262"/>
              </font>
              <fill>
                <patternFill>
                  <bgColor rgb="FFFFD966"/>
                </patternFill>
              </fill>
            </x14:dxf>
          </x14:cfRule>
          <xm:sqref>I390:M390</xm:sqref>
        </x14:conditionalFormatting>
        <x14:conditionalFormatting xmlns:xm="http://schemas.microsoft.com/office/excel/2006/main">
          <x14:cfRule type="expression" priority="926" id="{F3AABC08-3726-4384-A706-A57AEBBC68B7}">
            <xm:f>AND(反映シート!$C$120=FALSE,反映シート!$C$122=FALSE,反映シート!$C$124=FALSE,反映シート!$C$126=FALSE,反映シート!$C$128=FALSE)</xm:f>
            <x14:dxf>
              <font>
                <color theme="1" tint="0.499984740745262"/>
              </font>
              <fill>
                <patternFill>
                  <bgColor theme="1" tint="0.499984740745262"/>
                </patternFill>
              </fill>
            </x14:dxf>
          </x14:cfRule>
          <xm:sqref>I250:K250</xm:sqref>
        </x14:conditionalFormatting>
        <x14:conditionalFormatting xmlns:xm="http://schemas.microsoft.com/office/excel/2006/main">
          <x14:cfRule type="expression" priority="925" id="{1F6D36CE-85E6-4B6F-8C19-CD88BD156BF4}">
            <xm:f>AND(反映シート!$C$120=FALSE,反映シート!$C$122=FALSE,反映シート!$C$124=FALSE,反映シート!$C$126=FALSE,反映シート!$C$128=FALSE)</xm:f>
            <x14:dxf>
              <font>
                <color theme="1" tint="0.499984740745262"/>
              </font>
              <fill>
                <patternFill>
                  <bgColor theme="1" tint="0.499984740745262"/>
                </patternFill>
              </fill>
            </x14:dxf>
          </x14:cfRule>
          <xm:sqref>I252:K252</xm:sqref>
        </x14:conditionalFormatting>
        <x14:conditionalFormatting xmlns:xm="http://schemas.microsoft.com/office/excel/2006/main">
          <x14:cfRule type="expression" priority="183" id="{723EF44B-E29C-4D24-A0FE-6FA3E4942274}">
            <xm:f>AND(反映シート!$C$120=FALSE,反映シート!$C$122=FALSE,反映シート!$C$124=FALSE,反映シート!$C$126=FALSE,反映シート!$C$128=FALSE)</xm:f>
            <x14:dxf>
              <font>
                <color theme="1" tint="0.499984740745262"/>
              </font>
              <fill>
                <patternFill>
                  <bgColor theme="1" tint="0.499984740745262"/>
                </patternFill>
              </fill>
            </x14:dxf>
          </x14:cfRule>
          <xm:sqref>I254:K254</xm:sqref>
        </x14:conditionalFormatting>
        <x14:conditionalFormatting xmlns:xm="http://schemas.microsoft.com/office/excel/2006/main">
          <x14:cfRule type="expression" priority="924" id="{0C876C15-F173-4944-974D-483747D64C5F}">
            <xm:f>AND(反映シート!$C$120=FALSE,反映シート!$C$122=FALSE,反映シート!$C$124=FALSE,反映シート!$C$126=FALSE,反映シート!$C$128=FALSE)</xm:f>
            <x14:dxf>
              <font>
                <color theme="1" tint="0.499984740745262"/>
              </font>
              <fill>
                <patternFill>
                  <bgColor theme="1" tint="0.499984740745262"/>
                </patternFill>
              </fill>
            </x14:dxf>
          </x14:cfRule>
          <xm:sqref>I256:K256</xm:sqref>
        </x14:conditionalFormatting>
        <x14:conditionalFormatting xmlns:xm="http://schemas.microsoft.com/office/excel/2006/main">
          <x14:cfRule type="expression" priority="923" id="{4EDBBDB4-9FD4-4D65-AF8A-EBC06E878747}">
            <xm:f>AND(反映シート!$C$120=FALSE,反映シート!$C$122=FALSE,反映シート!$C$124=FALSE,反映シート!$C$126=FALSE,反映シート!$C$128=FALSE)</xm:f>
            <x14:dxf>
              <font>
                <color theme="1" tint="0.499984740745262"/>
              </font>
              <fill>
                <patternFill>
                  <bgColor theme="1" tint="0.499984740745262"/>
                </patternFill>
              </fill>
            </x14:dxf>
          </x14:cfRule>
          <xm:sqref>I258:K258</xm:sqref>
        </x14:conditionalFormatting>
        <x14:conditionalFormatting xmlns:xm="http://schemas.microsoft.com/office/excel/2006/main">
          <x14:cfRule type="expression" priority="5" id="{33C7D63D-4A2E-4A24-9893-B3EC350F9593}">
            <xm:f>反映シート!$C$116=FALSE</xm:f>
            <x14:dxf>
              <font>
                <color theme="1" tint="0.499984740745262"/>
              </font>
              <fill>
                <patternFill>
                  <bgColor theme="1" tint="0.499984740745262"/>
                </patternFill>
              </fill>
            </x14:dxf>
          </x14:cfRule>
          <xm:sqref>I150 I152 I154 I158 I162 I164 I166</xm:sqref>
        </x14:conditionalFormatting>
        <x14:conditionalFormatting xmlns:xm="http://schemas.microsoft.com/office/excel/2006/main">
          <x14:cfRule type="expression" priority="920" id="{E4D49311-35C0-4BFD-BB05-B129683C7148}">
            <xm:f>反映シート!$C$116=FALSE</xm:f>
            <x14:dxf>
              <font>
                <color theme="1" tint="0.499984740745262"/>
              </font>
              <fill>
                <patternFill>
                  <bgColor theme="1" tint="0.499984740745262"/>
                </patternFill>
              </fill>
            </x14:dxf>
          </x14:cfRule>
          <xm:sqref>I304:K304</xm:sqref>
        </x14:conditionalFormatting>
        <x14:conditionalFormatting xmlns:xm="http://schemas.microsoft.com/office/excel/2006/main">
          <x14:cfRule type="expression" priority="331" id="{DD8B6617-095C-493A-9116-AA3643E20C07}">
            <xm:f>反映シート!$C$116=FALSE</xm:f>
            <x14:dxf>
              <font>
                <color theme="1" tint="0.499984740745262"/>
              </font>
              <fill>
                <patternFill>
                  <bgColor theme="1" tint="0.499984740745262"/>
                </patternFill>
              </fill>
            </x14:dxf>
          </x14:cfRule>
          <xm:sqref>I306:K306 I240 I242 I244 I246</xm:sqref>
        </x14:conditionalFormatting>
        <x14:conditionalFormatting xmlns:xm="http://schemas.microsoft.com/office/excel/2006/main">
          <x14:cfRule type="expression" priority="919" id="{832294EA-78A2-4880-B20C-FE188E634550}">
            <xm:f>反映シート!$C$116=FALSE</xm:f>
            <x14:dxf>
              <font>
                <color theme="1" tint="0.499984740745262"/>
              </font>
              <fill>
                <patternFill>
                  <bgColor theme="1" tint="0.499984740745262"/>
                </patternFill>
              </fill>
            </x14:dxf>
          </x14:cfRule>
          <xm:sqref>I308:K308</xm:sqref>
        </x14:conditionalFormatting>
        <x14:conditionalFormatting xmlns:xm="http://schemas.microsoft.com/office/excel/2006/main">
          <x14:cfRule type="expression" priority="182" id="{87C74BF2-08F4-42BF-AA9E-486B9D619635}">
            <xm:f>(反映シート!$C$130=FALSE)</xm:f>
            <x14:dxf>
              <font>
                <color theme="1" tint="0.499984740745262"/>
              </font>
              <fill>
                <patternFill>
                  <bgColor theme="0" tint="-0.499984740745262"/>
                </patternFill>
              </fill>
            </x14:dxf>
          </x14:cfRule>
          <xm:sqref>I268:K268 I266:K266 I264:K264 I262:K262</xm:sqref>
        </x14:conditionalFormatting>
        <x14:conditionalFormatting xmlns:xm="http://schemas.microsoft.com/office/excel/2006/main">
          <x14:cfRule type="expression" priority="338" id="{7995347E-8825-43AF-B928-7822F7A55D77}">
            <xm:f>反映シート!$C$132=FALSE</xm:f>
            <x14:dxf>
              <font>
                <color theme="1" tint="0.499984740745262"/>
              </font>
              <fill>
                <patternFill>
                  <bgColor theme="0" tint="-0.499984740745262"/>
                </patternFill>
              </fill>
            </x14:dxf>
          </x14:cfRule>
          <xm:sqref>I274:K274 I276:K276 I278:K278 I280:K280 I282:K282</xm:sqref>
        </x14:conditionalFormatting>
        <x14:conditionalFormatting xmlns:xm="http://schemas.microsoft.com/office/excel/2006/main">
          <x14:cfRule type="expression" priority="181" id="{BDBABD0B-55B2-4F29-9F35-7B1D1D8594FA}">
            <xm:f>AND(反映シート!$C$116=FALSE,反映シート!$C$120=FALSE,反映シート!$C$122=FALSE,反映シート!$C$124=FALSE,反映シート!$C$126=FALSE,反映シート!$C$128=FALSE,反映シート!$C$130=FALSE)</xm:f>
            <x14:dxf>
              <font>
                <color theme="1" tint="0.499984740745262"/>
              </font>
              <fill>
                <patternFill>
                  <bgColor theme="0" tint="-0.499984740745262"/>
                </patternFill>
              </fill>
            </x14:dxf>
          </x14:cfRule>
          <xm:sqref>I276:K276 I274:K274 I278:K278 I280:K280 I282:K282</xm:sqref>
        </x14:conditionalFormatting>
        <x14:conditionalFormatting xmlns:xm="http://schemas.microsoft.com/office/excel/2006/main">
          <x14:cfRule type="expression" priority="177" id="{B5FF35D6-E1CA-450F-8835-939ADC46B1BD}">
            <xm:f>反映シート!$C$301=TRUE</xm:f>
            <x14:dxf>
              <font>
                <color theme="1" tint="0.499984740745262"/>
              </font>
              <fill>
                <patternFill>
                  <bgColor theme="0" tint="-0.499984740745262"/>
                </patternFill>
              </fill>
            </x14:dxf>
          </x14:cfRule>
          <xm:sqref>I304:K304 I306:K306 I308:K308 I312:K312 I314:K314 I316:K316 I318:K318 I322:K322 I324:K324 I326:K326 I328:K328 I332:K332 I334:K334 I336:K336 I338:K338</xm:sqref>
        </x14:conditionalFormatting>
        <x14:conditionalFormatting xmlns:xm="http://schemas.microsoft.com/office/excel/2006/main">
          <x14:cfRule type="expression" priority="180" id="{1115616D-DB8A-49CA-93DD-C4A48D92D1DC}">
            <xm:f>AND(反映シート!$C$120=FALSE,反映シート!$C$122=FALSE,反映シート!$C$124=FALSE,反映シート!$C$126=FALSE,反映シート!$C$128=FALSE)</xm:f>
            <x14:dxf>
              <font>
                <color theme="1" tint="0.499984740745262"/>
              </font>
              <fill>
                <patternFill>
                  <bgColor theme="0" tint="-0.499984740745262"/>
                </patternFill>
              </fill>
            </x14:dxf>
          </x14:cfRule>
          <xm:sqref>I312:K312 I314:K314 I316:K316 I318:K318</xm:sqref>
        </x14:conditionalFormatting>
        <x14:conditionalFormatting xmlns:xm="http://schemas.microsoft.com/office/excel/2006/main">
          <x14:cfRule type="expression" priority="179" id="{979BBF65-DE91-4E06-BC14-7343B49CB430}">
            <xm:f>反映シート!$C$130=FALSE</xm:f>
            <x14:dxf>
              <font>
                <color theme="1" tint="0.499984740745262"/>
              </font>
              <fill>
                <patternFill>
                  <bgColor theme="0" tint="-0.499984740745262"/>
                </patternFill>
              </fill>
            </x14:dxf>
          </x14:cfRule>
          <xm:sqref>I322:K322 I324:K324 I326:K326 I328:K328</xm:sqref>
        </x14:conditionalFormatting>
        <x14:conditionalFormatting xmlns:xm="http://schemas.microsoft.com/office/excel/2006/main">
          <x14:cfRule type="expression" priority="178" id="{D9EE49BC-258B-4B9E-9E01-77588B43BD59}">
            <xm:f>反映シート!$C$132=FALSE</xm:f>
            <x14:dxf>
              <font>
                <color theme="1" tint="0.499984740745262"/>
              </font>
              <fill>
                <patternFill>
                  <bgColor theme="0" tint="-0.499984740745262"/>
                </patternFill>
              </fill>
            </x14:dxf>
          </x14:cfRule>
          <x14:cfRule type="expression" priority="330" id="{4AD76E4B-A6B6-4BE9-ADD1-5686DDD31F8B}">
            <xm:f>AND(反映シート!$C$116=FALSE,反映シート!$C$120=FALSE,反映シート!$C$122=FALSE,反映シート!$C$124=FALSE,反映シート!$C$126=FALSE,反映シート!$C$128=FALSE,反映シート!$C$130=FALSE)</xm:f>
            <x14:dxf>
              <font>
                <color theme="1" tint="0.499984740745262"/>
              </font>
              <fill>
                <patternFill>
                  <bgColor theme="0" tint="-0.499984740745262"/>
                </patternFill>
              </fill>
            </x14:dxf>
          </x14:cfRule>
          <xm:sqref>I332:K332 I334:K334 I336:K336 I338:K338</xm:sqref>
        </x14:conditionalFormatting>
        <x14:conditionalFormatting xmlns:xm="http://schemas.microsoft.com/office/excel/2006/main">
          <x14:cfRule type="expression" priority="218" id="{40BF220E-D9C6-4206-AD3B-822854AAADD3}">
            <xm:f>AND(反映シート!$G$5=1,エラー判定!$E$58="NG")</xm:f>
            <x14:dxf>
              <font>
                <color rgb="FFFF0000"/>
              </font>
              <fill>
                <patternFill>
                  <bgColor rgb="FFFFC7CE"/>
                </patternFill>
              </fill>
            </x14:dxf>
          </x14:cfRule>
          <x14:cfRule type="expression" priority="318" id="{E325622F-DF49-44CD-A9E1-23D59E300655}">
            <xm:f>OR(反映シート!$E$13="荷主等",反映シート!$E$13="リース事業者")</xm:f>
            <x14:dxf>
              <font>
                <color theme="1" tint="0.499984740745262"/>
              </font>
              <fill>
                <patternFill>
                  <bgColor theme="1" tint="0.499984740745262"/>
                </patternFill>
              </fill>
            </x14:dxf>
          </x14:cfRule>
          <xm:sqref>G71:N71</xm:sqref>
        </x14:conditionalFormatting>
        <x14:conditionalFormatting xmlns:xm="http://schemas.microsoft.com/office/excel/2006/main">
          <x14:cfRule type="expression" priority="204" id="{499BEED9-C9E7-4256-9B44-F19BBD1182B6}">
            <xm:f>OR(反映シート!$E$15="荷主等",反映シート!$E$15="なし",反映シート!$E$15="リース事業者")</xm:f>
            <x14:dxf>
              <font>
                <color theme="1" tint="0.499984740745262"/>
              </font>
              <fill>
                <patternFill>
                  <bgColor theme="1" tint="0.499984740745262"/>
                </patternFill>
              </fill>
            </x14:dxf>
          </x14:cfRule>
          <x14:cfRule type="expression" priority="317" id="{BEB851F5-FE69-4A50-B9DC-030FE650BAC0}">
            <xm:f>AND(反映シート!$G$5=1,エラー判定!$E$95="NG")</xm:f>
            <x14:dxf>
              <font>
                <color rgb="FFFF0000"/>
              </font>
              <fill>
                <patternFill>
                  <bgColor rgb="FFFFC7CE"/>
                </patternFill>
              </fill>
            </x14:dxf>
          </x14:cfRule>
          <xm:sqref>G115:N115</xm:sqref>
        </x14:conditionalFormatting>
        <x14:conditionalFormatting xmlns:xm="http://schemas.microsoft.com/office/excel/2006/main">
          <x14:cfRule type="expression" priority="197" id="{4C03F325-D41F-42E0-959A-61AD36B91C71}">
            <xm:f>反映シート!$C$116=FALSE</xm:f>
            <x14:dxf>
              <font>
                <color theme="1" tint="0.499984740745262"/>
              </font>
              <fill>
                <patternFill>
                  <bgColor theme="1" tint="0.499984740745262"/>
                </patternFill>
              </fill>
            </x14:dxf>
          </x14:cfRule>
          <xm:sqref>I148</xm:sqref>
        </x14:conditionalFormatting>
        <x14:conditionalFormatting xmlns:xm="http://schemas.microsoft.com/office/excel/2006/main">
          <x14:cfRule type="expression" priority="196" id="{C2D29356-2984-4616-9EFE-D6B0B9E28DAD}">
            <xm:f>反映シート!$C$120=FALSE</xm:f>
            <x14:dxf>
              <font>
                <color theme="1" tint="0.499984740745262"/>
              </font>
              <fill>
                <patternFill>
                  <bgColor theme="1" tint="0.499984740745262"/>
                </patternFill>
              </fill>
            </x14:dxf>
          </x14:cfRule>
          <x14:cfRule type="expression" priority="315" id="{BE183E3C-A0B7-4533-8B0F-97EA6C1236B7}">
            <xm:f>AND(反映シート!$G$5=1,エラー判定!$G$121="NG")</xm:f>
            <x14:dxf>
              <font>
                <color rgb="FFFF0000"/>
              </font>
              <fill>
                <patternFill>
                  <bgColor rgb="FFFFC7CE"/>
                </patternFill>
              </fill>
            </x14:dxf>
          </x14:cfRule>
          <xm:sqref>I173</xm:sqref>
        </x14:conditionalFormatting>
        <x14:conditionalFormatting xmlns:xm="http://schemas.microsoft.com/office/excel/2006/main">
          <x14:cfRule type="expression" priority="195" id="{6654475C-08E6-48F1-BC7F-6CAB4484D652}">
            <xm:f>反映シート!$C$122=FALSE</xm:f>
            <x14:dxf>
              <font>
                <color theme="1" tint="0.499984740745262"/>
              </font>
              <fill>
                <patternFill>
                  <bgColor theme="1" tint="0.499984740745262"/>
                </patternFill>
              </fill>
            </x14:dxf>
          </x14:cfRule>
          <x14:cfRule type="expression" priority="314" id="{30CBFBF2-C7EC-42F5-AB12-2E5E30DC04C4}">
            <xm:f>AND(反映シート!$G$5=1,エラー判定!$G$123="NG")</xm:f>
            <x14:dxf>
              <font>
                <color rgb="FFFF0000"/>
              </font>
              <fill>
                <patternFill>
                  <bgColor rgb="FFFFC7CE"/>
                </patternFill>
              </fill>
            </x14:dxf>
          </x14:cfRule>
          <xm:sqref>I175</xm:sqref>
        </x14:conditionalFormatting>
        <x14:conditionalFormatting xmlns:xm="http://schemas.microsoft.com/office/excel/2006/main">
          <x14:cfRule type="expression" priority="194" id="{EDA81895-0E97-42AF-8D56-9D28C15419E0}">
            <xm:f>反映シート!$C$124=FALSE</xm:f>
            <x14:dxf>
              <font>
                <color theme="1" tint="0.499984740745262"/>
              </font>
              <fill>
                <patternFill>
                  <bgColor theme="1" tint="0.499984740745262"/>
                </patternFill>
              </fill>
            </x14:dxf>
          </x14:cfRule>
          <x14:cfRule type="expression" priority="313" id="{2A5DA1EA-3764-42E9-892E-8DD23938DAAC}">
            <xm:f>AND(反映シート!$G$5=1,エラー判定!$G$125="NG")</xm:f>
            <x14:dxf>
              <font>
                <color rgb="FFFF0000"/>
              </font>
              <fill>
                <patternFill>
                  <bgColor rgb="FFFFC7CE"/>
                </patternFill>
              </fill>
            </x14:dxf>
          </x14:cfRule>
          <xm:sqref>I177</xm:sqref>
        </x14:conditionalFormatting>
        <x14:conditionalFormatting xmlns:xm="http://schemas.microsoft.com/office/excel/2006/main">
          <x14:cfRule type="expression" priority="193" id="{72FA89FB-A3C0-4A63-866D-91797372497E}">
            <xm:f>反映シート!$C$126=FALSE</xm:f>
            <x14:dxf>
              <font>
                <color theme="1" tint="0.499984740745262"/>
              </font>
              <fill>
                <patternFill>
                  <bgColor theme="1" tint="0.499984740745262"/>
                </patternFill>
              </fill>
            </x14:dxf>
          </x14:cfRule>
          <x14:cfRule type="expression" priority="312" id="{7ABBB7BF-A76A-4C82-802A-A654BE00AD92}">
            <xm:f>AND(反映シート!$G$5=1,エラー判定!$G$127="NG")</xm:f>
            <x14:dxf>
              <font>
                <color rgb="FFFF0000"/>
              </font>
              <fill>
                <patternFill>
                  <bgColor rgb="FFFFC7CE"/>
                </patternFill>
              </fill>
            </x14:dxf>
          </x14:cfRule>
          <xm:sqref>I179</xm:sqref>
        </x14:conditionalFormatting>
        <x14:conditionalFormatting xmlns:xm="http://schemas.microsoft.com/office/excel/2006/main">
          <x14:cfRule type="expression" priority="192" id="{89281DEB-DD77-4AE6-9BAF-198BC6E501F3}">
            <xm:f>反映シート!$C$128=FALSE</xm:f>
            <x14:dxf>
              <font>
                <color theme="1" tint="0.499984740745262"/>
              </font>
              <fill>
                <patternFill>
                  <bgColor theme="1" tint="0.499984740745262"/>
                </patternFill>
              </fill>
            </x14:dxf>
          </x14:cfRule>
          <x14:cfRule type="expression" priority="311" id="{F30608D9-1CEE-40F8-BEE8-FF0773622376}">
            <xm:f>AND(反映シート!$G$5=1,エラー判定!$G$129="NG")</xm:f>
            <x14:dxf>
              <font>
                <color rgb="FFFF0000"/>
              </font>
              <fill>
                <patternFill>
                  <bgColor rgb="FFFFC7CE"/>
                </patternFill>
              </fill>
            </x14:dxf>
          </x14:cfRule>
          <xm:sqref>I181</xm:sqref>
        </x14:conditionalFormatting>
        <x14:conditionalFormatting xmlns:xm="http://schemas.microsoft.com/office/excel/2006/main">
          <x14:cfRule type="expression" priority="190" id="{BCF3D402-7390-4FD3-A690-6D626F35274D}">
            <xm:f>COUNTIF(反映シート!$C$120:$C$128,TRUE)=0</xm:f>
            <x14:dxf>
              <font>
                <color theme="1" tint="0.499984740745262"/>
              </font>
              <fill>
                <patternFill>
                  <bgColor theme="1" tint="0.499984740745262"/>
                </patternFill>
              </fill>
            </x14:dxf>
          </x14:cfRule>
          <xm:sqref>I183 I187 I191 I193 I195 I199</xm:sqref>
        </x14:conditionalFormatting>
        <x14:conditionalFormatting xmlns:xm="http://schemas.microsoft.com/office/excel/2006/main">
          <x14:cfRule type="expression" priority="189" id="{305B3E99-7E44-4A8C-9C0A-8454FDC15973}">
            <xm:f>反映シート!$G$180=TRUE</xm:f>
            <x14:dxf>
              <font>
                <color theme="1" tint="0.499984740745262"/>
              </font>
              <fill>
                <patternFill>
                  <bgColor theme="1" tint="0.499984740745262"/>
                </patternFill>
              </fill>
            </x14:dxf>
          </x14:cfRule>
          <xm:sqref>I187 I191 I193 I195 I199</xm:sqref>
        </x14:conditionalFormatting>
        <x14:conditionalFormatting xmlns:xm="http://schemas.microsoft.com/office/excel/2006/main">
          <x14:cfRule type="expression" priority="186" id="{CD23DD21-C6AF-4D58-97A0-65B4EEA226FA}">
            <xm:f>反映シート!$G$207=TRUE</xm:f>
            <x14:dxf>
              <font>
                <color theme="1" tint="0.499984740745262"/>
              </font>
              <fill>
                <patternFill>
                  <bgColor theme="1" tint="0.499984740745262"/>
                </patternFill>
              </fill>
            </x14:dxf>
          </x14:cfRule>
          <xm:sqref>I210 I214 I216 I218 I222</xm:sqref>
        </x14:conditionalFormatting>
        <x14:conditionalFormatting xmlns:xm="http://schemas.microsoft.com/office/excel/2006/main">
          <x14:cfRule type="expression" priority="201" id="{6F594A43-D916-4418-ADBD-BC3739B91B82}">
            <xm:f>AND(反映シート!$E$13&lt;&gt;"トラック事業者",反映シート!$E$15&lt;&gt;"トラック事業者")</xm:f>
            <x14:dxf>
              <font>
                <color theme="1" tint="0.499984740745262"/>
              </font>
              <fill>
                <patternFill>
                  <bgColor theme="1" tint="0.499984740745262"/>
                </patternFill>
              </fill>
            </x14:dxf>
          </x14:cfRule>
          <xm:sqref>D124</xm:sqref>
        </x14:conditionalFormatting>
        <x14:conditionalFormatting xmlns:xm="http://schemas.microsoft.com/office/excel/2006/main">
          <x14:cfRule type="expression" priority="202" id="{0E514A38-8BC2-4782-8904-9808063B1C17}">
            <xm:f>AND(反映シート!$E$13&lt;&gt;"荷主等",反映シート!$E$15&lt;&gt;"荷主等")</xm:f>
            <x14:dxf>
              <font>
                <color theme="1" tint="0.499984740745262"/>
              </font>
              <fill>
                <patternFill>
                  <bgColor theme="1" tint="0.499984740745262"/>
                </patternFill>
              </fill>
            </x14:dxf>
          </x14:cfRule>
          <xm:sqref>D128 D130 D132 D134 D136</xm:sqref>
        </x14:conditionalFormatting>
        <x14:conditionalFormatting xmlns:xm="http://schemas.microsoft.com/office/excel/2006/main">
          <x14:cfRule type="expression" priority="212" id="{31C8D1DD-EF06-4878-818D-B5A5B892F4B4}">
            <xm:f>反映シート!$E$15="なし"</xm:f>
            <x14:dxf>
              <font>
                <color theme="1" tint="0.499984740745262"/>
              </font>
              <fill>
                <patternFill>
                  <bgColor theme="0" tint="-0.499984740745262"/>
                </patternFill>
              </fill>
            </x14:dxf>
          </x14:cfRule>
          <x14:cfRule type="expression" priority="304" id="{EAA236D2-D12E-4F33-9881-D5EDAB3823AC}">
            <xm:f>AND(反映シート!$G$5=1,エラー判定!$E$77="NG")</xm:f>
            <x14:dxf>
              <font>
                <color rgb="FFFF0000"/>
              </font>
              <fill>
                <patternFill>
                  <bgColor rgb="FFFFC7CE"/>
                </patternFill>
              </fill>
            </x14:dxf>
          </x14:cfRule>
          <xm:sqref>G92:N92</xm:sqref>
        </x14:conditionalFormatting>
        <x14:conditionalFormatting xmlns:xm="http://schemas.microsoft.com/office/excel/2006/main">
          <x14:cfRule type="expression" priority="185" id="{232C8073-1F74-4255-9D19-D7CA603A7F8D}">
            <xm:f>反映シート!$C$130=FALSE</xm:f>
            <x14:dxf>
              <font>
                <color theme="1" tint="0.499984740745262"/>
              </font>
              <fill>
                <patternFill>
                  <bgColor theme="1" tint="0.499984740745262"/>
                </patternFill>
              </fill>
            </x14:dxf>
          </x14:cfRule>
          <xm:sqref>I206 I210 I214 I216 I218 I222</xm:sqref>
        </x14:conditionalFormatting>
        <x14:conditionalFormatting xmlns:xm="http://schemas.microsoft.com/office/excel/2006/main">
          <x14:cfRule type="expression" priority="184" id="{37938184-B055-4E0A-A851-CB3E1D1A4CE0}">
            <xm:f>反映シート!$C$132=FALSE</xm:f>
            <x14:dxf>
              <font>
                <color theme="1" tint="0.499984740745262"/>
              </font>
              <fill>
                <patternFill>
                  <bgColor theme="1" tint="0.499984740745262"/>
                </patternFill>
              </fill>
            </x14:dxf>
          </x14:cfRule>
          <x14:cfRule type="expression" priority="302" id="{7EA69D56-9857-42F7-9EE5-7E0BE0396EEE}">
            <xm:f>AND(反映シート!$G$5=1,エラー判定!$G$165="NG")</xm:f>
            <x14:dxf>
              <font>
                <color rgb="FFFF0000"/>
              </font>
              <fill>
                <patternFill>
                  <bgColor rgb="FFFFC7CE"/>
                </patternFill>
              </fill>
            </x14:dxf>
          </x14:cfRule>
          <xm:sqref>I229</xm:sqref>
        </x14:conditionalFormatting>
        <x14:conditionalFormatting xmlns:xm="http://schemas.microsoft.com/office/excel/2006/main">
          <x14:cfRule type="expression" priority="6" id="{963CC06B-499A-4EFB-B442-17A6C76DFE38}">
            <xm:f>反映シート!$E$15="なし"</xm:f>
            <x14:dxf>
              <font>
                <color theme="1" tint="0.499984740745262"/>
              </font>
              <fill>
                <patternFill>
                  <bgColor theme="1" tint="0.499984740745262"/>
                </patternFill>
              </fill>
            </x14:dxf>
          </x14:cfRule>
          <xm:sqref>F451:G451 O459 M459 Q459 I459 O463 Q463 O465 Q465 K459 F459 F463 F465 I463 I465 K463 K465 M463 M465 O461 M461 Q461 I461 K461 F461 O467 Q467 F467 I467 K467 M467 O469 M469 Q469 I469 O473 Q473 O475 Q475 K469 F469 F473 F475 I473 I475 K473 K475 M473 M475 O471 M471 Q471 I471 K471 F471 O477 M477 Q477 I477 O481 Q481 O483 Q483 K477 F477 F481 F483 I481 I483 K481 K483 M481 M483 O479 M479 Q479 I479 K479 F479 O485 Q485 F485 I485 K485 M485</xm:sqref>
        </x14:conditionalFormatting>
        <x14:conditionalFormatting xmlns:xm="http://schemas.microsoft.com/office/excel/2006/main">
          <x14:cfRule type="expression" priority="1" id="{4BE78B5E-AFEE-4FCA-9E99-2BB73F193392}">
            <xm:f>反映シート!$C$76="なし"</xm:f>
            <x14:dxf>
              <font>
                <color theme="0"/>
              </font>
              <fill>
                <patternFill>
                  <bgColor theme="0"/>
                </patternFill>
              </fill>
              <border>
                <left/>
                <right/>
                <top/>
                <bottom/>
                <vertical/>
                <horizontal/>
              </border>
            </x14:dxf>
          </x14:cfRule>
          <xm:sqref>B444:T458 B486:T486 B459:B485 E459:T485</xm:sqref>
        </x14:conditionalFormatting>
        <x14:conditionalFormatting xmlns:xm="http://schemas.microsoft.com/office/excel/2006/main">
          <x14:cfRule type="expression" priority="279" id="{1172C564-870A-4DF3-B531-685A969DE432}">
            <xm:f>反映シート!$C$76="なし"</xm:f>
            <x14:dxf>
              <font>
                <b/>
                <i val="0"/>
                <color theme="0"/>
              </font>
              <fill>
                <patternFill>
                  <bgColor rgb="FF00B0F0"/>
                </patternFill>
              </fill>
            </x14:dxf>
          </x14:cfRule>
          <xm:sqref>B443:T443</xm:sqref>
        </x14:conditionalFormatting>
        <x14:conditionalFormatting xmlns:xm="http://schemas.microsoft.com/office/excel/2006/main">
          <x14:cfRule type="expression" priority="278" id="{47A969C1-7BDB-460A-AFB2-58A3F6045985}">
            <xm:f>反映シート!$C$76&lt;&gt;"なし"</xm:f>
            <x14:dxf>
              <font>
                <b/>
                <i val="0"/>
                <color theme="0"/>
              </font>
              <fill>
                <patternFill>
                  <bgColor rgb="FF00B0F0"/>
                </patternFill>
              </fill>
            </x14:dxf>
          </x14:cfRule>
          <xm:sqref>B487:T487</xm:sqref>
        </x14:conditionalFormatting>
        <x14:conditionalFormatting xmlns:xm="http://schemas.microsoft.com/office/excel/2006/main">
          <x14:cfRule type="expression" priority="163" id="{26F3943C-03FB-46B5-A608-9B7C102625CC}">
            <xm:f>反映シート!$C$76="なし"</xm:f>
            <x14:dxf>
              <font>
                <color theme="0"/>
              </font>
              <fill>
                <patternFill>
                  <bgColor theme="0"/>
                </patternFill>
              </fill>
              <border>
                <left/>
                <right/>
                <top/>
                <bottom/>
                <vertical/>
                <horizontal/>
              </border>
            </x14:dxf>
          </x14:cfRule>
          <xm:sqref>B74:T111 B113:T116</xm:sqref>
        </x14:conditionalFormatting>
        <x14:conditionalFormatting xmlns:xm="http://schemas.microsoft.com/office/excel/2006/main">
          <x14:cfRule type="expression" priority="276" id="{F943A743-A7AB-4C2F-BFA5-80822527B3A1}">
            <xm:f>反映シート!$C$76="なし"</xm:f>
            <x14:dxf>
              <font>
                <color theme="0"/>
              </font>
              <fill>
                <patternFill>
                  <bgColor theme="0"/>
                </patternFill>
              </fill>
              <border>
                <left/>
                <right/>
                <top/>
                <bottom/>
                <vertical/>
                <horizontal/>
              </border>
            </x14:dxf>
          </x14:cfRule>
          <xm:sqref>B112:T112</xm:sqref>
        </x14:conditionalFormatting>
        <x14:conditionalFormatting xmlns:xm="http://schemas.microsoft.com/office/excel/2006/main">
          <x14:cfRule type="expression" priority="275" id="{BC104278-21E5-4F2D-B6FB-5FBA7C9360FC}">
            <xm:f>反映シート!$C$76="なし"</xm:f>
            <x14:dxf>
              <font>
                <b/>
                <i val="0"/>
                <color theme="0"/>
              </font>
              <fill>
                <patternFill>
                  <bgColor rgb="FFFF0000"/>
                </patternFill>
              </fill>
            </x14:dxf>
          </x14:cfRule>
          <xm:sqref>B73:T73</xm:sqref>
        </x14:conditionalFormatting>
        <x14:conditionalFormatting xmlns:xm="http://schemas.microsoft.com/office/excel/2006/main">
          <x14:cfRule type="expression" priority="164" id="{785E7122-8628-4573-B1C3-B782B720348F}">
            <xm:f>反映シート!$C$76="なし"</xm:f>
            <x14:dxf>
              <font>
                <color theme="0"/>
              </font>
              <fill>
                <patternFill>
                  <bgColor theme="0"/>
                </patternFill>
              </fill>
              <border>
                <left/>
                <right/>
                <top/>
                <bottom/>
                <vertical/>
                <horizontal/>
              </border>
            </x14:dxf>
          </x14:cfRule>
          <xm:sqref>B384:T396 B391:T397 B390:D390 S390:T390 B389:T389 B388:H388 N388:T388</xm:sqref>
        </x14:conditionalFormatting>
        <x14:conditionalFormatting xmlns:xm="http://schemas.microsoft.com/office/excel/2006/main">
          <x14:cfRule type="expression" priority="273" id="{96E9040E-C952-4524-93AF-C1A05297F691}">
            <xm:f>反映シート!$C$76="なし"</xm:f>
            <x14:dxf>
              <font>
                <b/>
                <i val="0"/>
                <color theme="0"/>
              </font>
              <fill>
                <patternFill>
                  <bgColor rgb="FFFF0000"/>
                </patternFill>
              </fill>
            </x14:dxf>
          </x14:cfRule>
          <xm:sqref>B382:T382</xm:sqref>
        </x14:conditionalFormatting>
        <x14:conditionalFormatting xmlns:xm="http://schemas.microsoft.com/office/excel/2006/main">
          <x14:cfRule type="expression" priority="248" id="{9D4298A2-BA50-4DA4-A101-BE19F9805966}">
            <xm:f>反映シート!$C$76="なし"</xm:f>
            <x14:dxf>
              <font>
                <color theme="0"/>
              </font>
              <fill>
                <patternFill>
                  <bgColor theme="0"/>
                </patternFill>
              </fill>
              <border>
                <left/>
                <right/>
                <top/>
                <bottom/>
                <vertical/>
                <horizontal/>
              </border>
            </x14:dxf>
          </x14:cfRule>
          <xm:sqref>E390:H390 N390:R390</xm:sqref>
        </x14:conditionalFormatting>
        <x14:conditionalFormatting xmlns:xm="http://schemas.microsoft.com/office/excel/2006/main">
          <x14:cfRule type="expression" priority="63" id="{0B37B09F-C6C1-4DAE-A9C3-D56A533C7005}">
            <xm:f>反映シート!$E$15="なし"</xm:f>
            <x14:dxf>
              <font>
                <color theme="1" tint="0.499984740745262"/>
              </font>
              <fill>
                <patternFill>
                  <bgColor theme="1" tint="0.499984740745262"/>
                </patternFill>
              </fill>
            </x14:dxf>
          </x14:cfRule>
          <xm:sqref>C459 C463 C465 C461 C467 C469 C473 C475 C471 C477 C481 C483 C479 C485</xm:sqref>
        </x14:conditionalFormatting>
        <x14:conditionalFormatting xmlns:xm="http://schemas.microsoft.com/office/excel/2006/main">
          <x14:cfRule type="expression" priority="62" id="{9B3FA5AB-0361-4BC8-8028-B2B6C253B3EE}">
            <xm:f>反映シート!$C$76="なし"</xm:f>
            <x14:dxf>
              <font>
                <color theme="0"/>
              </font>
              <fill>
                <patternFill>
                  <bgColor theme="0"/>
                </patternFill>
              </fill>
              <border>
                <left/>
                <right/>
                <top/>
                <bottom/>
                <vertical/>
                <horizontal/>
              </border>
            </x14:dxf>
          </x14:cfRule>
          <xm:sqref>C459:D485</xm:sqref>
        </x14:conditionalFormatting>
        <x14:conditionalFormatting xmlns:xm="http://schemas.microsoft.com/office/excel/2006/main">
          <x14:cfRule type="expression" priority="237" id="{19A78AC2-00DB-490E-A2CA-4A3A92278736}">
            <xm:f>AND(反映シート!$G$5=1,エラー判定!$E$8="NG")</xm:f>
            <x14:dxf>
              <font>
                <color rgb="FFFF0000"/>
              </font>
              <fill>
                <patternFill>
                  <bgColor rgb="FFFFC7CE"/>
                </patternFill>
              </fill>
            </x14:dxf>
          </x14:cfRule>
          <xm:sqref>E111</xm:sqref>
        </x14:conditionalFormatting>
        <x14:conditionalFormatting xmlns:xm="http://schemas.microsoft.com/office/excel/2006/main">
          <x14:cfRule type="expression" priority="236" id="{39859F0F-2E18-46A0-9E0A-1F65A246E956}">
            <xm:f>AND(反映シート!$G$5=1,エラー判定!$E$8="NG")</xm:f>
            <x14:dxf>
              <font>
                <color rgb="FFFF0000"/>
              </font>
              <fill>
                <patternFill>
                  <bgColor rgb="FFFFC7CE"/>
                </patternFill>
              </fill>
            </x14:dxf>
          </x14:cfRule>
          <xm:sqref>C10:Q10</xm:sqref>
        </x14:conditionalFormatting>
        <x14:conditionalFormatting xmlns:xm="http://schemas.microsoft.com/office/excel/2006/main">
          <x14:cfRule type="expression" priority="235" id="{D2493F34-388E-4889-83F6-B875EC32227D}">
            <xm:f>AND(反映シート!$G$5=1,エラー判定!$E$14="SPACE")</xm:f>
            <x14:dxf>
              <font>
                <color theme="2" tint="-0.499984740745262"/>
              </font>
              <fill>
                <patternFill>
                  <bgColor rgb="FFFFD966"/>
                </patternFill>
              </fill>
            </x14:dxf>
          </x14:cfRule>
          <xm:sqref>C17:I17</xm:sqref>
        </x14:conditionalFormatting>
        <x14:conditionalFormatting xmlns:xm="http://schemas.microsoft.com/office/excel/2006/main">
          <x14:cfRule type="expression" priority="234" id="{4AFE0054-2E2D-409C-937C-5310D110974F}">
            <xm:f>AND(反映シート!$G$5=1,エラー判定!$E$20="NG")</xm:f>
            <x14:dxf>
              <font>
                <color rgb="FFFF0000"/>
              </font>
              <fill>
                <patternFill>
                  <bgColor rgb="FFFFC7CE"/>
                </patternFill>
              </fill>
            </x14:dxf>
          </x14:cfRule>
          <xm:sqref>C25:G25</xm:sqref>
        </x14:conditionalFormatting>
        <x14:conditionalFormatting xmlns:xm="http://schemas.microsoft.com/office/excel/2006/main">
          <x14:cfRule type="expression" priority="233" id="{5CC2A96E-25FC-4EDD-B17F-41BCB736A768}">
            <xm:f>AND(反映シート!$G$5=1,エラー判定!$E$28="NG")</xm:f>
            <x14:dxf>
              <font>
                <color rgb="FFFF0000"/>
              </font>
              <fill>
                <patternFill>
                  <bgColor rgb="FFFFC7CE"/>
                </patternFill>
              </fill>
            </x14:dxf>
          </x14:cfRule>
          <xm:sqref>G37 I37</xm:sqref>
        </x14:conditionalFormatting>
        <x14:conditionalFormatting xmlns:xm="http://schemas.microsoft.com/office/excel/2006/main">
          <x14:cfRule type="expression" priority="232" id="{7963EB8F-C2D3-48B2-BD04-BAA6CFFED527}">
            <xm:f>AND(反映シート!$G$5=1,エラー判定!$E$30="NG")</xm:f>
            <x14:dxf>
              <font>
                <color rgb="FFFF0000"/>
              </font>
              <fill>
                <patternFill>
                  <bgColor rgb="FFFFC7CE"/>
                </patternFill>
              </fill>
            </x14:dxf>
          </x14:cfRule>
          <xm:sqref>G39:I39</xm:sqref>
        </x14:conditionalFormatting>
        <x14:conditionalFormatting xmlns:xm="http://schemas.microsoft.com/office/excel/2006/main">
          <x14:cfRule type="expression" priority="231" id="{0C986D58-2622-4456-9AB0-A4197F2269B9}">
            <xm:f>AND(反映シート!$G$5=1,エラー判定!$E$32="NG")</xm:f>
            <x14:dxf>
              <font>
                <color rgb="FFFF0000"/>
              </font>
              <fill>
                <patternFill>
                  <bgColor rgb="FFFFC7CE"/>
                </patternFill>
              </fill>
            </x14:dxf>
          </x14:cfRule>
          <xm:sqref>G41:N41</xm:sqref>
        </x14:conditionalFormatting>
        <x14:conditionalFormatting xmlns:xm="http://schemas.microsoft.com/office/excel/2006/main">
          <x14:cfRule type="expression" priority="230" id="{B58B9CDF-1C89-4A51-86A7-399F76662AE3}">
            <xm:f>AND(反映シート!$G$5=1,エラー判定!$E$34="NG")</xm:f>
            <x14:dxf>
              <font>
                <color rgb="FFFF0000"/>
              </font>
              <fill>
                <patternFill>
                  <bgColor rgb="FFFFC7CE"/>
                </patternFill>
              </fill>
            </x14:dxf>
          </x14:cfRule>
          <xm:sqref>G43:N43</xm:sqref>
        </x14:conditionalFormatting>
        <x14:conditionalFormatting xmlns:xm="http://schemas.microsoft.com/office/excel/2006/main">
          <x14:cfRule type="expression" priority="228" id="{7D801F79-77B1-493D-AAA6-B95419D38F9D}">
            <xm:f>AND(反映シート!$G$5=1,エラー判定!$E$36="SPACE")</xm:f>
            <x14:dxf>
              <font>
                <color theme="2" tint="-0.499984740745262"/>
              </font>
              <fill>
                <patternFill>
                  <bgColor rgb="FFFFD966"/>
                </patternFill>
              </fill>
            </x14:dxf>
          </x14:cfRule>
          <xm:sqref>G45:N45</xm:sqref>
        </x14:conditionalFormatting>
        <x14:conditionalFormatting xmlns:xm="http://schemas.microsoft.com/office/excel/2006/main">
          <x14:cfRule type="expression" priority="227" id="{02B088AB-2D87-4916-B907-73ED4FC7272A}">
            <xm:f>AND(反映シート!$G$5=1,エラー判定!$E$38="NG")</xm:f>
            <x14:dxf>
              <font>
                <color rgb="FFFF0000"/>
              </font>
              <fill>
                <patternFill>
                  <bgColor rgb="FFFFC7CE"/>
                </patternFill>
              </fill>
            </x14:dxf>
          </x14:cfRule>
          <xm:sqref>G47:N47</xm:sqref>
        </x14:conditionalFormatting>
        <x14:conditionalFormatting xmlns:xm="http://schemas.microsoft.com/office/excel/2006/main">
          <x14:cfRule type="expression" priority="226" id="{E90A61C5-0053-438C-9BCB-A079EF4A6CCE}">
            <xm:f>AND(反映シート!$G$5=1,エラー判定!$E$40="NG")</xm:f>
            <x14:dxf>
              <font>
                <color rgb="FFFF0000"/>
              </font>
              <fill>
                <patternFill>
                  <bgColor rgb="FFFFC7CE"/>
                </patternFill>
              </fill>
            </x14:dxf>
          </x14:cfRule>
          <xm:sqref>G49:N49</xm:sqref>
        </x14:conditionalFormatting>
        <x14:conditionalFormatting xmlns:xm="http://schemas.microsoft.com/office/excel/2006/main">
          <x14:cfRule type="expression" priority="225" id="{77CF8E37-8B71-46CA-96C0-3635DD36A240}">
            <xm:f>AND(反映シート!$G$5=1,エラー判定!$E$44="NG")</xm:f>
            <x14:dxf>
              <font>
                <color rgb="FFFF0000"/>
              </font>
              <fill>
                <patternFill>
                  <bgColor rgb="FFFFC7CE"/>
                </patternFill>
              </fill>
            </x14:dxf>
          </x14:cfRule>
          <xm:sqref>G54:N54</xm:sqref>
        </x14:conditionalFormatting>
        <x14:conditionalFormatting xmlns:xm="http://schemas.microsoft.com/office/excel/2006/main">
          <x14:cfRule type="expression" priority="224" id="{B15727C2-51FA-4E0D-B1FF-6B80423B99E6}">
            <xm:f>AND(反映シート!$G$5=1,エラー判定!$E$46="NG")</xm:f>
            <x14:dxf>
              <font>
                <color rgb="FFFF0000"/>
              </font>
              <fill>
                <patternFill>
                  <bgColor rgb="FFFFC7CE"/>
                </patternFill>
              </fill>
            </x14:dxf>
          </x14:cfRule>
          <xm:sqref>G56:N56</xm:sqref>
        </x14:conditionalFormatting>
        <x14:conditionalFormatting xmlns:xm="http://schemas.microsoft.com/office/excel/2006/main">
          <x14:cfRule type="expression" priority="223" id="{2091788A-8483-42B4-8044-AA5CF0E3CD23}">
            <xm:f>AND(反映シート!$G$5=1,エラー判定!$E$48="NG")</xm:f>
            <x14:dxf>
              <font>
                <color rgb="FFFF0000"/>
              </font>
              <fill>
                <patternFill>
                  <bgColor rgb="FFFFC7CE"/>
                </patternFill>
              </fill>
            </x14:dxf>
          </x14:cfRule>
          <xm:sqref>G58:N58</xm:sqref>
        </x14:conditionalFormatting>
        <x14:conditionalFormatting xmlns:xm="http://schemas.microsoft.com/office/excel/2006/main">
          <x14:cfRule type="expression" priority="220" id="{E7C6F104-24C2-4280-865A-DF909D7DB65E}">
            <xm:f>AND(反映シート!$G$5=1,エラー判定!$E$54="NG")</xm:f>
            <x14:dxf>
              <font>
                <color rgb="FFFF0000"/>
              </font>
              <fill>
                <patternFill>
                  <bgColor rgb="FFFFC7CE"/>
                </patternFill>
              </fill>
            </x14:dxf>
          </x14:cfRule>
          <xm:sqref>G64:I64</xm:sqref>
        </x14:conditionalFormatting>
        <x14:conditionalFormatting xmlns:xm="http://schemas.microsoft.com/office/excel/2006/main">
          <x14:cfRule type="expression" priority="219" id="{998F9EC0-B84F-471B-A199-5BDD2F174503}">
            <xm:f>AND(反映シート!$G$5=1,エラー判定!$E$56="NG")</xm:f>
            <x14:dxf>
              <font>
                <color rgb="FFFF0000"/>
              </font>
              <fill>
                <patternFill>
                  <bgColor rgb="FFFFC7CE"/>
                </patternFill>
              </fill>
            </x14:dxf>
          </x14:cfRule>
          <xm:sqref>G66:H66</xm:sqref>
        </x14:conditionalFormatting>
        <x14:conditionalFormatting xmlns:xm="http://schemas.microsoft.com/office/excel/2006/main">
          <x14:cfRule type="expression" priority="325" id="{386DDB12-BB5B-4529-8D93-0E0DB45C2958}">
            <xm:f>AND(反映シート!$G$5=1,エラー判定!$E$65="NG")</xm:f>
            <x14:dxf>
              <font>
                <color rgb="FFFF0000"/>
              </font>
              <fill>
                <patternFill>
                  <bgColor rgb="FFFFC7CE"/>
                </patternFill>
              </fill>
            </x14:dxf>
          </x14:cfRule>
          <xm:sqref>G80 I80</xm:sqref>
        </x14:conditionalFormatting>
        <x14:conditionalFormatting xmlns:xm="http://schemas.microsoft.com/office/excel/2006/main">
          <x14:cfRule type="expression" priority="277" id="{48641FCA-76D7-4A3C-B468-D61511AE46AC}">
            <xm:f>AND(反映シート!$G$5=1,エラー判定!$E$67="NG")</xm:f>
            <x14:dxf>
              <font>
                <color rgb="FFFF0000"/>
              </font>
              <fill>
                <patternFill>
                  <bgColor rgb="FFFFC7CE"/>
                </patternFill>
              </fill>
            </x14:dxf>
          </x14:cfRule>
          <xm:sqref>G82:I82</xm:sqref>
        </x14:conditionalFormatting>
        <x14:conditionalFormatting xmlns:xm="http://schemas.microsoft.com/office/excel/2006/main">
          <x14:cfRule type="expression" priority="217" id="{FE76D05F-F5CA-4E51-80E4-4D1C555BAEBD}">
            <xm:f>AND(反映シート!$G$5=1,エラー判定!$E$69="NG")</xm:f>
            <x14:dxf>
              <font>
                <color rgb="FFFF0000"/>
              </font>
              <fill>
                <patternFill>
                  <bgColor rgb="FFFFC7CE"/>
                </patternFill>
              </fill>
            </x14:dxf>
          </x14:cfRule>
          <xm:sqref>G84:N84</xm:sqref>
        </x14:conditionalFormatting>
        <x14:conditionalFormatting xmlns:xm="http://schemas.microsoft.com/office/excel/2006/main">
          <x14:cfRule type="expression" priority="216" id="{5640958F-8963-4D6A-96C8-BC9CF8026CE3}">
            <xm:f>AND(反映シート!$G$5=1,エラー判定!$E$71="NG")</xm:f>
            <x14:dxf>
              <font>
                <color rgb="FFFF0000"/>
              </font>
              <fill>
                <patternFill>
                  <bgColor rgb="FFFFC7CE"/>
                </patternFill>
              </fill>
            </x14:dxf>
          </x14:cfRule>
          <xm:sqref>G86:N86</xm:sqref>
        </x14:conditionalFormatting>
        <x14:conditionalFormatting xmlns:xm="http://schemas.microsoft.com/office/excel/2006/main">
          <x14:cfRule type="expression" priority="215" id="{11FBDE0C-D482-4DB3-84F0-8532897F5D94}">
            <xm:f>AND(反映シート!$G$5=1,エラー判定!$E$73="SPACE")</xm:f>
            <x14:dxf>
              <font>
                <color theme="2" tint="-0.499984740745262"/>
              </font>
              <fill>
                <patternFill>
                  <bgColor rgb="FFFFD966"/>
                </patternFill>
              </fill>
            </x14:dxf>
          </x14:cfRule>
          <xm:sqref>G88:N88</xm:sqref>
        </x14:conditionalFormatting>
        <x14:conditionalFormatting xmlns:xm="http://schemas.microsoft.com/office/excel/2006/main">
          <x14:cfRule type="expression" priority="214" id="{841B6CC8-93A3-4F14-80BD-519B0ED2B52C}">
            <xm:f>AND(反映シート!$G$5=1,エラー判定!$E$75="NG")</xm:f>
            <x14:dxf>
              <font>
                <color rgb="FFFF0000"/>
              </font>
              <fill>
                <patternFill>
                  <bgColor rgb="FFFFC7CE"/>
                </patternFill>
              </fill>
            </x14:dxf>
          </x14:cfRule>
          <xm:sqref>G90:N90</xm:sqref>
        </x14:conditionalFormatting>
        <x14:conditionalFormatting xmlns:xm="http://schemas.microsoft.com/office/excel/2006/main">
          <x14:cfRule type="expression" priority="213" id="{B055FC9B-C487-4C83-90B2-08AB81EA301E}">
            <xm:f>AND(反映シート!$G$5=1,エラー判定!$E$81="NG")</xm:f>
            <x14:dxf>
              <font>
                <color rgb="FFFF0000"/>
              </font>
              <fill>
                <patternFill>
                  <bgColor rgb="FFFFC7CE"/>
                </patternFill>
              </fill>
            </x14:dxf>
          </x14:cfRule>
          <xm:sqref>G97:N97</xm:sqref>
        </x14:conditionalFormatting>
        <x14:conditionalFormatting xmlns:xm="http://schemas.microsoft.com/office/excel/2006/main">
          <x14:cfRule type="expression" priority="211" id="{8FD98BAE-C02D-4FF8-902E-A6D63E97888D}">
            <xm:f>AND(反映シート!$G$5=1,エラー判定!$E$83="NG")</xm:f>
            <x14:dxf>
              <font>
                <color rgb="FFFF0000"/>
              </font>
              <fill>
                <patternFill>
                  <bgColor rgb="FFFFC7CE"/>
                </patternFill>
              </fill>
            </x14:dxf>
          </x14:cfRule>
          <xm:sqref>G99:N99</xm:sqref>
        </x14:conditionalFormatting>
        <x14:conditionalFormatting xmlns:xm="http://schemas.microsoft.com/office/excel/2006/main">
          <x14:cfRule type="expression" priority="210" id="{AA9C848E-18B2-44BF-BBC6-CC489444930A}">
            <xm:f>AND(反映シート!$G$5=1,エラー判定!$E$85="NG")</xm:f>
            <x14:dxf>
              <font>
                <color rgb="FFFF0000"/>
              </font>
              <fill>
                <patternFill>
                  <bgColor rgb="FFFFC7CE"/>
                </patternFill>
              </fill>
            </x14:dxf>
          </x14:cfRule>
          <xm:sqref>G101:N101</xm:sqref>
        </x14:conditionalFormatting>
        <x14:conditionalFormatting xmlns:xm="http://schemas.microsoft.com/office/excel/2006/main">
          <x14:cfRule type="expression" priority="209" id="{F52E9D56-99D2-42C9-BCAB-94D4C74AD5AA}">
            <xm:f>AND(反映シート!$G$5=1,エラー判定!$E$87="NG")</xm:f>
            <x14:dxf>
              <font>
                <color rgb="FFFF0000"/>
              </font>
              <fill>
                <patternFill>
                  <bgColor rgb="FFFFC7CE"/>
                </patternFill>
              </fill>
            </x14:dxf>
          </x14:cfRule>
          <xm:sqref>G103:N103</xm:sqref>
        </x14:conditionalFormatting>
        <x14:conditionalFormatting xmlns:xm="http://schemas.microsoft.com/office/excel/2006/main">
          <x14:cfRule type="expression" priority="208" id="{D4C91265-13F0-4CFF-A193-1902CDBF4180}">
            <xm:f>AND(反映シート!$G$5=1,エラー判定!$E$89="NG")</xm:f>
            <x14:dxf>
              <font>
                <color rgb="FFFF0000"/>
              </font>
              <fill>
                <patternFill>
                  <bgColor rgb="FFFFC7CE"/>
                </patternFill>
              </fill>
            </x14:dxf>
          </x14:cfRule>
          <xm:sqref>G105:N105</xm:sqref>
        </x14:conditionalFormatting>
        <x14:conditionalFormatting xmlns:xm="http://schemas.microsoft.com/office/excel/2006/main">
          <x14:cfRule type="expression" priority="207" id="{96B9F1E4-AE72-4F94-80E7-E4B76DF8C881}">
            <xm:f>AND(反映シート!$G$5=1,エラー判定!$E$91="NG")</xm:f>
            <x14:dxf>
              <font>
                <color rgb="FFFF0000"/>
              </font>
              <fill>
                <patternFill>
                  <bgColor rgb="FFFFC7CE"/>
                </patternFill>
              </fill>
            </x14:dxf>
          </x14:cfRule>
          <xm:sqref>G107:I107</xm:sqref>
        </x14:conditionalFormatting>
        <x14:conditionalFormatting xmlns:xm="http://schemas.microsoft.com/office/excel/2006/main">
          <x14:cfRule type="expression" priority="206" id="{2CE40546-7F72-4CCE-AD12-4EA895A39529}">
            <xm:f>AND(反映シート!$G$5=1,エラー判定!$E$93="NG")</xm:f>
            <x14:dxf>
              <font>
                <color rgb="FFFF0000"/>
              </font>
              <fill>
                <patternFill>
                  <bgColor rgb="FFFFC7CE"/>
                </patternFill>
              </fill>
            </x14:dxf>
          </x14:cfRule>
          <xm:sqref>G109:H109</xm:sqref>
        </x14:conditionalFormatting>
        <x14:conditionalFormatting xmlns:xm="http://schemas.microsoft.com/office/excel/2006/main">
          <x14:cfRule type="expression" priority="305" id="{5BF38D1E-F5D0-4DEB-A568-7BB6AE4EFF59}">
            <xm:f>AND(反映シート!$G$5=1,エラー判定!$E$101="NG")</xm:f>
            <x14:dxf>
              <font>
                <color rgb="FFFF0000"/>
              </font>
              <fill>
                <patternFill>
                  <bgColor rgb="FFFFC7CE"/>
                </patternFill>
              </fill>
            </x14:dxf>
          </x14:cfRule>
          <xm:sqref>D124 D128 D130 D132 D134 D136 D138 D140</xm:sqref>
        </x14:conditionalFormatting>
        <x14:conditionalFormatting xmlns:xm="http://schemas.microsoft.com/office/excel/2006/main">
          <x14:cfRule type="expression" priority="316" id="{32448BA3-67DC-4EF3-9C0D-C8DEB9ECC5E9}">
            <xm:f>AND(反映シート!$G$5=1,エラー判定!$G$109="NG")</xm:f>
            <x14:dxf>
              <font>
                <color rgb="FFFF0000"/>
              </font>
              <fill>
                <patternFill>
                  <bgColor rgb="FFFFC7CE"/>
                </patternFill>
              </fill>
            </x14:dxf>
          </x14:cfRule>
          <xm:sqref>I154</xm:sqref>
        </x14:conditionalFormatting>
        <x14:conditionalFormatting xmlns:xm="http://schemas.microsoft.com/office/excel/2006/main">
          <x14:cfRule type="expression" priority="199" id="{8E89B4CF-ACC1-4D8F-B119-D7FD924AB513}">
            <xm:f>AND(反映シート!$G$5=1,エラー判定!$G$112="NG")</xm:f>
            <x14:dxf>
              <font>
                <color rgb="FFFF0000"/>
              </font>
              <fill>
                <patternFill>
                  <bgColor rgb="FFFFC7CE"/>
                </patternFill>
              </fill>
            </x14:dxf>
          </x14:cfRule>
          <xm:sqref>I158</xm:sqref>
        </x14:conditionalFormatting>
        <x14:conditionalFormatting xmlns:xm="http://schemas.microsoft.com/office/excel/2006/main">
          <x14:cfRule type="expression" priority="198" id="{912C43E4-B15D-4D60-A9DF-760F447AA62E}">
            <xm:f>AND(反映シート!$G$5=1,エラー判定!$G$114="NG")</xm:f>
            <x14:dxf>
              <font>
                <color rgb="FFFF0000"/>
              </font>
              <fill>
                <patternFill>
                  <bgColor rgb="FFFFC7CE"/>
                </patternFill>
              </fill>
            </x14:dxf>
          </x14:cfRule>
          <xm:sqref>I162 I164 I166</xm:sqref>
        </x14:conditionalFormatting>
        <x14:conditionalFormatting xmlns:xm="http://schemas.microsoft.com/office/excel/2006/main">
          <x14:cfRule type="expression" priority="310" id="{D89176A7-449E-4A90-ABF7-7F4AE42B5C85}">
            <xm:f>AND(反映シート!$G$5=1,エラー判定!$G$133="NG")</xm:f>
            <x14:dxf>
              <font>
                <color rgb="FFFF0000"/>
              </font>
              <fill>
                <patternFill>
                  <bgColor rgb="FFFFC7CE"/>
                </patternFill>
              </fill>
            </x14:dxf>
          </x14:cfRule>
          <xm:sqref>I187</xm:sqref>
        </x14:conditionalFormatting>
        <x14:conditionalFormatting xmlns:xm="http://schemas.microsoft.com/office/excel/2006/main">
          <x14:cfRule type="expression" priority="309" id="{DB60C2FF-934E-4F81-A994-E69D967E6EF0}">
            <xm:f>AND(反映シート!$G$5=1,エラー判定!$G$135="NG")</xm:f>
            <x14:dxf>
              <font>
                <color rgb="FFFF0000"/>
              </font>
              <fill>
                <patternFill>
                  <bgColor rgb="FFFFC7CE"/>
                </patternFill>
              </fill>
            </x14:dxf>
          </x14:cfRule>
          <xm:sqref>I191 I193</xm:sqref>
        </x14:conditionalFormatting>
        <x14:conditionalFormatting xmlns:xm="http://schemas.microsoft.com/office/excel/2006/main">
          <x14:cfRule type="expression" priority="191" id="{39BE1A79-7927-4FA6-ABDB-27003F2319AA}">
            <xm:f>AND(反映シート!$G$5=1,エラー判定!$G$140="NG")</xm:f>
            <x14:dxf>
              <font>
                <color rgb="FFFF0000"/>
              </font>
              <fill>
                <patternFill>
                  <bgColor rgb="FFFFC7CE"/>
                </patternFill>
              </fill>
            </x14:dxf>
          </x14:cfRule>
          <xm:sqref>I199</xm:sqref>
        </x14:conditionalFormatting>
        <x14:conditionalFormatting xmlns:xm="http://schemas.microsoft.com/office/excel/2006/main">
          <x14:cfRule type="expression" priority="303" id="{6FFF3F5F-AA96-43BB-AF72-433508CFAD45}">
            <xm:f>AND(反映シート!$G$5=1,エラー判定!$G$147="NG")</xm:f>
            <x14:dxf>
              <font>
                <color rgb="FFFF0000"/>
              </font>
              <fill>
                <patternFill>
                  <bgColor rgb="FFFFC7CE"/>
                </patternFill>
              </fill>
            </x14:dxf>
          </x14:cfRule>
          <xm:sqref>I206</xm:sqref>
        </x14:conditionalFormatting>
        <x14:conditionalFormatting xmlns:xm="http://schemas.microsoft.com/office/excel/2006/main">
          <x14:cfRule type="expression" priority="308" id="{81D82BD2-40DD-49DA-8A88-9E78D08E899C}">
            <xm:f>AND(反映シート!$G$5=1,エラー判定!$G$151="NG")</xm:f>
            <x14:dxf>
              <font>
                <color rgb="FFFF0000"/>
              </font>
              <fill>
                <patternFill>
                  <bgColor rgb="FFFFC7CE"/>
                </patternFill>
              </fill>
            </x14:dxf>
          </x14:cfRule>
          <xm:sqref>I210</xm:sqref>
        </x14:conditionalFormatting>
        <x14:conditionalFormatting xmlns:xm="http://schemas.microsoft.com/office/excel/2006/main">
          <x14:cfRule type="expression" priority="188" id="{81FF0441-33E6-41B6-9258-E6229C6CDCFE}">
            <xm:f>AND(反映シート!$G$5=1,エラー判定!$G$153="NG")</xm:f>
            <x14:dxf>
              <font>
                <color rgb="FFFF0000"/>
              </font>
              <fill>
                <patternFill>
                  <bgColor rgb="FFFFC7CE"/>
                </patternFill>
              </fill>
            </x14:dxf>
          </x14:cfRule>
          <xm:sqref>I214 I216</xm:sqref>
        </x14:conditionalFormatting>
        <x14:conditionalFormatting xmlns:xm="http://schemas.microsoft.com/office/excel/2006/main">
          <x14:cfRule type="expression" priority="187" id="{B5AC091F-6ED4-490E-BF44-3A53EE512244}">
            <xm:f>AND(反映シート!$G$5=1,エラー判定!$G$158="NG")</xm:f>
            <x14:dxf>
              <font>
                <color rgb="FFFF0000"/>
              </font>
              <fill>
                <patternFill>
                  <bgColor rgb="FFFFC7CE"/>
                </patternFill>
              </fill>
            </x14:dxf>
          </x14:cfRule>
          <xm:sqref>I222</xm:sqref>
        </x14:conditionalFormatting>
        <x14:conditionalFormatting xmlns:xm="http://schemas.microsoft.com/office/excel/2006/main">
          <x14:cfRule type="expression" priority="927" id="{834C84AF-A83F-40E8-91F6-2BF73392B072}">
            <xm:f>AND(反映シート!$G$5=1,エラー判定!$E$178="NG")</xm:f>
            <x14:dxf>
              <font>
                <color rgb="FFFF0000"/>
              </font>
              <fill>
                <patternFill>
                  <bgColor rgb="FFFFC7CE"/>
                </patternFill>
              </fill>
            </x14:dxf>
          </x14:cfRule>
          <xm:sqref>I250:K250 I252:K252 I254:K254</xm:sqref>
        </x14:conditionalFormatting>
        <x14:conditionalFormatting xmlns:xm="http://schemas.microsoft.com/office/excel/2006/main">
          <x14:cfRule type="expression" priority="341" id="{A65E106A-A562-4989-B7C1-979039463FBA}">
            <xm:f>AND(反映シート!$G$5=1,エラー判定!$E$182="NG")</xm:f>
            <x14:dxf>
              <font>
                <color rgb="FFFF0000"/>
              </font>
              <fill>
                <patternFill>
                  <bgColor rgb="FFFFC7CE"/>
                </patternFill>
              </fill>
            </x14:dxf>
          </x14:cfRule>
          <xm:sqref>I262:K262 I264:K264 I266:K266</xm:sqref>
        </x14:conditionalFormatting>
        <x14:conditionalFormatting xmlns:xm="http://schemas.microsoft.com/office/excel/2006/main">
          <x14:cfRule type="expression" priority="339" id="{4304FA7E-1D2F-4F48-AFD8-9827637E5DD4}">
            <xm:f>AND(反映シート!$G$5=1,エラー判定!$E$186="NG")</xm:f>
            <x14:dxf>
              <font>
                <color rgb="FFFF0000"/>
              </font>
              <fill>
                <patternFill>
                  <bgColor rgb="FFFFC7CE"/>
                </patternFill>
              </fill>
            </x14:dxf>
          </x14:cfRule>
          <xm:sqref>I274:K274 I276:K276 I278:K278</xm:sqref>
        </x14:conditionalFormatting>
        <x14:conditionalFormatting xmlns:xm="http://schemas.microsoft.com/office/excel/2006/main">
          <x14:cfRule type="expression" priority="921" id="{70D2280B-7800-42D0-8B07-243DD60B414E}">
            <xm:f>AND(反映シート!$G$5=1,エラー判定!$E$194="NG")</xm:f>
            <x14:dxf>
              <font>
                <color rgb="FFFF0000"/>
              </font>
              <fill>
                <patternFill>
                  <bgColor rgb="FFFFC7CE"/>
                </patternFill>
              </fill>
            </x14:dxf>
          </x14:cfRule>
          <xm:sqref>I304:K304 I306:K306</xm:sqref>
        </x14:conditionalFormatting>
        <x14:conditionalFormatting xmlns:xm="http://schemas.microsoft.com/office/excel/2006/main">
          <x14:cfRule type="expression" priority="333" id="{EA145AF0-D1F7-4108-AD0C-2B5882958C93}">
            <xm:f>AND(反映シート!$G$5=1,エラー判定!$E$198="NG")</xm:f>
            <x14:dxf>
              <font>
                <color rgb="FFFF0000"/>
              </font>
              <fill>
                <patternFill>
                  <bgColor rgb="FFFFC7CE"/>
                </patternFill>
              </fill>
            </x14:dxf>
          </x14:cfRule>
          <xm:sqref>I312:K312 I314:K314 I316:K316</xm:sqref>
        </x14:conditionalFormatting>
        <x14:conditionalFormatting xmlns:xm="http://schemas.microsoft.com/office/excel/2006/main">
          <x14:cfRule type="expression" priority="332" id="{ECE35336-0007-4447-8392-29DBD3895D4E}">
            <xm:f>AND(反映シート!$G$5=1,エラー判定!$E$202="NG")</xm:f>
            <x14:dxf>
              <font>
                <color rgb="FFFF0000"/>
              </font>
              <fill>
                <patternFill>
                  <bgColor rgb="FFFFC7CE"/>
                </patternFill>
              </fill>
            </x14:dxf>
          </x14:cfRule>
          <xm:sqref>I322:K322 I324:K324 I326:K326</xm:sqref>
        </x14:conditionalFormatting>
        <x14:conditionalFormatting xmlns:xm="http://schemas.microsoft.com/office/excel/2006/main">
          <x14:cfRule type="expression" priority="334" id="{2302E5D7-A4B9-4483-A337-B5B5D3C25663}">
            <xm:f>AND(反映シート!$G$5=1,エラー判定!$E$206="NG")</xm:f>
            <x14:dxf>
              <font>
                <color rgb="FFFF0000"/>
              </font>
              <fill>
                <patternFill>
                  <bgColor rgb="FFFFC7CE"/>
                </patternFill>
              </fill>
            </x14:dxf>
          </x14:cfRule>
          <xm:sqref>I332:K332 I334:K334 I336:K336</xm:sqref>
        </x14:conditionalFormatting>
        <x14:conditionalFormatting xmlns:xm="http://schemas.microsoft.com/office/excel/2006/main">
          <x14:cfRule type="expression" priority="176" id="{1BBD36F0-B015-448D-A2C8-35458ED58147}">
            <xm:f>AND(反映シート!$G$5=1,エラー判定!$E$212="NG")</xm:f>
            <x14:dxf>
              <font>
                <color rgb="FFFF0000"/>
              </font>
              <fill>
                <patternFill>
                  <bgColor rgb="FFFFC7CE"/>
                </patternFill>
              </fill>
            </x14:dxf>
          </x14:cfRule>
          <xm:sqref>C348:G348</xm:sqref>
        </x14:conditionalFormatting>
        <x14:conditionalFormatting xmlns:xm="http://schemas.microsoft.com/office/excel/2006/main">
          <x14:cfRule type="expression" priority="175" id="{58C3446A-63B3-4A43-9007-BA9A4FD78EC7}">
            <xm:f>AND(反映シート!$G$5=1,エラー判定!$E$218="SPACE")</xm:f>
            <x14:dxf>
              <font>
                <color theme="2" tint="-0.499984740745262"/>
              </font>
              <fill>
                <patternFill>
                  <bgColor rgb="FFFFD966"/>
                </patternFill>
              </fill>
            </x14:dxf>
          </x14:cfRule>
          <xm:sqref>I356:P356</xm:sqref>
        </x14:conditionalFormatting>
        <x14:conditionalFormatting xmlns:xm="http://schemas.microsoft.com/office/excel/2006/main">
          <x14:cfRule type="expression" priority="174" id="{8765654E-2804-471C-8111-78929AD2E4FC}">
            <xm:f>AND(反映シート!$G$5=1,エラー判定!$E$220="SPACE")</xm:f>
            <x14:dxf>
              <font>
                <color theme="2" tint="-0.499984740745262"/>
              </font>
              <fill>
                <patternFill>
                  <bgColor rgb="FFFFD966"/>
                </patternFill>
              </fill>
            </x14:dxf>
          </x14:cfRule>
          <xm:sqref>I360:P360</xm:sqref>
        </x14:conditionalFormatting>
        <x14:conditionalFormatting xmlns:xm="http://schemas.microsoft.com/office/excel/2006/main">
          <x14:cfRule type="expression" priority="173" id="{F237ADDB-F740-41A7-A00F-8A77BFA100BD}">
            <xm:f>AND(反映シート!$G$5=1,エラー判定!$E$222="SPACE")</xm:f>
            <x14:dxf>
              <font>
                <color theme="2" tint="-0.499984740745262"/>
              </font>
              <fill>
                <patternFill>
                  <bgColor rgb="FFFFD966"/>
                </patternFill>
              </fill>
            </x14:dxf>
          </x14:cfRule>
          <xm:sqref>I362:P362</xm:sqref>
        </x14:conditionalFormatting>
        <x14:conditionalFormatting xmlns:xm="http://schemas.microsoft.com/office/excel/2006/main">
          <x14:cfRule type="expression" priority="172" id="{073AD8EE-3BC2-4F16-9FAA-3146488E0B63}">
            <xm:f>AND(反映シート!$G$5=1,エラー判定!$E$226="NG")</xm:f>
            <x14:dxf>
              <font>
                <color rgb="FFFF0000"/>
              </font>
              <fill>
                <patternFill>
                  <bgColor rgb="FFFFC7CE"/>
                </patternFill>
              </fill>
            </x14:dxf>
          </x14:cfRule>
          <xm:sqref>I366:P366</xm:sqref>
        </x14:conditionalFormatting>
        <x14:conditionalFormatting xmlns:xm="http://schemas.microsoft.com/office/excel/2006/main">
          <x14:cfRule type="expression" priority="171" id="{EDBE9569-FF75-4DBA-9E8A-5241B326992D}">
            <xm:f>AND(反映シート!$G$5=1,エラー判定!$E$228="NG")</xm:f>
            <x14:dxf>
              <font>
                <color rgb="FFFF0000"/>
              </font>
              <fill>
                <patternFill>
                  <bgColor rgb="FFFFC7CE"/>
                </patternFill>
              </fill>
            </x14:dxf>
          </x14:cfRule>
          <xm:sqref>I368:P368</xm:sqref>
        </x14:conditionalFormatting>
        <x14:conditionalFormatting xmlns:xm="http://schemas.microsoft.com/office/excel/2006/main">
          <x14:cfRule type="expression" priority="168" id="{FBF6E2AA-3461-4F09-BB09-CAECE6BDDEA2}">
            <xm:f>AND(反映シート!$G$5=1,エラー判定!$E$236="NG")</xm:f>
            <x14:dxf>
              <font>
                <color rgb="FFFF0000"/>
              </font>
              <fill>
                <patternFill>
                  <bgColor rgb="FFFFC7CE"/>
                </patternFill>
              </fill>
            </x14:dxf>
          </x14:cfRule>
          <xm:sqref>K376:O376 M378:O378</xm:sqref>
        </x14:conditionalFormatting>
        <x14:conditionalFormatting xmlns:xm="http://schemas.microsoft.com/office/excel/2006/main">
          <x14:cfRule type="expression" priority="167" id="{756BAAFE-320A-47F9-9EC3-B89E35B282E6}">
            <xm:f>AND(反映シート!$G$5=1,エラー判定!$E$238="SPACE")</xm:f>
            <x14:dxf>
              <font>
                <color theme="2" tint="-0.499984740745262"/>
              </font>
              <fill>
                <patternFill>
                  <bgColor rgb="FFFFD966"/>
                </patternFill>
              </fill>
            </x14:dxf>
          </x14:cfRule>
          <xm:sqref>I380:P380</xm:sqref>
        </x14:conditionalFormatting>
        <x14:conditionalFormatting xmlns:xm="http://schemas.microsoft.com/office/excel/2006/main">
          <x14:cfRule type="expression" priority="274" id="{C57F4B38-9C47-4F2D-A1BE-32E2F199D10E}">
            <xm:f>AND(反映シート!$G$5=1,エラー判定!$E$249="NG")</xm:f>
            <x14:dxf>
              <font>
                <color rgb="FFFF0000"/>
              </font>
              <fill>
                <patternFill>
                  <bgColor rgb="FFFFC7CE"/>
                </patternFill>
              </fill>
            </x14:dxf>
          </x14:cfRule>
          <xm:sqref>K392:O392 M394:O394</xm:sqref>
        </x14:conditionalFormatting>
        <x14:conditionalFormatting xmlns:xm="http://schemas.microsoft.com/office/excel/2006/main">
          <x14:cfRule type="expression" priority="205" id="{68034E54-440A-48B8-8467-6AC6276896BC}">
            <xm:f>AND(反映シート!$G$5=1,エラー判定!$E$251="SPACE")</xm:f>
            <x14:dxf>
              <font>
                <color theme="2" tint="-0.499984740745262"/>
              </font>
              <fill>
                <patternFill>
                  <bgColor rgb="FFFFD966"/>
                </patternFill>
              </fill>
            </x14:dxf>
          </x14:cfRule>
          <xm:sqref>I396:P396</xm:sqref>
        </x14:conditionalFormatting>
        <x14:conditionalFormatting xmlns:xm="http://schemas.microsoft.com/office/excel/2006/main">
          <x14:cfRule type="expression" priority="162" id="{034F9311-FE79-4076-BA21-6569096E974B}">
            <xm:f>AND(反映シート!$G$5=1,エラー判定!$E$257="NG")</xm:f>
            <x14:dxf>
              <font>
                <color rgb="FFFF0000"/>
              </font>
              <fill>
                <patternFill>
                  <bgColor rgb="FFFFC7CE"/>
                </patternFill>
              </fill>
            </x14:dxf>
          </x14:cfRule>
          <xm:sqref>F406:G406</xm:sqref>
        </x14:conditionalFormatting>
        <x14:conditionalFormatting xmlns:xm="http://schemas.microsoft.com/office/excel/2006/main">
          <x14:cfRule type="expression" priority="3837" id="{D28C5212-0931-46C7-888F-98E3F87CDDB5}">
            <xm:f>AND(反映シート!$G$5=1,エラー判定!$C$263="NG")</xm:f>
            <x14:dxf>
              <font>
                <color rgb="FFFF0000"/>
              </font>
              <fill>
                <patternFill>
                  <bgColor rgb="FFFFC7CE"/>
                </patternFill>
              </fill>
            </x14:dxf>
          </x14:cfRule>
          <xm:sqref>C414:D414</xm:sqref>
        </x14:conditionalFormatting>
        <x14:conditionalFormatting xmlns:xm="http://schemas.microsoft.com/office/excel/2006/main">
          <x14:cfRule type="expression" priority="161" id="{1C584EC6-371A-4FBF-A1D3-174E289DAC88}">
            <xm:f>AND(反映シート!$G$5=1,エラー判定!$E$263="NG")</xm:f>
            <x14:dxf>
              <font>
                <color rgb="FFFF0000"/>
              </font>
              <fill>
                <patternFill>
                  <bgColor rgb="FFFFC7CE"/>
                </patternFill>
              </fill>
            </x14:dxf>
          </x14:cfRule>
          <xm:sqref>F414:G414</xm:sqref>
        </x14:conditionalFormatting>
        <x14:conditionalFormatting xmlns:xm="http://schemas.microsoft.com/office/excel/2006/main">
          <x14:cfRule type="expression" priority="160" id="{452C0507-D29F-4A72-8F01-CF46576414B8}">
            <xm:f>AND(反映シート!$G$5=1,エラー判定!$C$265="NG")</xm:f>
            <x14:dxf>
              <font>
                <color rgb="FFFF0000"/>
              </font>
              <fill>
                <patternFill>
                  <bgColor rgb="FFFFC7CE"/>
                </patternFill>
              </fill>
            </x14:dxf>
          </x14:cfRule>
          <xm:sqref>C416:D416</xm:sqref>
        </x14:conditionalFormatting>
        <x14:conditionalFormatting xmlns:xm="http://schemas.microsoft.com/office/excel/2006/main">
          <x14:cfRule type="expression" priority="159" id="{6F9B9054-5965-44D6-86AB-3AFBB1AB84EF}">
            <xm:f>AND(反映シート!$G$5=1,エラー判定!$C$267="NG")</xm:f>
            <x14:dxf>
              <font>
                <color rgb="FFFF0000"/>
              </font>
              <fill>
                <patternFill>
                  <bgColor rgb="FFFFC7CE"/>
                </patternFill>
              </fill>
            </x14:dxf>
          </x14:cfRule>
          <xm:sqref>C418:D418</xm:sqref>
        </x14:conditionalFormatting>
        <x14:conditionalFormatting xmlns:xm="http://schemas.microsoft.com/office/excel/2006/main">
          <x14:cfRule type="expression" priority="158" id="{A44B0740-ECD6-4515-B3F6-9DDD8946B571}">
            <xm:f>AND(反映シート!$G$5=1,エラー判定!$C$269="NG")</xm:f>
            <x14:dxf>
              <font>
                <color rgb="FFFF0000"/>
              </font>
              <fill>
                <patternFill>
                  <bgColor rgb="FFFFC7CE"/>
                </patternFill>
              </fill>
            </x14:dxf>
          </x14:cfRule>
          <xm:sqref>C420:D420</xm:sqref>
        </x14:conditionalFormatting>
        <x14:conditionalFormatting xmlns:xm="http://schemas.microsoft.com/office/excel/2006/main">
          <x14:cfRule type="expression" priority="157" id="{F137F0DF-E4D6-4E48-96C9-1079F1E0F255}">
            <xm:f>AND(反映シート!$G$5=1,エラー判定!$C$271="NG")</xm:f>
            <x14:dxf>
              <font>
                <color rgb="FFFF0000"/>
              </font>
              <fill>
                <patternFill>
                  <bgColor rgb="FFFFC7CE"/>
                </patternFill>
              </fill>
            </x14:dxf>
          </x14:cfRule>
          <xm:sqref>C422:D422</xm:sqref>
        </x14:conditionalFormatting>
        <x14:conditionalFormatting xmlns:xm="http://schemas.microsoft.com/office/excel/2006/main">
          <x14:cfRule type="expression" priority="156" id="{50D33F60-4A53-45F7-9D02-CFA22414BB12}">
            <xm:f>AND(反映シート!$G$5=1,エラー判定!$C$273="NG")</xm:f>
            <x14:dxf>
              <font>
                <color rgb="FFFF0000"/>
              </font>
              <fill>
                <patternFill>
                  <bgColor rgb="FFFFC7CE"/>
                </patternFill>
              </fill>
            </x14:dxf>
          </x14:cfRule>
          <xm:sqref>C424:D424</xm:sqref>
        </x14:conditionalFormatting>
        <x14:conditionalFormatting xmlns:xm="http://schemas.microsoft.com/office/excel/2006/main">
          <x14:cfRule type="expression" priority="155" id="{6F2F264D-2C55-4C78-8E95-D6C142A4A21B}">
            <xm:f>AND(反映シート!$G$5=1,エラー判定!$C$275="NG")</xm:f>
            <x14:dxf>
              <font>
                <color rgb="FFFF0000"/>
              </font>
              <fill>
                <patternFill>
                  <bgColor rgb="FFFFC7CE"/>
                </patternFill>
              </fill>
            </x14:dxf>
          </x14:cfRule>
          <xm:sqref>C426:D426</xm:sqref>
        </x14:conditionalFormatting>
        <x14:conditionalFormatting xmlns:xm="http://schemas.microsoft.com/office/excel/2006/main">
          <x14:cfRule type="expression" priority="154" id="{9373120F-5DD7-45BB-91D8-E42D4415221C}">
            <xm:f>AND(反映シート!$G$5=1,エラー判定!$C$277="NG")</xm:f>
            <x14:dxf>
              <font>
                <color rgb="FFFF0000"/>
              </font>
              <fill>
                <patternFill>
                  <bgColor rgb="FFFFC7CE"/>
                </patternFill>
              </fill>
            </x14:dxf>
          </x14:cfRule>
          <xm:sqref>C428:D428</xm:sqref>
        </x14:conditionalFormatting>
        <x14:conditionalFormatting xmlns:xm="http://schemas.microsoft.com/office/excel/2006/main">
          <x14:cfRule type="expression" priority="153" id="{05985C71-290D-4D8E-9D71-2D2357442187}">
            <xm:f>AND(反映シート!$G$5=1,エラー判定!$C$279="NG")</xm:f>
            <x14:dxf>
              <font>
                <color rgb="FFFF0000"/>
              </font>
              <fill>
                <patternFill>
                  <bgColor rgb="FFFFC7CE"/>
                </patternFill>
              </fill>
            </x14:dxf>
          </x14:cfRule>
          <xm:sqref>C430:D430</xm:sqref>
        </x14:conditionalFormatting>
        <x14:conditionalFormatting xmlns:xm="http://schemas.microsoft.com/office/excel/2006/main">
          <x14:cfRule type="expression" priority="152" id="{1062F4E0-FD70-442D-8840-A1405117E015}">
            <xm:f>AND(反映シート!$G$5=1,エラー判定!$C$281="NG")</xm:f>
            <x14:dxf>
              <font>
                <color rgb="FFFF0000"/>
              </font>
              <fill>
                <patternFill>
                  <bgColor rgb="FFFFC7CE"/>
                </patternFill>
              </fill>
            </x14:dxf>
          </x14:cfRule>
          <xm:sqref>C432:D432</xm:sqref>
        </x14:conditionalFormatting>
        <x14:conditionalFormatting xmlns:xm="http://schemas.microsoft.com/office/excel/2006/main">
          <x14:cfRule type="expression" priority="151" id="{C82C6954-F550-4258-A98C-AFF211179BF8}">
            <xm:f>AND(反映シート!$G$5=1,エラー判定!$C$283="NG")</xm:f>
            <x14:dxf>
              <font>
                <color rgb="FFFF0000"/>
              </font>
              <fill>
                <patternFill>
                  <bgColor rgb="FFFFC7CE"/>
                </patternFill>
              </fill>
            </x14:dxf>
          </x14:cfRule>
          <xm:sqref>C434:D434</xm:sqref>
        </x14:conditionalFormatting>
        <x14:conditionalFormatting xmlns:xm="http://schemas.microsoft.com/office/excel/2006/main">
          <x14:cfRule type="expression" priority="150" id="{64DC43F7-E6F2-453A-8B95-0888AB8A85BA}">
            <xm:f>AND(反映シート!$G$5=1,エラー判定!$C$285="NG")</xm:f>
            <x14:dxf>
              <font>
                <color rgb="FFFF0000"/>
              </font>
              <fill>
                <patternFill>
                  <bgColor rgb="FFFFC7CE"/>
                </patternFill>
              </fill>
            </x14:dxf>
          </x14:cfRule>
          <xm:sqref>C436:D436</xm:sqref>
        </x14:conditionalFormatting>
        <x14:conditionalFormatting xmlns:xm="http://schemas.microsoft.com/office/excel/2006/main">
          <x14:cfRule type="expression" priority="149" id="{6F6174FF-AFA3-4999-BDBE-DC0FBF545B94}">
            <xm:f>AND(反映シート!$G$5=1,エラー判定!$C$287="NG")</xm:f>
            <x14:dxf>
              <font>
                <color rgb="FFFF0000"/>
              </font>
              <fill>
                <patternFill>
                  <bgColor rgb="FFFFC7CE"/>
                </patternFill>
              </fill>
            </x14:dxf>
          </x14:cfRule>
          <xm:sqref>C438:D438</xm:sqref>
        </x14:conditionalFormatting>
        <x14:conditionalFormatting xmlns:xm="http://schemas.microsoft.com/office/excel/2006/main">
          <x14:cfRule type="expression" priority="148" id="{3DAB8FA7-DC73-4B8A-B325-8E4793B98D03}">
            <xm:f>AND(反映シート!$G$5=1,エラー判定!$C$289="NG")</xm:f>
            <x14:dxf>
              <font>
                <color rgb="FFFF0000"/>
              </font>
              <fill>
                <patternFill>
                  <bgColor rgb="FFFFC7CE"/>
                </patternFill>
              </fill>
            </x14:dxf>
          </x14:cfRule>
          <xm:sqref>C440:D440</xm:sqref>
        </x14:conditionalFormatting>
        <x14:conditionalFormatting xmlns:xm="http://schemas.microsoft.com/office/excel/2006/main">
          <x14:cfRule type="expression" priority="147" id="{75AA24DD-B506-47A8-B3BB-7FABDC0BFF8B}">
            <xm:f>AND(反映シート!$G$5=1,エラー判定!$E$265="NG")</xm:f>
            <x14:dxf>
              <font>
                <color rgb="FFFF0000"/>
              </font>
              <fill>
                <patternFill>
                  <bgColor rgb="FFFFC7CE"/>
                </patternFill>
              </fill>
            </x14:dxf>
          </x14:cfRule>
          <xm:sqref>F416:G416</xm:sqref>
        </x14:conditionalFormatting>
        <x14:conditionalFormatting xmlns:xm="http://schemas.microsoft.com/office/excel/2006/main">
          <x14:cfRule type="expression" priority="146" id="{5D9EF753-06A5-49E6-8DA9-2772ACC73039}">
            <xm:f>AND(反映シート!$G$5=1,エラー判定!$E$267="NG")</xm:f>
            <x14:dxf>
              <font>
                <color rgb="FFFF0000"/>
              </font>
              <fill>
                <patternFill>
                  <bgColor rgb="FFFFC7CE"/>
                </patternFill>
              </fill>
            </x14:dxf>
          </x14:cfRule>
          <xm:sqref>F418:G418</xm:sqref>
        </x14:conditionalFormatting>
        <x14:conditionalFormatting xmlns:xm="http://schemas.microsoft.com/office/excel/2006/main">
          <x14:cfRule type="expression" priority="145" id="{CB44B0E1-B0C9-44AA-89FB-094BB180A2E3}">
            <xm:f>AND(反映シート!$G$5=1,エラー判定!$E$269="NG")</xm:f>
            <x14:dxf>
              <font>
                <color rgb="FFFF0000"/>
              </font>
              <fill>
                <patternFill>
                  <bgColor rgb="FFFFC7CE"/>
                </patternFill>
              </fill>
            </x14:dxf>
          </x14:cfRule>
          <xm:sqref>F420:G420</xm:sqref>
        </x14:conditionalFormatting>
        <x14:conditionalFormatting xmlns:xm="http://schemas.microsoft.com/office/excel/2006/main">
          <x14:cfRule type="expression" priority="144" id="{33F54335-4C61-47A6-BF9E-DD4B63DA333A}">
            <xm:f>AND(反映シート!$G$5=1,エラー判定!$E$271="NG")</xm:f>
            <x14:dxf>
              <font>
                <color rgb="FFFF0000"/>
              </font>
              <fill>
                <patternFill>
                  <bgColor rgb="FFFFC7CE"/>
                </patternFill>
              </fill>
            </x14:dxf>
          </x14:cfRule>
          <xm:sqref>F422:G422</xm:sqref>
        </x14:conditionalFormatting>
        <x14:conditionalFormatting xmlns:xm="http://schemas.microsoft.com/office/excel/2006/main">
          <x14:cfRule type="expression" priority="143" id="{B92C6D97-92C1-4503-855F-6B6BA847BDCF}">
            <xm:f>AND(反映シート!$G$5=1,エラー判定!$E$273="NG")</xm:f>
            <x14:dxf>
              <font>
                <color rgb="FFFF0000"/>
              </font>
              <fill>
                <patternFill>
                  <bgColor rgb="FFFFC7CE"/>
                </patternFill>
              </fill>
            </x14:dxf>
          </x14:cfRule>
          <xm:sqref>F424:G424</xm:sqref>
        </x14:conditionalFormatting>
        <x14:conditionalFormatting xmlns:xm="http://schemas.microsoft.com/office/excel/2006/main">
          <x14:cfRule type="expression" priority="142" id="{3283B5EB-6690-438E-B9FF-0032219C4639}">
            <xm:f>AND(反映シート!$G$5=1,エラー判定!$E$275="NG")</xm:f>
            <x14:dxf>
              <font>
                <color rgb="FFFF0000"/>
              </font>
              <fill>
                <patternFill>
                  <bgColor rgb="FFFFC7CE"/>
                </patternFill>
              </fill>
            </x14:dxf>
          </x14:cfRule>
          <xm:sqref>F426:G426</xm:sqref>
        </x14:conditionalFormatting>
        <x14:conditionalFormatting xmlns:xm="http://schemas.microsoft.com/office/excel/2006/main">
          <x14:cfRule type="expression" priority="140" id="{455E1128-B4B9-43BE-BAFC-6635165DC946}">
            <xm:f>AND(反映シート!$G$5=1,エラー判定!$E$277="NG")</xm:f>
            <x14:dxf>
              <font>
                <color rgb="FFFF0000"/>
              </font>
              <fill>
                <patternFill>
                  <bgColor rgb="FFFFC7CE"/>
                </patternFill>
              </fill>
            </x14:dxf>
          </x14:cfRule>
          <xm:sqref>F428:G428</xm:sqref>
        </x14:conditionalFormatting>
        <x14:conditionalFormatting xmlns:xm="http://schemas.microsoft.com/office/excel/2006/main">
          <x14:cfRule type="expression" priority="139" id="{24211897-FDE8-4B30-9613-52AACAC6265D}">
            <xm:f>AND(反映シート!$G$5=1,エラー判定!$E$279="NG")</xm:f>
            <x14:dxf>
              <font>
                <color rgb="FFFF0000"/>
              </font>
              <fill>
                <patternFill>
                  <bgColor rgb="FFFFC7CE"/>
                </patternFill>
              </fill>
            </x14:dxf>
          </x14:cfRule>
          <xm:sqref>F430:G430</xm:sqref>
        </x14:conditionalFormatting>
        <x14:conditionalFormatting xmlns:xm="http://schemas.microsoft.com/office/excel/2006/main">
          <x14:cfRule type="expression" priority="138" id="{6C203BBE-DCDE-4901-A92A-FD248555490E}">
            <xm:f>AND(反映シート!$G$5=1,エラー判定!$E$281="NG")</xm:f>
            <x14:dxf>
              <font>
                <color rgb="FFFF0000"/>
              </font>
              <fill>
                <patternFill>
                  <bgColor rgb="FFFFC7CE"/>
                </patternFill>
              </fill>
            </x14:dxf>
          </x14:cfRule>
          <xm:sqref>F432:G432</xm:sqref>
        </x14:conditionalFormatting>
        <x14:conditionalFormatting xmlns:xm="http://schemas.microsoft.com/office/excel/2006/main">
          <x14:cfRule type="expression" priority="137" id="{AB174F7D-21B6-44E1-B200-D09E9766D502}">
            <xm:f>AND(反映シート!$G$5=1,エラー判定!$E$283="NG")</xm:f>
            <x14:dxf>
              <font>
                <color rgb="FFFF0000"/>
              </font>
              <fill>
                <patternFill>
                  <bgColor rgb="FFFFC7CE"/>
                </patternFill>
              </fill>
            </x14:dxf>
          </x14:cfRule>
          <xm:sqref>F434:G434</xm:sqref>
        </x14:conditionalFormatting>
        <x14:conditionalFormatting xmlns:xm="http://schemas.microsoft.com/office/excel/2006/main">
          <x14:cfRule type="expression" priority="136" id="{6F02A8E4-B922-44AA-A782-88876215F8D1}">
            <xm:f>AND(反映シート!$G$5=1,エラー判定!$E$285="NG")</xm:f>
            <x14:dxf>
              <font>
                <color rgb="FFFF0000"/>
              </font>
              <fill>
                <patternFill>
                  <bgColor rgb="FFFFC7CE"/>
                </patternFill>
              </fill>
            </x14:dxf>
          </x14:cfRule>
          <xm:sqref>F436:G436</xm:sqref>
        </x14:conditionalFormatting>
        <x14:conditionalFormatting xmlns:xm="http://schemas.microsoft.com/office/excel/2006/main">
          <x14:cfRule type="expression" priority="135" id="{4D5F9449-C60C-4BF8-A458-50814CCDEDD5}">
            <xm:f>AND(反映シート!$G$5=1,エラー判定!$E$287="NG")</xm:f>
            <x14:dxf>
              <font>
                <color rgb="FFFF0000"/>
              </font>
              <fill>
                <patternFill>
                  <bgColor rgb="FFFFC7CE"/>
                </patternFill>
              </fill>
            </x14:dxf>
          </x14:cfRule>
          <xm:sqref>F438:G438</xm:sqref>
        </x14:conditionalFormatting>
        <x14:conditionalFormatting xmlns:xm="http://schemas.microsoft.com/office/excel/2006/main">
          <x14:cfRule type="expression" priority="134" id="{80693FE6-6D56-4A82-9FED-1D399D8DDE57}">
            <xm:f>AND(反映シート!$G$5=1,エラー判定!$E$289="NG")</xm:f>
            <x14:dxf>
              <font>
                <color rgb="FFFF0000"/>
              </font>
              <fill>
                <patternFill>
                  <bgColor rgb="FFFFC7CE"/>
                </patternFill>
              </fill>
            </x14:dxf>
          </x14:cfRule>
          <xm:sqref>F440:G440</xm:sqref>
        </x14:conditionalFormatting>
        <x14:conditionalFormatting xmlns:xm="http://schemas.microsoft.com/office/excel/2006/main">
          <x14:cfRule type="expression" priority="133" id="{98C319F7-DDAA-4534-953C-C1720A65BD6E}">
            <xm:f>AND(反映シート!$G$5=1,エラー判定!$E$263="NG")</xm:f>
            <x14:dxf>
              <font>
                <color rgb="FFFF0000"/>
              </font>
              <fill>
                <patternFill>
                  <bgColor rgb="FFFFC7CE"/>
                </patternFill>
              </fill>
            </x14:dxf>
          </x14:cfRule>
          <xm:sqref>I414</xm:sqref>
        </x14:conditionalFormatting>
        <x14:conditionalFormatting xmlns:xm="http://schemas.microsoft.com/office/excel/2006/main">
          <x14:cfRule type="expression" priority="132" id="{28A2B8AB-9CD7-4A06-9EC8-5C1CC37E685A}">
            <xm:f>AND(反映シート!$G$5=1,エラー判定!$E$265="NG")</xm:f>
            <x14:dxf>
              <font>
                <color rgb="FFFF0000"/>
              </font>
              <fill>
                <patternFill>
                  <bgColor rgb="FFFFC7CE"/>
                </patternFill>
              </fill>
            </x14:dxf>
          </x14:cfRule>
          <xm:sqref>I416</xm:sqref>
        </x14:conditionalFormatting>
        <x14:conditionalFormatting xmlns:xm="http://schemas.microsoft.com/office/excel/2006/main">
          <x14:cfRule type="expression" priority="131" id="{AF3675DE-092D-4323-A6D1-DC0692F4A5F2}">
            <xm:f>AND(反映シート!$G$5=1,エラー判定!$E$267="NG")</xm:f>
            <x14:dxf>
              <font>
                <color rgb="FFFF0000"/>
              </font>
              <fill>
                <patternFill>
                  <bgColor rgb="FFFFC7CE"/>
                </patternFill>
              </fill>
            </x14:dxf>
          </x14:cfRule>
          <xm:sqref>I418</xm:sqref>
        </x14:conditionalFormatting>
        <x14:conditionalFormatting xmlns:xm="http://schemas.microsoft.com/office/excel/2006/main">
          <x14:cfRule type="expression" priority="130" id="{669E3416-A526-4B9B-8688-6C39DBDE3958}">
            <xm:f>AND(反映シート!$G$5=1,エラー判定!$E$269="NG")</xm:f>
            <x14:dxf>
              <font>
                <color rgb="FFFF0000"/>
              </font>
              <fill>
                <patternFill>
                  <bgColor rgb="FFFFC7CE"/>
                </patternFill>
              </fill>
            </x14:dxf>
          </x14:cfRule>
          <xm:sqref>I420</xm:sqref>
        </x14:conditionalFormatting>
        <x14:conditionalFormatting xmlns:xm="http://schemas.microsoft.com/office/excel/2006/main">
          <x14:cfRule type="expression" priority="129" id="{DC1D64C7-B05A-47AD-8A27-872F16FFEDB5}">
            <xm:f>AND(反映シート!$G$5=1,エラー判定!$E$271="NG")</xm:f>
            <x14:dxf>
              <font>
                <color rgb="FFFF0000"/>
              </font>
              <fill>
                <patternFill>
                  <bgColor rgb="FFFFC7CE"/>
                </patternFill>
              </fill>
            </x14:dxf>
          </x14:cfRule>
          <xm:sqref>I422</xm:sqref>
        </x14:conditionalFormatting>
        <x14:conditionalFormatting xmlns:xm="http://schemas.microsoft.com/office/excel/2006/main">
          <x14:cfRule type="expression" priority="128" id="{8CD1CAE6-FDA7-4393-87C6-C60E61B4D7E4}">
            <xm:f>AND(反映シート!$G$5=1,エラー判定!$E$273="NG")</xm:f>
            <x14:dxf>
              <font>
                <color rgb="FFFF0000"/>
              </font>
              <fill>
                <patternFill>
                  <bgColor rgb="FFFFC7CE"/>
                </patternFill>
              </fill>
            </x14:dxf>
          </x14:cfRule>
          <xm:sqref>I424</xm:sqref>
        </x14:conditionalFormatting>
        <x14:conditionalFormatting xmlns:xm="http://schemas.microsoft.com/office/excel/2006/main">
          <x14:cfRule type="expression" priority="127" id="{32142357-9165-4234-A32E-F81052CC72FE}">
            <xm:f>AND(反映シート!$G$5=1,エラー判定!$E$275="NG")</xm:f>
            <x14:dxf>
              <font>
                <color rgb="FFFF0000"/>
              </font>
              <fill>
                <patternFill>
                  <bgColor rgb="FFFFC7CE"/>
                </patternFill>
              </fill>
            </x14:dxf>
          </x14:cfRule>
          <xm:sqref>I426</xm:sqref>
        </x14:conditionalFormatting>
        <x14:conditionalFormatting xmlns:xm="http://schemas.microsoft.com/office/excel/2006/main">
          <x14:cfRule type="expression" priority="126" id="{A98F0ABC-8E59-4163-A32D-F29DA8BF0D20}">
            <xm:f>AND(反映シート!$G$5=1,エラー判定!$E$277="NG")</xm:f>
            <x14:dxf>
              <font>
                <color rgb="FFFF0000"/>
              </font>
              <fill>
                <patternFill>
                  <bgColor rgb="FFFFC7CE"/>
                </patternFill>
              </fill>
            </x14:dxf>
          </x14:cfRule>
          <xm:sqref>I428</xm:sqref>
        </x14:conditionalFormatting>
        <x14:conditionalFormatting xmlns:xm="http://schemas.microsoft.com/office/excel/2006/main">
          <x14:cfRule type="expression" priority="125" id="{A258E3E3-079E-4513-A174-2A0D2C39FB23}">
            <xm:f>AND(反映シート!$G$5=1,エラー判定!$E$279="NG")</xm:f>
            <x14:dxf>
              <font>
                <color rgb="FFFF0000"/>
              </font>
              <fill>
                <patternFill>
                  <bgColor rgb="FFFFC7CE"/>
                </patternFill>
              </fill>
            </x14:dxf>
          </x14:cfRule>
          <xm:sqref>I430</xm:sqref>
        </x14:conditionalFormatting>
        <x14:conditionalFormatting xmlns:xm="http://schemas.microsoft.com/office/excel/2006/main">
          <x14:cfRule type="expression" priority="124" id="{F9A5C816-57BD-4FDC-B596-95CC4F7D498F}">
            <xm:f>AND(反映シート!$G$5=1,エラー判定!$E$281="NG")</xm:f>
            <x14:dxf>
              <font>
                <color rgb="FFFF0000"/>
              </font>
              <fill>
                <patternFill>
                  <bgColor rgb="FFFFC7CE"/>
                </patternFill>
              </fill>
            </x14:dxf>
          </x14:cfRule>
          <xm:sqref>I432</xm:sqref>
        </x14:conditionalFormatting>
        <x14:conditionalFormatting xmlns:xm="http://schemas.microsoft.com/office/excel/2006/main">
          <x14:cfRule type="expression" priority="123" id="{614081D3-AAEB-48DD-A174-A1045FC8458F}">
            <xm:f>AND(反映シート!$G$5=1,エラー判定!$E$283="NG")</xm:f>
            <x14:dxf>
              <font>
                <color rgb="FFFF0000"/>
              </font>
              <fill>
                <patternFill>
                  <bgColor rgb="FFFFC7CE"/>
                </patternFill>
              </fill>
            </x14:dxf>
          </x14:cfRule>
          <xm:sqref>I434</xm:sqref>
        </x14:conditionalFormatting>
        <x14:conditionalFormatting xmlns:xm="http://schemas.microsoft.com/office/excel/2006/main">
          <x14:cfRule type="expression" priority="122" id="{698CD461-FB30-4914-87E5-2F3E0E362584}">
            <xm:f>AND(反映シート!$G$5=1,エラー判定!$E$285="NG")</xm:f>
            <x14:dxf>
              <font>
                <color rgb="FFFF0000"/>
              </font>
              <fill>
                <patternFill>
                  <bgColor rgb="FFFFC7CE"/>
                </patternFill>
              </fill>
            </x14:dxf>
          </x14:cfRule>
          <xm:sqref>I436</xm:sqref>
        </x14:conditionalFormatting>
        <x14:conditionalFormatting xmlns:xm="http://schemas.microsoft.com/office/excel/2006/main">
          <x14:cfRule type="expression" priority="121" id="{72A6BB1B-11D5-4117-9EAF-06390F1312AE}">
            <xm:f>AND(反映シート!$G$5=1,エラー判定!$E$287="NG")</xm:f>
            <x14:dxf>
              <font>
                <color rgb="FFFF0000"/>
              </font>
              <fill>
                <patternFill>
                  <bgColor rgb="FFFFC7CE"/>
                </patternFill>
              </fill>
            </x14:dxf>
          </x14:cfRule>
          <xm:sqref>I438</xm:sqref>
        </x14:conditionalFormatting>
        <x14:conditionalFormatting xmlns:xm="http://schemas.microsoft.com/office/excel/2006/main">
          <x14:cfRule type="expression" priority="120" id="{18BC2AEE-D624-4F36-8123-683DE7B5E5E2}">
            <xm:f>AND(反映シート!$G$5=1,エラー判定!$E$289="NG")</xm:f>
            <x14:dxf>
              <font>
                <color rgb="FFFF0000"/>
              </font>
              <fill>
                <patternFill>
                  <bgColor rgb="FFFFC7CE"/>
                </patternFill>
              </fill>
            </x14:dxf>
          </x14:cfRule>
          <xm:sqref>I440</xm:sqref>
        </x14:conditionalFormatting>
        <x14:conditionalFormatting xmlns:xm="http://schemas.microsoft.com/office/excel/2006/main">
          <x14:cfRule type="expression" priority="118" id="{5D79B896-7833-4FBC-94A2-EE8CC1D0AC00}">
            <xm:f>AND(反映シート!$G$5=1,エラー判定!$G$263="NG")</xm:f>
            <x14:dxf>
              <font>
                <color rgb="FFFF0000"/>
              </font>
              <fill>
                <patternFill>
                  <bgColor rgb="FFFFC7CE"/>
                </patternFill>
              </fill>
            </x14:dxf>
          </x14:cfRule>
          <xm:sqref>K414 M414</xm:sqref>
        </x14:conditionalFormatting>
        <x14:conditionalFormatting xmlns:xm="http://schemas.microsoft.com/office/excel/2006/main">
          <x14:cfRule type="expression" priority="119" id="{C66FD875-AFE2-48C1-9409-C4CA3A4AB8BF}">
            <xm:f>AND(反映シート!$G$5=1,エラー判定!$G$265="NG")</xm:f>
            <x14:dxf>
              <font>
                <color rgb="FFFF0000"/>
              </font>
              <fill>
                <patternFill>
                  <bgColor rgb="FFFFC7CE"/>
                </patternFill>
              </fill>
            </x14:dxf>
          </x14:cfRule>
          <xm:sqref>K416 M416</xm:sqref>
        </x14:conditionalFormatting>
        <x14:conditionalFormatting xmlns:xm="http://schemas.microsoft.com/office/excel/2006/main">
          <x14:cfRule type="expression" priority="117" id="{6635C658-4D74-44AA-BC44-CE250B3FF48B}">
            <xm:f>AND(反映シート!$G$5=1,エラー判定!$G$267="NG")</xm:f>
            <x14:dxf>
              <font>
                <color rgb="FFFF0000"/>
              </font>
              <fill>
                <patternFill>
                  <bgColor rgb="FFFFC7CE"/>
                </patternFill>
              </fill>
            </x14:dxf>
          </x14:cfRule>
          <xm:sqref>K418 M418</xm:sqref>
        </x14:conditionalFormatting>
        <x14:conditionalFormatting xmlns:xm="http://schemas.microsoft.com/office/excel/2006/main">
          <x14:cfRule type="expression" priority="116" id="{4E26A92B-701E-44BA-A41E-2A7004E278AF}">
            <xm:f>AND(反映シート!$G$5=1,エラー判定!$G$269="NG")</xm:f>
            <x14:dxf>
              <font>
                <color rgb="FFFF0000"/>
              </font>
              <fill>
                <patternFill>
                  <bgColor rgb="FFFFC7CE"/>
                </patternFill>
              </fill>
            </x14:dxf>
          </x14:cfRule>
          <xm:sqref>K420 M420</xm:sqref>
        </x14:conditionalFormatting>
        <x14:conditionalFormatting xmlns:xm="http://schemas.microsoft.com/office/excel/2006/main">
          <x14:cfRule type="expression" priority="115" id="{87B649A4-4A96-4AB4-B269-C96D21C9784A}">
            <xm:f>AND(反映シート!$G$5=1,エラー判定!$G$271="NG")</xm:f>
            <x14:dxf>
              <font>
                <color rgb="FFFF0000"/>
              </font>
              <fill>
                <patternFill>
                  <bgColor rgb="FFFFC7CE"/>
                </patternFill>
              </fill>
            </x14:dxf>
          </x14:cfRule>
          <xm:sqref>K422 M422</xm:sqref>
        </x14:conditionalFormatting>
        <x14:conditionalFormatting xmlns:xm="http://schemas.microsoft.com/office/excel/2006/main">
          <x14:cfRule type="expression" priority="114" id="{7E50FAE9-B3CB-488C-9A73-DEFDF324AE6C}">
            <xm:f>AND(反映シート!$G$5=1,エラー判定!$G$273="NG")</xm:f>
            <x14:dxf>
              <font>
                <color rgb="FFFF0000"/>
              </font>
              <fill>
                <patternFill>
                  <bgColor rgb="FFFFC7CE"/>
                </patternFill>
              </fill>
            </x14:dxf>
          </x14:cfRule>
          <xm:sqref>K424 M424</xm:sqref>
        </x14:conditionalFormatting>
        <x14:conditionalFormatting xmlns:xm="http://schemas.microsoft.com/office/excel/2006/main">
          <x14:cfRule type="expression" priority="113" id="{2D79013A-4044-426A-B64D-FF8E2138D8E2}">
            <xm:f>AND(反映シート!$G$5=1,エラー判定!$G$275="NG")</xm:f>
            <x14:dxf>
              <font>
                <color rgb="FFFF0000"/>
              </font>
              <fill>
                <patternFill>
                  <bgColor rgb="FFFFC7CE"/>
                </patternFill>
              </fill>
            </x14:dxf>
          </x14:cfRule>
          <xm:sqref>K426 M426</xm:sqref>
        </x14:conditionalFormatting>
        <x14:conditionalFormatting xmlns:xm="http://schemas.microsoft.com/office/excel/2006/main">
          <x14:cfRule type="expression" priority="112" id="{D1FFE68B-AE2A-4633-9A74-E35E0C63AB84}">
            <xm:f>AND(反映シート!$G$5=1,エラー判定!$G$277="NG")</xm:f>
            <x14:dxf>
              <font>
                <color rgb="FFFF0000"/>
              </font>
              <fill>
                <patternFill>
                  <bgColor rgb="FFFFC7CE"/>
                </patternFill>
              </fill>
            </x14:dxf>
          </x14:cfRule>
          <xm:sqref>K428 M428</xm:sqref>
        </x14:conditionalFormatting>
        <x14:conditionalFormatting xmlns:xm="http://schemas.microsoft.com/office/excel/2006/main">
          <x14:cfRule type="expression" priority="111" id="{1B1031DD-A8B4-4F68-9035-37A16CE1324A}">
            <xm:f>AND(反映シート!$G$5=1,エラー判定!$E$279="NG")</xm:f>
            <x14:dxf>
              <font>
                <color rgb="FFFF0000"/>
              </font>
              <fill>
                <patternFill>
                  <bgColor rgb="FFFFC7CE"/>
                </patternFill>
              </fill>
            </x14:dxf>
          </x14:cfRule>
          <xm:sqref>K430 M430</xm:sqref>
        </x14:conditionalFormatting>
        <x14:conditionalFormatting xmlns:xm="http://schemas.microsoft.com/office/excel/2006/main">
          <x14:cfRule type="expression" priority="110" id="{6945D8F8-BCEF-46D8-B466-329EE282071A}">
            <xm:f>AND(反映シート!$G$5=1,エラー判定!$G$281="NG")</xm:f>
            <x14:dxf>
              <font>
                <color rgb="FFFF0000"/>
              </font>
              <fill>
                <patternFill>
                  <bgColor rgb="FFFFC7CE"/>
                </patternFill>
              </fill>
            </x14:dxf>
          </x14:cfRule>
          <xm:sqref>K432 M432</xm:sqref>
        </x14:conditionalFormatting>
        <x14:conditionalFormatting xmlns:xm="http://schemas.microsoft.com/office/excel/2006/main">
          <x14:cfRule type="expression" priority="109" id="{0105A8EA-22F5-424A-B639-6516BB1626B1}">
            <xm:f>AND(反映シート!$G$5=1,エラー判定!$E$283="NG")</xm:f>
            <x14:dxf>
              <font>
                <color rgb="FFFF0000"/>
              </font>
              <fill>
                <patternFill>
                  <bgColor rgb="FFFFC7CE"/>
                </patternFill>
              </fill>
            </x14:dxf>
          </x14:cfRule>
          <xm:sqref>K434 M434</xm:sqref>
        </x14:conditionalFormatting>
        <x14:conditionalFormatting xmlns:xm="http://schemas.microsoft.com/office/excel/2006/main">
          <x14:cfRule type="expression" priority="108" id="{83721809-7F8D-46B5-915D-1ED5C3EAC5DD}">
            <xm:f>AND(反映シート!$G$5=1,エラー判定!$G$285="NG")</xm:f>
            <x14:dxf>
              <font>
                <color rgb="FFFF0000"/>
              </font>
              <fill>
                <patternFill>
                  <bgColor rgb="FFFFC7CE"/>
                </patternFill>
              </fill>
            </x14:dxf>
          </x14:cfRule>
          <xm:sqref>K436 M436</xm:sqref>
        </x14:conditionalFormatting>
        <x14:conditionalFormatting xmlns:xm="http://schemas.microsoft.com/office/excel/2006/main">
          <x14:cfRule type="expression" priority="107" id="{3DA041B9-9599-4910-A4BF-6F995AD4FE07}">
            <xm:f>AND(反映シート!$G$5=1,エラー判定!$G$287="NG")</xm:f>
            <x14:dxf>
              <font>
                <color rgb="FFFF0000"/>
              </font>
              <fill>
                <patternFill>
                  <bgColor rgb="FFFFC7CE"/>
                </patternFill>
              </fill>
            </x14:dxf>
          </x14:cfRule>
          <xm:sqref>K438 M438</xm:sqref>
        </x14:conditionalFormatting>
        <x14:conditionalFormatting xmlns:xm="http://schemas.microsoft.com/office/excel/2006/main">
          <x14:cfRule type="expression" priority="106" id="{E3792EFD-534E-4F55-AF65-0E5C198D81BB}">
            <xm:f>AND(反映シート!$G$5=1,エラー判定!$E$289="NG")</xm:f>
            <x14:dxf>
              <font>
                <color rgb="FFFF0000"/>
              </font>
              <fill>
                <patternFill>
                  <bgColor rgb="FFFFC7CE"/>
                </patternFill>
              </fill>
            </x14:dxf>
          </x14:cfRule>
          <xm:sqref>K440 M440</xm:sqref>
        </x14:conditionalFormatting>
        <x14:conditionalFormatting xmlns:xm="http://schemas.microsoft.com/office/excel/2006/main">
          <x14:cfRule type="expression" priority="105" id="{B16C5716-2143-44A1-A4D9-E471C3BEB7DF}">
            <xm:f>AND(反映シート!$G$5=1,OR(エラー判定!$I$263="NG",エラー判定!$K$263="NG",$M$263="NG",$O$263="NG"))</xm:f>
            <x14:dxf>
              <font>
                <color rgb="FFFF0000"/>
              </font>
              <fill>
                <patternFill>
                  <bgColor rgb="FFFFC7CE"/>
                </patternFill>
              </fill>
            </x14:dxf>
          </x14:cfRule>
          <xm:sqref>O414</xm:sqref>
        </x14:conditionalFormatting>
        <x14:conditionalFormatting xmlns:xm="http://schemas.microsoft.com/office/excel/2006/main">
          <x14:cfRule type="expression" priority="104" id="{B2EC0425-A140-46E9-BA18-0A40CFCB4368}">
            <xm:f>AND(反映シート!$G$5=1,OR(エラー判定!$I$265="NG",エラー判定!$K$265="NG",$M$265="NG",$O$265="NG"))</xm:f>
            <x14:dxf>
              <font>
                <color rgb="FFFF0000"/>
              </font>
              <fill>
                <patternFill>
                  <bgColor rgb="FFFFC7CE"/>
                </patternFill>
              </fill>
            </x14:dxf>
          </x14:cfRule>
          <xm:sqref>O416</xm:sqref>
        </x14:conditionalFormatting>
        <x14:conditionalFormatting xmlns:xm="http://schemas.microsoft.com/office/excel/2006/main">
          <x14:cfRule type="expression" priority="103" id="{5E7A59AF-E6A6-44CC-A0DF-AE8A7F74AAAA}">
            <xm:f>AND(反映シート!$G$5=1,OR(エラー判定!$I$267="NG",エラー判定!$K$267="NG",$M$267="NG",$O$267="NG"))</xm:f>
            <x14:dxf>
              <font>
                <color rgb="FFFF0000"/>
              </font>
              <fill>
                <patternFill>
                  <bgColor rgb="FFFFC7CE"/>
                </patternFill>
              </fill>
            </x14:dxf>
          </x14:cfRule>
          <xm:sqref>O418</xm:sqref>
        </x14:conditionalFormatting>
        <x14:conditionalFormatting xmlns:xm="http://schemas.microsoft.com/office/excel/2006/main">
          <x14:cfRule type="expression" priority="102" id="{312547C7-D283-4326-A356-0140AE819804}">
            <xm:f>AND(反映シート!$G$5=1,OR(エラー判定!$I$269="NG",エラー判定!$K$269="NG",$M$269="NG",$O$269="NG"))</xm:f>
            <x14:dxf>
              <font>
                <color rgb="FFFF0000"/>
              </font>
              <fill>
                <patternFill>
                  <bgColor rgb="FFFFC7CE"/>
                </patternFill>
              </fill>
            </x14:dxf>
          </x14:cfRule>
          <xm:sqref>O420</xm:sqref>
        </x14:conditionalFormatting>
        <x14:conditionalFormatting xmlns:xm="http://schemas.microsoft.com/office/excel/2006/main">
          <x14:cfRule type="expression" priority="101" id="{9A9A46F8-804E-44B8-B766-A3F6029C4156}">
            <xm:f>AND(反映シート!$G$5=1,OR(エラー判定!$I$271="NG",エラー判定!$K$271="NG",$M$271="NG",$O$271="NG"))</xm:f>
            <x14:dxf>
              <font>
                <color rgb="FFFF0000"/>
              </font>
              <fill>
                <patternFill>
                  <bgColor rgb="FFFFC7CE"/>
                </patternFill>
              </fill>
            </x14:dxf>
          </x14:cfRule>
          <xm:sqref>O422</xm:sqref>
        </x14:conditionalFormatting>
        <x14:conditionalFormatting xmlns:xm="http://schemas.microsoft.com/office/excel/2006/main">
          <x14:cfRule type="expression" priority="100" id="{30C44A49-3ED0-43D1-93AC-A0BE0D6A5A2E}">
            <xm:f>AND(反映シート!$G$5=1,OR(エラー判定!$I$273="NG",エラー判定!$K$273="NG",$M$273="NG",$O$273="NG"))</xm:f>
            <x14:dxf>
              <font>
                <color rgb="FFFF0000"/>
              </font>
              <fill>
                <patternFill>
                  <bgColor rgb="FFFFC7CE"/>
                </patternFill>
              </fill>
            </x14:dxf>
          </x14:cfRule>
          <xm:sqref>O424</xm:sqref>
        </x14:conditionalFormatting>
        <x14:conditionalFormatting xmlns:xm="http://schemas.microsoft.com/office/excel/2006/main">
          <x14:cfRule type="expression" priority="99" id="{DA0C1841-B3BE-42B2-BC02-036EC6B00EBD}">
            <xm:f>AND(反映シート!$G$5=1,OR(エラー判定!$I$275="NG",エラー判定!$K$275="NG",$M$275="NG",$O$275="NG"))</xm:f>
            <x14:dxf>
              <font>
                <color rgb="FFFF0000"/>
              </font>
              <fill>
                <patternFill>
                  <bgColor rgb="FFFFC7CE"/>
                </patternFill>
              </fill>
            </x14:dxf>
          </x14:cfRule>
          <xm:sqref>O426</xm:sqref>
        </x14:conditionalFormatting>
        <x14:conditionalFormatting xmlns:xm="http://schemas.microsoft.com/office/excel/2006/main">
          <x14:cfRule type="expression" priority="98" id="{0F0C3F31-0EE9-41A7-AD11-D9D044DA9590}">
            <xm:f>AND(反映シート!$G$5=1,OR(エラー判定!$I$277="NG",エラー判定!$K$277="NG",$M$277="NG",$O$277="NG"))</xm:f>
            <x14:dxf>
              <font>
                <color rgb="FFFF0000"/>
              </font>
              <fill>
                <patternFill>
                  <bgColor rgb="FFFFC7CE"/>
                </patternFill>
              </fill>
            </x14:dxf>
          </x14:cfRule>
          <xm:sqref>O428</xm:sqref>
        </x14:conditionalFormatting>
        <x14:conditionalFormatting xmlns:xm="http://schemas.microsoft.com/office/excel/2006/main">
          <x14:cfRule type="expression" priority="97" id="{AB5A975B-78E2-4E48-B36C-8EE954A56242}">
            <xm:f>AND(反映シート!$G$5=1,OR(エラー判定!$I$279="NG",エラー判定!$K$279="NG",$M$279="NG",$O$279="NG"))</xm:f>
            <x14:dxf>
              <font>
                <color rgb="FFFF0000"/>
              </font>
              <fill>
                <patternFill>
                  <bgColor rgb="FFFFC7CE"/>
                </patternFill>
              </fill>
            </x14:dxf>
          </x14:cfRule>
          <xm:sqref>O430</xm:sqref>
        </x14:conditionalFormatting>
        <x14:conditionalFormatting xmlns:xm="http://schemas.microsoft.com/office/excel/2006/main">
          <x14:cfRule type="expression" priority="96" id="{2553D5EF-948E-4404-9825-DF6EEEF36107}">
            <xm:f>AND(反映シート!$G$5=1,OR(エラー判定!$I$281="NG",エラー判定!$K$281="NG",$M$281="NG",$O$281="NG"))</xm:f>
            <x14:dxf>
              <font>
                <color rgb="FFFF0000"/>
              </font>
              <fill>
                <patternFill>
                  <bgColor rgb="FFFFC7CE"/>
                </patternFill>
              </fill>
            </x14:dxf>
          </x14:cfRule>
          <xm:sqref>O432</xm:sqref>
        </x14:conditionalFormatting>
        <x14:conditionalFormatting xmlns:xm="http://schemas.microsoft.com/office/excel/2006/main">
          <x14:cfRule type="expression" priority="95" id="{4F92A836-A801-4543-8A7D-189BC18DCDD4}">
            <xm:f>AND(反映シート!$G$5=1,OR(エラー判定!$I$283="NG",エラー判定!$K$283="NG",$M$283="NG",$O$283="NG"))</xm:f>
            <x14:dxf>
              <font>
                <color rgb="FFFF0000"/>
              </font>
              <fill>
                <patternFill>
                  <bgColor rgb="FFFFC7CE"/>
                </patternFill>
              </fill>
            </x14:dxf>
          </x14:cfRule>
          <xm:sqref>O434</xm:sqref>
        </x14:conditionalFormatting>
        <x14:conditionalFormatting xmlns:xm="http://schemas.microsoft.com/office/excel/2006/main">
          <x14:cfRule type="expression" priority="94" id="{E99C5490-31AE-4E7E-ACB0-E0D014C43323}">
            <xm:f>AND(反映シート!$G$5=1,OR(エラー判定!$I$285="NG",エラー判定!$K$285="NG",$M$285="NG",$O$285="NG"))</xm:f>
            <x14:dxf>
              <font>
                <color rgb="FFFF0000"/>
              </font>
              <fill>
                <patternFill>
                  <bgColor rgb="FFFFC7CE"/>
                </patternFill>
              </fill>
            </x14:dxf>
          </x14:cfRule>
          <xm:sqref>O436</xm:sqref>
        </x14:conditionalFormatting>
        <x14:conditionalFormatting xmlns:xm="http://schemas.microsoft.com/office/excel/2006/main">
          <x14:cfRule type="expression" priority="93" id="{FC2E89AF-4928-4F5D-88DC-1A0B37602462}">
            <xm:f>AND(反映シート!$G$5=1,OR(エラー判定!$I$287="NG",エラー判定!$K$287="NG",$M$287="NG",$O$287="NG"))</xm:f>
            <x14:dxf>
              <font>
                <color rgb="FFFF0000"/>
              </font>
              <fill>
                <patternFill>
                  <bgColor rgb="FFFFC7CE"/>
                </patternFill>
              </fill>
            </x14:dxf>
          </x14:cfRule>
          <xm:sqref>O438</xm:sqref>
        </x14:conditionalFormatting>
        <x14:conditionalFormatting xmlns:xm="http://schemas.microsoft.com/office/excel/2006/main">
          <x14:cfRule type="expression" priority="92" id="{F2CB4215-9257-4DA8-AECE-51F4276F6461}">
            <xm:f>AND(反映シート!$G$5=1,OR(エラー判定!$I$289="NG",エラー判定!$K$289="NG",$M$289="NG",$O$289="NG"))</xm:f>
            <x14:dxf>
              <font>
                <color rgb="FFFF0000"/>
              </font>
              <fill>
                <patternFill>
                  <bgColor rgb="FFFFC7CE"/>
                </patternFill>
              </fill>
            </x14:dxf>
          </x14:cfRule>
          <xm:sqref>O440</xm:sqref>
        </x14:conditionalFormatting>
        <x14:conditionalFormatting xmlns:xm="http://schemas.microsoft.com/office/excel/2006/main">
          <x14:cfRule type="expression" priority="91" id="{262FFF86-F0E7-4391-A706-EA99B052F424}">
            <xm:f>AND(反映シート!$G$5=1,エラー判定!$Q$263="NG")</xm:f>
            <x14:dxf>
              <font>
                <color rgb="FFFF0000"/>
              </font>
              <fill>
                <patternFill>
                  <bgColor rgb="FFFFC7CE"/>
                </patternFill>
              </fill>
            </x14:dxf>
          </x14:cfRule>
          <xm:sqref>Q414</xm:sqref>
        </x14:conditionalFormatting>
        <x14:conditionalFormatting xmlns:xm="http://schemas.microsoft.com/office/excel/2006/main">
          <x14:cfRule type="expression" priority="90" id="{82C7FF30-3BE4-452E-B935-3175B3865520}">
            <xm:f>AND(反映シート!$G$5=1,エラー判定!$Q$265="NG")</xm:f>
            <x14:dxf>
              <font>
                <color rgb="FFFF0000"/>
              </font>
              <fill>
                <patternFill>
                  <bgColor rgb="FFFFC7CE"/>
                </patternFill>
              </fill>
            </x14:dxf>
          </x14:cfRule>
          <xm:sqref>Q416</xm:sqref>
        </x14:conditionalFormatting>
        <x14:conditionalFormatting xmlns:xm="http://schemas.microsoft.com/office/excel/2006/main">
          <x14:cfRule type="expression" priority="89" id="{E793F97A-75BB-40D7-B8C8-AEED2D92274E}">
            <xm:f>AND(反映シート!$G$5=1,エラー判定!$Q$267="NG")</xm:f>
            <x14:dxf>
              <font>
                <color rgb="FFFF0000"/>
              </font>
              <fill>
                <patternFill>
                  <bgColor rgb="FFFFC7CE"/>
                </patternFill>
              </fill>
            </x14:dxf>
          </x14:cfRule>
          <xm:sqref>Q418</xm:sqref>
        </x14:conditionalFormatting>
        <x14:conditionalFormatting xmlns:xm="http://schemas.microsoft.com/office/excel/2006/main">
          <x14:cfRule type="expression" priority="88" id="{DA80D0ED-B3EA-444F-8467-91C976820F4A}">
            <xm:f>AND(反映シート!$G$5=1,エラー判定!$Q$269="NG")</xm:f>
            <x14:dxf>
              <font>
                <color rgb="FFFF0000"/>
              </font>
              <fill>
                <patternFill>
                  <bgColor rgb="FFFFC7CE"/>
                </patternFill>
              </fill>
            </x14:dxf>
          </x14:cfRule>
          <xm:sqref>Q420</xm:sqref>
        </x14:conditionalFormatting>
        <x14:conditionalFormatting xmlns:xm="http://schemas.microsoft.com/office/excel/2006/main">
          <x14:cfRule type="expression" priority="87" id="{CDE7BBE1-7E06-4651-B2AE-D906E8287CAA}">
            <xm:f>AND(反映シート!$G$5=1,エラー判定!$Q$271="NG")</xm:f>
            <x14:dxf>
              <font>
                <color rgb="FFFF0000"/>
              </font>
              <fill>
                <patternFill>
                  <bgColor rgb="FFFFC7CE"/>
                </patternFill>
              </fill>
            </x14:dxf>
          </x14:cfRule>
          <xm:sqref>Q422</xm:sqref>
        </x14:conditionalFormatting>
        <x14:conditionalFormatting xmlns:xm="http://schemas.microsoft.com/office/excel/2006/main">
          <x14:cfRule type="expression" priority="86" id="{E3AC9C4B-683D-4692-8210-7A8C67538AB7}">
            <xm:f>AND(反映シート!$G$5=1,エラー判定!$Q$273="NG")</xm:f>
            <x14:dxf>
              <font>
                <color rgb="FFFF0000"/>
              </font>
              <fill>
                <patternFill>
                  <bgColor rgb="FFFFC7CE"/>
                </patternFill>
              </fill>
            </x14:dxf>
          </x14:cfRule>
          <xm:sqref>Q424</xm:sqref>
        </x14:conditionalFormatting>
        <x14:conditionalFormatting xmlns:xm="http://schemas.microsoft.com/office/excel/2006/main">
          <x14:cfRule type="expression" priority="85" id="{41B54E23-DD84-4A2A-9BAB-E4678D9F0688}">
            <xm:f>AND(反映シート!$G$5=1,エラー判定!$Q$275="NG")</xm:f>
            <x14:dxf>
              <font>
                <color rgb="FFFF0000"/>
              </font>
              <fill>
                <patternFill>
                  <bgColor rgb="FFFFC7CE"/>
                </patternFill>
              </fill>
            </x14:dxf>
          </x14:cfRule>
          <xm:sqref>Q426</xm:sqref>
        </x14:conditionalFormatting>
        <x14:conditionalFormatting xmlns:xm="http://schemas.microsoft.com/office/excel/2006/main">
          <x14:cfRule type="expression" priority="84" id="{BDCA4DF5-33B4-4360-A44C-9F4556FC2FDF}">
            <xm:f>AND(反映シート!$G$5=1,エラー判定!$Q$277="NG")</xm:f>
            <x14:dxf>
              <font>
                <color rgb="FFFF0000"/>
              </font>
              <fill>
                <patternFill>
                  <bgColor rgb="FFFFC7CE"/>
                </patternFill>
              </fill>
            </x14:dxf>
          </x14:cfRule>
          <xm:sqref>Q428</xm:sqref>
        </x14:conditionalFormatting>
        <x14:conditionalFormatting xmlns:xm="http://schemas.microsoft.com/office/excel/2006/main">
          <x14:cfRule type="expression" priority="83" id="{18042D71-7661-467B-B5EF-8A51A37D23E7}">
            <xm:f>AND(反映シート!$G$5=1,エラー判定!$Q$279="NG")</xm:f>
            <x14:dxf>
              <font>
                <color rgb="FFFF0000"/>
              </font>
              <fill>
                <patternFill>
                  <bgColor rgb="FFFFC7CE"/>
                </patternFill>
              </fill>
            </x14:dxf>
          </x14:cfRule>
          <xm:sqref>Q430</xm:sqref>
        </x14:conditionalFormatting>
        <x14:conditionalFormatting xmlns:xm="http://schemas.microsoft.com/office/excel/2006/main">
          <x14:cfRule type="expression" priority="82" id="{005E811D-9D0D-461E-A59F-D975F5E6A320}">
            <xm:f>AND(反映シート!$G$5=1,エラー判定!$Q$281="NG")</xm:f>
            <x14:dxf>
              <font>
                <color rgb="FFFF0000"/>
              </font>
              <fill>
                <patternFill>
                  <bgColor rgb="FFFFC7CE"/>
                </patternFill>
              </fill>
            </x14:dxf>
          </x14:cfRule>
          <xm:sqref>Q432</xm:sqref>
        </x14:conditionalFormatting>
        <x14:conditionalFormatting xmlns:xm="http://schemas.microsoft.com/office/excel/2006/main">
          <x14:cfRule type="expression" priority="81" id="{8F4F3836-B2A8-4EAD-B796-2B4E2F991076}">
            <xm:f>AND(反映シート!$G$5=1,エラー判定!$Q$283="NG")</xm:f>
            <x14:dxf>
              <font>
                <color rgb="FFFF0000"/>
              </font>
              <fill>
                <patternFill>
                  <bgColor rgb="FFFFC7CE"/>
                </patternFill>
              </fill>
            </x14:dxf>
          </x14:cfRule>
          <xm:sqref>Q434</xm:sqref>
        </x14:conditionalFormatting>
        <x14:conditionalFormatting xmlns:xm="http://schemas.microsoft.com/office/excel/2006/main">
          <x14:cfRule type="expression" priority="80" id="{6DF7CB4E-0330-4766-AD42-224D1D48848E}">
            <xm:f>AND(反映シート!$G$5=1,エラー判定!$Q$285="NG")</xm:f>
            <x14:dxf>
              <font>
                <color rgb="FFFF0000"/>
              </font>
              <fill>
                <patternFill>
                  <bgColor rgb="FFFFC7CE"/>
                </patternFill>
              </fill>
            </x14:dxf>
          </x14:cfRule>
          <xm:sqref>Q436</xm:sqref>
        </x14:conditionalFormatting>
        <x14:conditionalFormatting xmlns:xm="http://schemas.microsoft.com/office/excel/2006/main">
          <x14:cfRule type="expression" priority="79" id="{0EB43247-93CE-420E-930C-490EE9537180}">
            <xm:f>AND(反映シート!$G$5=1,エラー判定!$Q$287="NG")</xm:f>
            <x14:dxf>
              <font>
                <color rgb="FFFF0000"/>
              </font>
              <fill>
                <patternFill>
                  <bgColor rgb="FFFFC7CE"/>
                </patternFill>
              </fill>
            </x14:dxf>
          </x14:cfRule>
          <xm:sqref>Q438</xm:sqref>
        </x14:conditionalFormatting>
        <x14:conditionalFormatting xmlns:xm="http://schemas.microsoft.com/office/excel/2006/main">
          <x14:cfRule type="expression" priority="78" id="{5CB19847-FC62-4922-BAF3-C74A20DC9118}">
            <xm:f>AND(反映シート!$G$5=1,エラー判定!$Q$289="NG")</xm:f>
            <x14:dxf>
              <font>
                <color rgb="FFFF0000"/>
              </font>
              <fill>
                <patternFill>
                  <bgColor rgb="FFFFC7CE"/>
                </patternFill>
              </fill>
            </x14:dxf>
          </x14:cfRule>
          <xm:sqref>Q440</xm:sqref>
        </x14:conditionalFormatting>
        <x14:conditionalFormatting xmlns:xm="http://schemas.microsoft.com/office/excel/2006/main">
          <x14:cfRule type="expression" priority="247" id="{0F6B0322-940E-46C3-AF30-0EB4F65AA035}">
            <xm:f>AND(反映シート!$G$5=1,エラー判定!$C$301="NG")</xm:f>
            <x14:dxf>
              <font>
                <color rgb="FFFF0000"/>
              </font>
              <fill>
                <patternFill>
                  <bgColor rgb="FFFFC7CE"/>
                </patternFill>
              </fill>
            </x14:dxf>
          </x14:cfRule>
          <xm:sqref>C459:D459</xm:sqref>
        </x14:conditionalFormatting>
        <x14:conditionalFormatting xmlns:xm="http://schemas.microsoft.com/office/excel/2006/main">
          <x14:cfRule type="expression" priority="246" id="{880DE6D5-A13B-4723-8A01-AB90505A7CCA}">
            <xm:f>AND(反映シート!$G$5=1,エラー判定!$C$303="NG")</xm:f>
            <x14:dxf>
              <font>
                <color rgb="FFFF0000"/>
              </font>
              <fill>
                <patternFill>
                  <bgColor rgb="FFFFC7CE"/>
                </patternFill>
              </fill>
            </x14:dxf>
          </x14:cfRule>
          <xm:sqref>C461:D461</xm:sqref>
        </x14:conditionalFormatting>
        <x14:conditionalFormatting xmlns:xm="http://schemas.microsoft.com/office/excel/2006/main">
          <x14:cfRule type="expression" priority="245" id="{D9B8A121-CD84-44AD-90E9-14884023871C}">
            <xm:f>AND(反映シート!$G$5=1,エラー判定!$C$305="NG")</xm:f>
            <x14:dxf>
              <font>
                <color rgb="FFFF0000"/>
              </font>
              <fill>
                <patternFill>
                  <bgColor rgb="FFFFC7CE"/>
                </patternFill>
              </fill>
            </x14:dxf>
          </x14:cfRule>
          <xm:sqref>C463:D463</xm:sqref>
        </x14:conditionalFormatting>
        <x14:conditionalFormatting xmlns:xm="http://schemas.microsoft.com/office/excel/2006/main">
          <x14:cfRule type="expression" priority="76" id="{ACBF1AB5-1F1B-4F15-A0CA-F37FD74ECB6A}">
            <xm:f>AND(反映シート!$G$5=1,エラー判定!$C$307="NG")</xm:f>
            <x14:dxf>
              <font>
                <color rgb="FFFF0000"/>
              </font>
              <fill>
                <patternFill>
                  <bgColor rgb="FFFFC7CE"/>
                </patternFill>
              </fill>
            </x14:dxf>
          </x14:cfRule>
          <xm:sqref>C465:D465</xm:sqref>
        </x14:conditionalFormatting>
        <x14:conditionalFormatting xmlns:xm="http://schemas.microsoft.com/office/excel/2006/main">
          <x14:cfRule type="expression" priority="75" id="{A3BAC862-5A2A-481D-A3FE-E4A03EF3DADC}">
            <xm:f>AND(反映シート!$G$5=1,エラー判定!$C$309="NG")</xm:f>
            <x14:dxf>
              <font>
                <color rgb="FFFF0000"/>
              </font>
              <fill>
                <patternFill>
                  <bgColor rgb="FFFFC7CE"/>
                </patternFill>
              </fill>
            </x14:dxf>
          </x14:cfRule>
          <xm:sqref>C467:D467</xm:sqref>
        </x14:conditionalFormatting>
        <x14:conditionalFormatting xmlns:xm="http://schemas.microsoft.com/office/excel/2006/main">
          <x14:cfRule type="expression" priority="73" id="{451A82E4-E2A9-499D-A94F-48876780BE5A}">
            <xm:f>AND(反映シート!$G$5=1,エラー判定!$C$311="NG")</xm:f>
            <x14:dxf>
              <font>
                <color rgb="FFFF0000"/>
              </font>
              <fill>
                <patternFill>
                  <bgColor rgb="FFFFC7CE"/>
                </patternFill>
              </fill>
            </x14:dxf>
          </x14:cfRule>
          <xm:sqref>C469:D469</xm:sqref>
        </x14:conditionalFormatting>
        <x14:conditionalFormatting xmlns:xm="http://schemas.microsoft.com/office/excel/2006/main">
          <x14:cfRule type="expression" priority="72" id="{E29FC4F5-6710-4036-A0AD-EC8C06FDD397}">
            <xm:f>AND(反映シート!$G$5=1,エラー判定!$C$313="NG")</xm:f>
            <x14:dxf>
              <font>
                <color rgb="FFFF0000"/>
              </font>
              <fill>
                <patternFill>
                  <bgColor rgb="FFFFC7CE"/>
                </patternFill>
              </fill>
            </x14:dxf>
          </x14:cfRule>
          <xm:sqref>C471:D471</xm:sqref>
        </x14:conditionalFormatting>
        <x14:conditionalFormatting xmlns:xm="http://schemas.microsoft.com/office/excel/2006/main">
          <x14:cfRule type="expression" priority="71" id="{16768595-894F-4CC9-80BA-93F599FDA7D2}">
            <xm:f>AND(反映シート!$G$5=1,エラー判定!$C$315="NG")</xm:f>
            <x14:dxf>
              <font>
                <color rgb="FFFF0000"/>
              </font>
              <fill>
                <patternFill>
                  <bgColor rgb="FFFFC7CE"/>
                </patternFill>
              </fill>
            </x14:dxf>
          </x14:cfRule>
          <xm:sqref>C473:D473</xm:sqref>
        </x14:conditionalFormatting>
        <x14:conditionalFormatting xmlns:xm="http://schemas.microsoft.com/office/excel/2006/main">
          <x14:cfRule type="expression" priority="70" id="{D6B96A9F-40F3-4922-B510-AB76C7830713}">
            <xm:f>AND(反映シート!$G$5=1,エラー判定!$C$317="NG")</xm:f>
            <x14:dxf>
              <font>
                <color rgb="FFFF0000"/>
              </font>
              <fill>
                <patternFill>
                  <bgColor rgb="FFFFC7CE"/>
                </patternFill>
              </fill>
            </x14:dxf>
          </x14:cfRule>
          <xm:sqref>C475:D475</xm:sqref>
        </x14:conditionalFormatting>
        <x14:conditionalFormatting xmlns:xm="http://schemas.microsoft.com/office/excel/2006/main">
          <x14:cfRule type="expression" priority="69" id="{2F6789B0-4CAB-4F46-9ECA-655FA1EDB458}">
            <xm:f>AND(反映シート!$G$5=1,エラー判定!$C$319="NG")</xm:f>
            <x14:dxf>
              <font>
                <color rgb="FFFF0000"/>
              </font>
              <fill>
                <patternFill>
                  <bgColor rgb="FFFFC7CE"/>
                </patternFill>
              </fill>
            </x14:dxf>
          </x14:cfRule>
          <xm:sqref>C477:D477</xm:sqref>
        </x14:conditionalFormatting>
        <x14:conditionalFormatting xmlns:xm="http://schemas.microsoft.com/office/excel/2006/main">
          <x14:cfRule type="expression" priority="68" id="{DBD3B860-164C-4F2B-98A7-0B227321324C}">
            <xm:f>AND(反映シート!$G$5=1,エラー判定!$C$321="NG")</xm:f>
            <x14:dxf>
              <font>
                <color rgb="FFFF0000"/>
              </font>
              <fill>
                <patternFill>
                  <bgColor rgb="FFFFC7CE"/>
                </patternFill>
              </fill>
            </x14:dxf>
          </x14:cfRule>
          <xm:sqref>C479:D479</xm:sqref>
        </x14:conditionalFormatting>
        <x14:conditionalFormatting xmlns:xm="http://schemas.microsoft.com/office/excel/2006/main">
          <x14:cfRule type="expression" priority="67" id="{64FCC05F-964C-4F0F-B480-B61739BF8F82}">
            <xm:f>AND(反映シート!$G$5=1,エラー判定!$C$323="NG")</xm:f>
            <x14:dxf>
              <font>
                <color rgb="FFFF0000"/>
              </font>
              <fill>
                <patternFill>
                  <bgColor rgb="FFFFC7CE"/>
                </patternFill>
              </fill>
            </x14:dxf>
          </x14:cfRule>
          <xm:sqref>C481:D481</xm:sqref>
        </x14:conditionalFormatting>
        <x14:conditionalFormatting xmlns:xm="http://schemas.microsoft.com/office/excel/2006/main">
          <x14:cfRule type="expression" priority="66" id="{D843E92D-2048-49C0-A136-13AFB65A2AC5}">
            <xm:f>AND(反映シート!$G$5=1,エラー判定!$C$325="NG")</xm:f>
            <x14:dxf>
              <font>
                <color rgb="FFFF0000"/>
              </font>
              <fill>
                <patternFill>
                  <bgColor rgb="FFFFC7CE"/>
                </patternFill>
              </fill>
            </x14:dxf>
          </x14:cfRule>
          <xm:sqref>C483:D483</xm:sqref>
        </x14:conditionalFormatting>
        <x14:conditionalFormatting xmlns:xm="http://schemas.microsoft.com/office/excel/2006/main">
          <x14:cfRule type="expression" priority="65" id="{A19E6055-16CA-4129-B4AA-719E974B4F7A}">
            <xm:f>AND(反映シート!$G$5=1,エラー判定!$C$327="NG")</xm:f>
            <x14:dxf>
              <font>
                <color rgb="FFFF0000"/>
              </font>
              <fill>
                <patternFill>
                  <bgColor rgb="FFFFC7CE"/>
                </patternFill>
              </fill>
            </x14:dxf>
          </x14:cfRule>
          <xm:sqref>C485:D485</xm:sqref>
        </x14:conditionalFormatting>
        <x14:conditionalFormatting xmlns:xm="http://schemas.microsoft.com/office/excel/2006/main">
          <x14:cfRule type="expression" priority="3836" id="{18D44289-6734-4A26-A450-D828E720599B}">
            <xm:f>AND(反映シート!$G$5=1,エラー判定!$E$301="NG")</xm:f>
            <x14:dxf>
              <font>
                <color rgb="FFFF0000"/>
              </font>
              <fill>
                <patternFill>
                  <bgColor rgb="FFFFC7CE"/>
                </patternFill>
              </fill>
            </x14:dxf>
          </x14:cfRule>
          <xm:sqref>F459:G459 I459</xm:sqref>
        </x14:conditionalFormatting>
        <x14:conditionalFormatting xmlns:xm="http://schemas.microsoft.com/office/excel/2006/main">
          <x14:cfRule type="expression" priority="301" id="{3EFCBAC6-967F-48BA-89E9-A6EE2A8D3EEC}">
            <xm:f>AND(反映シート!$G$5=1,エラー判定!$E$303="NG")</xm:f>
            <x14:dxf>
              <font>
                <color rgb="FFFF0000"/>
              </font>
              <fill>
                <patternFill>
                  <bgColor rgb="FFFFC7CE"/>
                </patternFill>
              </fill>
            </x14:dxf>
          </x14:cfRule>
          <xm:sqref>F461:G461 I461</xm:sqref>
        </x14:conditionalFormatting>
        <x14:conditionalFormatting xmlns:xm="http://schemas.microsoft.com/office/excel/2006/main">
          <x14:cfRule type="expression" priority="256" id="{497B76A1-1D89-4D2E-A82C-4FC98620B7D0}">
            <xm:f>AND(反映シート!$G$5=1,エラー判定!$E$305="NG")</xm:f>
            <x14:dxf>
              <font>
                <color rgb="FFFF0000"/>
              </font>
              <fill>
                <patternFill>
                  <bgColor rgb="FFFFC7CE"/>
                </patternFill>
              </fill>
            </x14:dxf>
          </x14:cfRule>
          <xm:sqref>F463:G463 I463</xm:sqref>
        </x14:conditionalFormatting>
        <x14:conditionalFormatting xmlns:xm="http://schemas.microsoft.com/office/excel/2006/main">
          <x14:cfRule type="expression" priority="61" id="{1E78A693-2B7F-4FE8-8E7C-A1C2AEDE6D7A}">
            <xm:f>AND(反映シート!$G$5=1,エラー判定!$E$307="NG")</xm:f>
            <x14:dxf>
              <font>
                <color rgb="FFFF0000"/>
              </font>
              <fill>
                <patternFill>
                  <bgColor rgb="FFFFC7CE"/>
                </patternFill>
              </fill>
            </x14:dxf>
          </x14:cfRule>
          <xm:sqref>F465:G465 I465</xm:sqref>
        </x14:conditionalFormatting>
        <x14:conditionalFormatting xmlns:xm="http://schemas.microsoft.com/office/excel/2006/main">
          <x14:cfRule type="expression" priority="60" id="{BA215D99-3AFD-488B-A7EF-ADF6AE6347A7}">
            <xm:f>AND(反映シート!$G$5=1,エラー判定!$E$309="NG")</xm:f>
            <x14:dxf>
              <font>
                <color rgb="FFFF0000"/>
              </font>
              <fill>
                <patternFill>
                  <bgColor rgb="FFFFC7CE"/>
                </patternFill>
              </fill>
            </x14:dxf>
          </x14:cfRule>
          <xm:sqref>F467:G467 I467</xm:sqref>
        </x14:conditionalFormatting>
        <x14:conditionalFormatting xmlns:xm="http://schemas.microsoft.com/office/excel/2006/main">
          <x14:cfRule type="expression" priority="59" id="{FFF35CAB-E8BD-4D5A-9CAD-2E55DD76E1F9}">
            <xm:f>AND(反映シート!$G$5=1,エラー判定!$E$311="NG")</xm:f>
            <x14:dxf>
              <font>
                <color rgb="FFFF0000"/>
              </font>
              <fill>
                <patternFill>
                  <bgColor rgb="FFFFC7CE"/>
                </patternFill>
              </fill>
            </x14:dxf>
          </x14:cfRule>
          <xm:sqref>F469:G469 I469</xm:sqref>
        </x14:conditionalFormatting>
        <x14:conditionalFormatting xmlns:xm="http://schemas.microsoft.com/office/excel/2006/main">
          <x14:cfRule type="expression" priority="58" id="{99B7A3FE-174F-419C-9535-92AA158F2A44}">
            <xm:f>AND(反映シート!$G$5=1,エラー判定!$E$313="NG")</xm:f>
            <x14:dxf>
              <font>
                <color rgb="FFFF0000"/>
              </font>
              <fill>
                <patternFill>
                  <bgColor rgb="FFFFC7CE"/>
                </patternFill>
              </fill>
            </x14:dxf>
          </x14:cfRule>
          <xm:sqref>F471:G471 I471</xm:sqref>
        </x14:conditionalFormatting>
        <x14:conditionalFormatting xmlns:xm="http://schemas.microsoft.com/office/excel/2006/main">
          <x14:cfRule type="expression" priority="57" id="{ECCCBC63-4933-42E2-9620-C4F3DDFDC46F}">
            <xm:f>AND(反映シート!$G$5=1,エラー判定!$E$315="NG")</xm:f>
            <x14:dxf>
              <font>
                <color rgb="FFFF0000"/>
              </font>
              <fill>
                <patternFill>
                  <bgColor rgb="FFFFC7CE"/>
                </patternFill>
              </fill>
            </x14:dxf>
          </x14:cfRule>
          <xm:sqref>F473:G473 I473</xm:sqref>
        </x14:conditionalFormatting>
        <x14:conditionalFormatting xmlns:xm="http://schemas.microsoft.com/office/excel/2006/main">
          <x14:cfRule type="expression" priority="56" id="{80E6CD49-1CBD-47F4-8745-E03B41BF9BC7}">
            <xm:f>AND(反映シート!$G$5=1,エラー判定!$E$317="NG")</xm:f>
            <x14:dxf>
              <font>
                <color rgb="FFFF0000"/>
              </font>
              <fill>
                <patternFill>
                  <bgColor rgb="FFFFC7CE"/>
                </patternFill>
              </fill>
            </x14:dxf>
          </x14:cfRule>
          <xm:sqref>F475:G475 I475</xm:sqref>
        </x14:conditionalFormatting>
        <x14:conditionalFormatting xmlns:xm="http://schemas.microsoft.com/office/excel/2006/main">
          <x14:cfRule type="expression" priority="55" id="{1A967410-65EB-4CB6-95D2-F830515F1813}">
            <xm:f>AND(反映シート!$G$5=1,エラー判定!$E$319="NG")</xm:f>
            <x14:dxf>
              <font>
                <color rgb="FFFF0000"/>
              </font>
              <fill>
                <patternFill>
                  <bgColor rgb="FFFFC7CE"/>
                </patternFill>
              </fill>
            </x14:dxf>
          </x14:cfRule>
          <xm:sqref>F477:G477 I477</xm:sqref>
        </x14:conditionalFormatting>
        <x14:conditionalFormatting xmlns:xm="http://schemas.microsoft.com/office/excel/2006/main">
          <x14:cfRule type="expression" priority="54" id="{798B2741-79CE-456E-89AD-62E48B0CBFB3}">
            <xm:f>AND(反映シート!$G$5=1,エラー判定!$E$321="NG")</xm:f>
            <x14:dxf>
              <font>
                <color rgb="FFFF0000"/>
              </font>
              <fill>
                <patternFill>
                  <bgColor rgb="FFFFC7CE"/>
                </patternFill>
              </fill>
            </x14:dxf>
          </x14:cfRule>
          <xm:sqref>F479:G479 I479</xm:sqref>
        </x14:conditionalFormatting>
        <x14:conditionalFormatting xmlns:xm="http://schemas.microsoft.com/office/excel/2006/main">
          <x14:cfRule type="expression" priority="53" id="{C6E2E7B8-FF62-479C-AF13-2C509FC8C307}">
            <xm:f>AND(反映シート!$G$5=1,エラー判定!$E$323="NG")</xm:f>
            <x14:dxf>
              <font>
                <color rgb="FFFF0000"/>
              </font>
              <fill>
                <patternFill>
                  <bgColor rgb="FFFFC7CE"/>
                </patternFill>
              </fill>
            </x14:dxf>
          </x14:cfRule>
          <xm:sqref>F481:G481 I481</xm:sqref>
        </x14:conditionalFormatting>
        <x14:conditionalFormatting xmlns:xm="http://schemas.microsoft.com/office/excel/2006/main">
          <x14:cfRule type="expression" priority="52" id="{634F8AC6-CCAC-4C46-82F7-6292BB301108}">
            <xm:f>AND(反映シート!$G$5=1,エラー判定!$E$325="NG")</xm:f>
            <x14:dxf>
              <font>
                <color rgb="FFFF0000"/>
              </font>
              <fill>
                <patternFill>
                  <bgColor rgb="FFFFC7CE"/>
                </patternFill>
              </fill>
            </x14:dxf>
          </x14:cfRule>
          <xm:sqref>F483:G483 I483</xm:sqref>
        </x14:conditionalFormatting>
        <x14:conditionalFormatting xmlns:xm="http://schemas.microsoft.com/office/excel/2006/main">
          <x14:cfRule type="expression" priority="51" id="{7BFD0703-FED2-4D1B-A519-8DFF9BE6D00A}">
            <xm:f>AND(反映シート!$G$5=1,エラー判定!$E$327="NG")</xm:f>
            <x14:dxf>
              <font>
                <color rgb="FFFF0000"/>
              </font>
              <fill>
                <patternFill>
                  <bgColor rgb="FFFFC7CE"/>
                </patternFill>
              </fill>
            </x14:dxf>
          </x14:cfRule>
          <xm:sqref>F485:G485 I485</xm:sqref>
        </x14:conditionalFormatting>
        <x14:conditionalFormatting xmlns:xm="http://schemas.microsoft.com/office/excel/2006/main">
          <x14:cfRule type="expression" priority="50" id="{00912714-FBB2-4266-AC62-B74D1E0F796D}">
            <xm:f>AND(反映シート!$G$5=1,エラー判定!$G$301="NG")</xm:f>
            <x14:dxf>
              <font>
                <color rgb="FFFF0000"/>
              </font>
              <fill>
                <patternFill>
                  <bgColor rgb="FFFFC7CE"/>
                </patternFill>
              </fill>
            </x14:dxf>
          </x14:cfRule>
          <xm:sqref>K459 M459</xm:sqref>
        </x14:conditionalFormatting>
        <x14:conditionalFormatting xmlns:xm="http://schemas.microsoft.com/office/excel/2006/main">
          <x14:cfRule type="expression" priority="49" id="{BFCDD9B6-4763-4B29-BECB-189130BA2E22}">
            <xm:f>AND(反映シート!$G$5=1,エラー判定!$G$303="NG")</xm:f>
            <x14:dxf>
              <font>
                <color rgb="FFFF0000"/>
              </font>
              <fill>
                <patternFill>
                  <bgColor rgb="FFFFC7CE"/>
                </patternFill>
              </fill>
            </x14:dxf>
          </x14:cfRule>
          <xm:sqref>K461 M461</xm:sqref>
        </x14:conditionalFormatting>
        <x14:conditionalFormatting xmlns:xm="http://schemas.microsoft.com/office/excel/2006/main">
          <x14:cfRule type="expression" priority="48" id="{5A372941-DACA-4152-82A0-3DDE1918E7F6}">
            <xm:f>AND(反映シート!$G$5=1,エラー判定!$G$305="NG")</xm:f>
            <x14:dxf>
              <font>
                <color rgb="FFFF0000"/>
              </font>
              <fill>
                <patternFill>
                  <bgColor rgb="FFFFC7CE"/>
                </patternFill>
              </fill>
            </x14:dxf>
          </x14:cfRule>
          <xm:sqref>K463 M463</xm:sqref>
        </x14:conditionalFormatting>
        <x14:conditionalFormatting xmlns:xm="http://schemas.microsoft.com/office/excel/2006/main">
          <x14:cfRule type="expression" priority="47" id="{753A2B0E-573C-4440-93B1-80FED5DC5D2B}">
            <xm:f>AND(反映シート!$G$5=1,エラー判定!$G$307="NG")</xm:f>
            <x14:dxf>
              <font>
                <color rgb="FFFF0000"/>
              </font>
              <fill>
                <patternFill>
                  <bgColor rgb="FFFFC7CE"/>
                </patternFill>
              </fill>
            </x14:dxf>
          </x14:cfRule>
          <xm:sqref>K465 M465</xm:sqref>
        </x14:conditionalFormatting>
        <x14:conditionalFormatting xmlns:xm="http://schemas.microsoft.com/office/excel/2006/main">
          <x14:cfRule type="expression" priority="46" id="{AFF01FCC-1823-45B6-B8EB-6FFDE782CEBF}">
            <xm:f>AND(反映シート!$G$5=1,エラー判定!$G$309="NG")</xm:f>
            <x14:dxf>
              <font>
                <color rgb="FFFF0000"/>
              </font>
              <fill>
                <patternFill>
                  <bgColor rgb="FFFFC7CE"/>
                </patternFill>
              </fill>
            </x14:dxf>
          </x14:cfRule>
          <xm:sqref>K467 M467</xm:sqref>
        </x14:conditionalFormatting>
        <x14:conditionalFormatting xmlns:xm="http://schemas.microsoft.com/office/excel/2006/main">
          <x14:cfRule type="expression" priority="45" id="{EA5D3551-7595-4378-A12E-CB0FC943A26F}">
            <xm:f>AND(反映シート!$G$5=1,エラー判定!$G$311="NG")</xm:f>
            <x14:dxf>
              <font>
                <color rgb="FFFF0000"/>
              </font>
              <fill>
                <patternFill>
                  <bgColor rgb="FFFFC7CE"/>
                </patternFill>
              </fill>
            </x14:dxf>
          </x14:cfRule>
          <xm:sqref>K469 M469</xm:sqref>
        </x14:conditionalFormatting>
        <x14:conditionalFormatting xmlns:xm="http://schemas.microsoft.com/office/excel/2006/main">
          <x14:cfRule type="expression" priority="44" id="{C080A26B-D09F-408E-B473-2E89AE5AACEB}">
            <xm:f>AND(反映シート!$G$5=1,エラー判定!$G$313="NG")</xm:f>
            <x14:dxf>
              <font>
                <color rgb="FFFF0000"/>
              </font>
              <fill>
                <patternFill>
                  <bgColor rgb="FFFFC7CE"/>
                </patternFill>
              </fill>
            </x14:dxf>
          </x14:cfRule>
          <xm:sqref>K471 M471</xm:sqref>
        </x14:conditionalFormatting>
        <x14:conditionalFormatting xmlns:xm="http://schemas.microsoft.com/office/excel/2006/main">
          <x14:cfRule type="expression" priority="43" id="{802632E2-2E07-4E50-9BE7-94DC9830C05A}">
            <xm:f>AND(反映シート!$G$5=1,エラー判定!$G$315="NG")</xm:f>
            <x14:dxf>
              <font>
                <color rgb="FFFF0000"/>
              </font>
              <fill>
                <patternFill>
                  <bgColor rgb="FFFFC7CE"/>
                </patternFill>
              </fill>
            </x14:dxf>
          </x14:cfRule>
          <xm:sqref>K473 M473</xm:sqref>
        </x14:conditionalFormatting>
        <x14:conditionalFormatting xmlns:xm="http://schemas.microsoft.com/office/excel/2006/main">
          <x14:cfRule type="expression" priority="42" id="{8EBE202B-E433-45D3-A51C-DA13334C41A0}">
            <xm:f>AND(反映シート!$G$5=1,エラー判定!$G$317="NG")</xm:f>
            <x14:dxf>
              <font>
                <color rgb="FFFF0000"/>
              </font>
              <fill>
                <patternFill>
                  <bgColor rgb="FFFFC7CE"/>
                </patternFill>
              </fill>
            </x14:dxf>
          </x14:cfRule>
          <xm:sqref>K475 M475</xm:sqref>
        </x14:conditionalFormatting>
        <x14:conditionalFormatting xmlns:xm="http://schemas.microsoft.com/office/excel/2006/main">
          <x14:cfRule type="expression" priority="41" id="{31AA516F-C5C7-4CA1-B89A-4A1656C252EA}">
            <xm:f>AND(反映シート!$G$5=1,エラー判定!$G$319="NG")</xm:f>
            <x14:dxf>
              <font>
                <color rgb="FFFF0000"/>
              </font>
              <fill>
                <patternFill>
                  <bgColor rgb="FFFFC7CE"/>
                </patternFill>
              </fill>
            </x14:dxf>
          </x14:cfRule>
          <xm:sqref>K477 M477</xm:sqref>
        </x14:conditionalFormatting>
        <x14:conditionalFormatting xmlns:xm="http://schemas.microsoft.com/office/excel/2006/main">
          <x14:cfRule type="expression" priority="40" id="{C18540E4-4802-49C7-98BC-280D0CE541D8}">
            <xm:f>AND(反映シート!$G$5=1,エラー判定!$G$321="NG")</xm:f>
            <x14:dxf>
              <font>
                <color rgb="FFFF0000"/>
              </font>
              <fill>
                <patternFill>
                  <bgColor rgb="FFFFC7CE"/>
                </patternFill>
              </fill>
            </x14:dxf>
          </x14:cfRule>
          <xm:sqref>K479 M479</xm:sqref>
        </x14:conditionalFormatting>
        <x14:conditionalFormatting xmlns:xm="http://schemas.microsoft.com/office/excel/2006/main">
          <x14:cfRule type="expression" priority="39" id="{1849E4BB-7A27-489D-8808-F23A91CFF19D}">
            <xm:f>AND(反映シート!$G$5=1,エラー判定!$G$323="NG")</xm:f>
            <x14:dxf>
              <font>
                <color rgb="FFFF0000"/>
              </font>
              <fill>
                <patternFill>
                  <bgColor rgb="FFFFC7CE"/>
                </patternFill>
              </fill>
            </x14:dxf>
          </x14:cfRule>
          <xm:sqref>K481 M481</xm:sqref>
        </x14:conditionalFormatting>
        <x14:conditionalFormatting xmlns:xm="http://schemas.microsoft.com/office/excel/2006/main">
          <x14:cfRule type="expression" priority="38" id="{F17C866F-7490-4568-9F33-D02203B4B8C4}">
            <xm:f>AND(反映シート!$G$5=1,エラー判定!$G$325="NG")</xm:f>
            <x14:dxf>
              <font>
                <color rgb="FFFF0000"/>
              </font>
              <fill>
                <patternFill>
                  <bgColor rgb="FFFFC7CE"/>
                </patternFill>
              </fill>
            </x14:dxf>
          </x14:cfRule>
          <xm:sqref>K483 M483</xm:sqref>
        </x14:conditionalFormatting>
        <x14:conditionalFormatting xmlns:xm="http://schemas.microsoft.com/office/excel/2006/main">
          <x14:cfRule type="expression" priority="37" id="{335D3995-4E8D-4066-BC1A-C3A099AF2DDD}">
            <xm:f>AND(反映シート!$G$5=1,エラー判定!$G$327="NG")</xm:f>
            <x14:dxf>
              <font>
                <color rgb="FFFF0000"/>
              </font>
              <fill>
                <patternFill>
                  <bgColor rgb="FFFFC7CE"/>
                </patternFill>
              </fill>
            </x14:dxf>
          </x14:cfRule>
          <xm:sqref>K485 M485</xm:sqref>
        </x14:conditionalFormatting>
        <x14:conditionalFormatting xmlns:xm="http://schemas.microsoft.com/office/excel/2006/main">
          <x14:cfRule type="expression" priority="36" id="{0185B130-3F5E-4F14-9595-5660635B13BD}">
            <xm:f>AND(反映シート!$G$5=1,OR(エラー判定!$I$301="NG",エラー判定!$K$301="NG",$M$301="NG",$O$301="NG"))</xm:f>
            <x14:dxf>
              <font>
                <color rgb="FFFF0000"/>
              </font>
              <fill>
                <patternFill>
                  <bgColor rgb="FFFFC7CE"/>
                </patternFill>
              </fill>
            </x14:dxf>
          </x14:cfRule>
          <xm:sqref>O459</xm:sqref>
        </x14:conditionalFormatting>
        <x14:conditionalFormatting xmlns:xm="http://schemas.microsoft.com/office/excel/2006/main">
          <x14:cfRule type="expression" priority="35" id="{E55A5938-E89C-48A4-A675-5C20FB7ECF1D}">
            <xm:f>AND(反映シート!$G$5=1,OR(エラー判定!$I$303="NG",エラー判定!$K$303="NG",$M$303="NG",$O$303="NG"))</xm:f>
            <x14:dxf>
              <font>
                <color rgb="FFFF0000"/>
              </font>
              <fill>
                <patternFill>
                  <bgColor rgb="FFFFC7CE"/>
                </patternFill>
              </fill>
            </x14:dxf>
          </x14:cfRule>
          <xm:sqref>O461</xm:sqref>
        </x14:conditionalFormatting>
        <x14:conditionalFormatting xmlns:xm="http://schemas.microsoft.com/office/excel/2006/main">
          <x14:cfRule type="expression" priority="34" id="{70671870-2853-4DE7-A1FF-6D502F780F30}">
            <xm:f>AND(反映シート!$G$5=1,OR(エラー判定!$I$305="NG",エラー判定!$K$305="NG",$M$305="NG",$O$305="NG"))</xm:f>
            <x14:dxf>
              <font>
                <color rgb="FFFF0000"/>
              </font>
              <fill>
                <patternFill>
                  <bgColor rgb="FFFFC7CE"/>
                </patternFill>
              </fill>
            </x14:dxf>
          </x14:cfRule>
          <xm:sqref>O463</xm:sqref>
        </x14:conditionalFormatting>
        <x14:conditionalFormatting xmlns:xm="http://schemas.microsoft.com/office/excel/2006/main">
          <x14:cfRule type="expression" priority="33" id="{0F94D6CA-E0FE-44CC-BC8A-F784F321B4A3}">
            <xm:f>AND(反映シート!$G$5=1,OR(エラー判定!$I$307="NG",エラー判定!$K$307="NG",$M$307="NG",$O$307="NG"))</xm:f>
            <x14:dxf>
              <font>
                <color rgb="FFFF0000"/>
              </font>
              <fill>
                <patternFill>
                  <bgColor rgb="FFFFC7CE"/>
                </patternFill>
              </fill>
            </x14:dxf>
          </x14:cfRule>
          <xm:sqref>O465</xm:sqref>
        </x14:conditionalFormatting>
        <x14:conditionalFormatting xmlns:xm="http://schemas.microsoft.com/office/excel/2006/main">
          <x14:cfRule type="expression" priority="32" id="{3B6587B8-F94D-4F75-8318-BF55E23268D3}">
            <xm:f>AND(反映シート!$G$5=1,OR(エラー判定!$I$309="NG",エラー判定!$K$309="NG",$M$309="NG",$O$309="NG"))</xm:f>
            <x14:dxf>
              <font>
                <color rgb="FFFF0000"/>
              </font>
              <fill>
                <patternFill>
                  <bgColor rgb="FFFFC7CE"/>
                </patternFill>
              </fill>
            </x14:dxf>
          </x14:cfRule>
          <xm:sqref>O467</xm:sqref>
        </x14:conditionalFormatting>
        <x14:conditionalFormatting xmlns:xm="http://schemas.microsoft.com/office/excel/2006/main">
          <x14:cfRule type="expression" priority="31" id="{30F0409E-4447-4314-B969-8678E4E33BAF}">
            <xm:f>AND(反映シート!$G$5=1,OR(エラー判定!$I$311="NG",エラー判定!$K$311="NG",$M$311="NG",$O$311="NG"))</xm:f>
            <x14:dxf>
              <font>
                <color rgb="FFFF0000"/>
              </font>
              <fill>
                <patternFill>
                  <bgColor rgb="FFFFC7CE"/>
                </patternFill>
              </fill>
            </x14:dxf>
          </x14:cfRule>
          <xm:sqref>O469</xm:sqref>
        </x14:conditionalFormatting>
        <x14:conditionalFormatting xmlns:xm="http://schemas.microsoft.com/office/excel/2006/main">
          <x14:cfRule type="expression" priority="30" id="{D8A74C24-E90C-44D0-99CC-AEB61FB81678}">
            <xm:f>AND(反映シート!$G$5=1,OR(エラー判定!$I$313="NG",エラー判定!$K$313="NG",$M$313="NG",$O$313="NG"))</xm:f>
            <x14:dxf>
              <font>
                <color rgb="FFFF0000"/>
              </font>
              <fill>
                <patternFill>
                  <bgColor rgb="FFFFC7CE"/>
                </patternFill>
              </fill>
            </x14:dxf>
          </x14:cfRule>
          <xm:sqref>O471</xm:sqref>
        </x14:conditionalFormatting>
        <x14:conditionalFormatting xmlns:xm="http://schemas.microsoft.com/office/excel/2006/main">
          <x14:cfRule type="expression" priority="29" id="{4427E21D-70D0-4802-8BAC-3CD2EBBBCC64}">
            <xm:f>AND(反映シート!$G$5=1,OR(エラー判定!$I$315="NG",エラー判定!$K$315="NG",$M$315="NG",$O$315="NG"))</xm:f>
            <x14:dxf>
              <font>
                <color rgb="FFFF0000"/>
              </font>
              <fill>
                <patternFill>
                  <bgColor rgb="FFFFC7CE"/>
                </patternFill>
              </fill>
            </x14:dxf>
          </x14:cfRule>
          <xm:sqref>O473</xm:sqref>
        </x14:conditionalFormatting>
        <x14:conditionalFormatting xmlns:xm="http://schemas.microsoft.com/office/excel/2006/main">
          <x14:cfRule type="expression" priority="28" id="{D5588AD1-7BD3-46A5-BD8A-022A157A7A30}">
            <xm:f>AND(反映シート!$G$5=1,OR(エラー判定!$I$317="NG",エラー判定!$K$317="NG",$M$317="NG",$O$317="NG"))</xm:f>
            <x14:dxf>
              <font>
                <color rgb="FFFF0000"/>
              </font>
              <fill>
                <patternFill>
                  <bgColor rgb="FFFFC7CE"/>
                </patternFill>
              </fill>
            </x14:dxf>
          </x14:cfRule>
          <xm:sqref>O475</xm:sqref>
        </x14:conditionalFormatting>
        <x14:conditionalFormatting xmlns:xm="http://schemas.microsoft.com/office/excel/2006/main">
          <x14:cfRule type="expression" priority="27" id="{7350785B-44EE-4B52-995C-AE5E2862D62C}">
            <xm:f>AND(反映シート!$G$5=1,OR(エラー判定!$I$319="NG",エラー判定!$K$319="NG",$M$319="NG",$O$319="NG"))</xm:f>
            <x14:dxf>
              <font>
                <color rgb="FFFF0000"/>
              </font>
              <fill>
                <patternFill>
                  <bgColor rgb="FFFFC7CE"/>
                </patternFill>
              </fill>
            </x14:dxf>
          </x14:cfRule>
          <xm:sqref>O477</xm:sqref>
        </x14:conditionalFormatting>
        <x14:conditionalFormatting xmlns:xm="http://schemas.microsoft.com/office/excel/2006/main">
          <x14:cfRule type="expression" priority="26" id="{C25D41C9-3D0E-4450-BBCE-B000B70D4664}">
            <xm:f>AND(反映シート!$G$5=1,OR(エラー判定!$I$321="NG",エラー判定!$K$321="NG",$M$321="NG",$O$321="NG"))</xm:f>
            <x14:dxf>
              <font>
                <color rgb="FFFF0000"/>
              </font>
              <fill>
                <patternFill>
                  <bgColor rgb="FFFFC7CE"/>
                </patternFill>
              </fill>
            </x14:dxf>
          </x14:cfRule>
          <xm:sqref>O479</xm:sqref>
        </x14:conditionalFormatting>
        <x14:conditionalFormatting xmlns:xm="http://schemas.microsoft.com/office/excel/2006/main">
          <x14:cfRule type="expression" priority="25" id="{DC5174CA-D024-44B1-9125-45A91F70F35A}">
            <xm:f>AND(反映シート!$G$5=1,OR(エラー判定!$I$323="NG",エラー判定!$K$323="NG",$M$323="NG",$O$323="NG"))</xm:f>
            <x14:dxf>
              <font>
                <color rgb="FFFF0000"/>
              </font>
              <fill>
                <patternFill>
                  <bgColor rgb="FFFFC7CE"/>
                </patternFill>
              </fill>
            </x14:dxf>
          </x14:cfRule>
          <xm:sqref>O481</xm:sqref>
        </x14:conditionalFormatting>
        <x14:conditionalFormatting xmlns:xm="http://schemas.microsoft.com/office/excel/2006/main">
          <x14:cfRule type="expression" priority="24" id="{994EA9D1-9076-4866-A13C-3AC0B899E4C8}">
            <xm:f>AND(反映シート!$G$5=1,OR(エラー判定!$I$325="NG",エラー判定!$K$325="NG",$M$325="NG",$O$325="NG"))</xm:f>
            <x14:dxf>
              <font>
                <color rgb="FFFF0000"/>
              </font>
              <fill>
                <patternFill>
                  <bgColor rgb="FFFFC7CE"/>
                </patternFill>
              </fill>
            </x14:dxf>
          </x14:cfRule>
          <xm:sqref>O483</xm:sqref>
        </x14:conditionalFormatting>
        <x14:conditionalFormatting xmlns:xm="http://schemas.microsoft.com/office/excel/2006/main">
          <x14:cfRule type="expression" priority="23" id="{C4F723A0-6716-4FBC-99FF-B09A2D8CD9CC}">
            <xm:f>AND(反映シート!$G$5=1,OR(エラー判定!$I$327="NG",エラー判定!$K$327="NG",$M$327="NG",$O$327="NG"))</xm:f>
            <x14:dxf>
              <font>
                <color rgb="FFFF0000"/>
              </font>
              <fill>
                <patternFill>
                  <bgColor rgb="FFFFC7CE"/>
                </patternFill>
              </fill>
            </x14:dxf>
          </x14:cfRule>
          <xm:sqref>O485</xm:sqref>
        </x14:conditionalFormatting>
        <x14:conditionalFormatting xmlns:xm="http://schemas.microsoft.com/office/excel/2006/main">
          <x14:cfRule type="expression" priority="22" id="{662A16FD-37D5-4294-824E-85C34C684572}">
            <xm:f>AND(反映シート!$G$5=1,エラー判定!$Q$301="NG")</xm:f>
            <x14:dxf>
              <font>
                <color rgb="FFFF0000"/>
              </font>
              <fill>
                <patternFill>
                  <bgColor rgb="FFFFC7CE"/>
                </patternFill>
              </fill>
            </x14:dxf>
          </x14:cfRule>
          <xm:sqref>Q459</xm:sqref>
        </x14:conditionalFormatting>
        <x14:conditionalFormatting xmlns:xm="http://schemas.microsoft.com/office/excel/2006/main">
          <x14:cfRule type="expression" priority="21" id="{61EF7AE7-225D-42D1-8477-F138A2319907}">
            <xm:f>AND(反映シート!$G$5=1,エラー判定!$Q$303="NG")</xm:f>
            <x14:dxf>
              <font>
                <color rgb="FFFF0000"/>
              </font>
              <fill>
                <patternFill>
                  <bgColor rgb="FFFFC7CE"/>
                </patternFill>
              </fill>
            </x14:dxf>
          </x14:cfRule>
          <xm:sqref>Q461</xm:sqref>
        </x14:conditionalFormatting>
        <x14:conditionalFormatting xmlns:xm="http://schemas.microsoft.com/office/excel/2006/main">
          <x14:cfRule type="expression" priority="20" id="{88372BB2-7C13-4D0D-8CC4-6D400B668A59}">
            <xm:f>AND(反映シート!$G$5=1,エラー判定!$Q$305="NG")</xm:f>
            <x14:dxf>
              <font>
                <color rgb="FFFF0000"/>
              </font>
              <fill>
                <patternFill>
                  <bgColor rgb="FFFFC7CE"/>
                </patternFill>
              </fill>
            </x14:dxf>
          </x14:cfRule>
          <xm:sqref>Q463</xm:sqref>
        </x14:conditionalFormatting>
        <x14:conditionalFormatting xmlns:xm="http://schemas.microsoft.com/office/excel/2006/main">
          <x14:cfRule type="expression" priority="19" id="{D9E1F9ED-6B35-40A5-915C-E3E40F6C58F5}">
            <xm:f>AND(反映シート!$G$5=1,エラー判定!$Q$307="NG")</xm:f>
            <x14:dxf>
              <font>
                <color rgb="FFFF0000"/>
              </font>
              <fill>
                <patternFill>
                  <bgColor rgb="FFFFC7CE"/>
                </patternFill>
              </fill>
            </x14:dxf>
          </x14:cfRule>
          <xm:sqref>Q465</xm:sqref>
        </x14:conditionalFormatting>
        <x14:conditionalFormatting xmlns:xm="http://schemas.microsoft.com/office/excel/2006/main">
          <x14:cfRule type="expression" priority="18" id="{C4970B69-0E4F-4869-8621-279F8F189DD0}">
            <xm:f>AND(反映シート!$G$5=1,エラー判定!$Q$309="NG")</xm:f>
            <x14:dxf>
              <font>
                <color rgb="FFFF0000"/>
              </font>
              <fill>
                <patternFill>
                  <bgColor rgb="FFFFC7CE"/>
                </patternFill>
              </fill>
            </x14:dxf>
          </x14:cfRule>
          <xm:sqref>Q467</xm:sqref>
        </x14:conditionalFormatting>
        <x14:conditionalFormatting xmlns:xm="http://schemas.microsoft.com/office/excel/2006/main">
          <x14:cfRule type="expression" priority="17" id="{D7E16A5E-FC95-490D-A15B-FD94DF1DA0EB}">
            <xm:f>AND(反映シート!$G$5=1,エラー判定!$Q$311="NG")</xm:f>
            <x14:dxf>
              <font>
                <color rgb="FFFF0000"/>
              </font>
              <fill>
                <patternFill>
                  <bgColor rgb="FFFFC7CE"/>
                </patternFill>
              </fill>
            </x14:dxf>
          </x14:cfRule>
          <xm:sqref>Q469</xm:sqref>
        </x14:conditionalFormatting>
        <x14:conditionalFormatting xmlns:xm="http://schemas.microsoft.com/office/excel/2006/main">
          <x14:cfRule type="expression" priority="16" id="{96212013-8157-446B-85AE-78B6E4CF13E4}">
            <xm:f>AND(反映シート!$G$5=1,エラー判定!$Q$313="NG")</xm:f>
            <x14:dxf>
              <font>
                <color rgb="FFFF0000"/>
              </font>
              <fill>
                <patternFill>
                  <bgColor rgb="FFFFC7CE"/>
                </patternFill>
              </fill>
            </x14:dxf>
          </x14:cfRule>
          <xm:sqref>Q471</xm:sqref>
        </x14:conditionalFormatting>
        <x14:conditionalFormatting xmlns:xm="http://schemas.microsoft.com/office/excel/2006/main">
          <x14:cfRule type="expression" priority="15" id="{8FC221AB-19B4-4BC3-8AC0-D6FEFF1FA5CF}">
            <xm:f>AND(反映シート!$G$5=1,エラー判定!$Q$315="NG")</xm:f>
            <x14:dxf>
              <font>
                <color rgb="FFFF0000"/>
              </font>
              <fill>
                <patternFill>
                  <bgColor rgb="FFFFC7CE"/>
                </patternFill>
              </fill>
            </x14:dxf>
          </x14:cfRule>
          <xm:sqref>Q473</xm:sqref>
        </x14:conditionalFormatting>
        <x14:conditionalFormatting xmlns:xm="http://schemas.microsoft.com/office/excel/2006/main">
          <x14:cfRule type="expression" priority="14" id="{EB367C26-8E69-46A8-AC2F-02C7C2C8AF60}">
            <xm:f>AND(反映シート!$G$5=1,エラー判定!$Q$317="NG")</xm:f>
            <x14:dxf>
              <font>
                <color rgb="FFFF0000"/>
              </font>
              <fill>
                <patternFill>
                  <bgColor rgb="FFFFC7CE"/>
                </patternFill>
              </fill>
            </x14:dxf>
          </x14:cfRule>
          <xm:sqref>Q475</xm:sqref>
        </x14:conditionalFormatting>
        <x14:conditionalFormatting xmlns:xm="http://schemas.microsoft.com/office/excel/2006/main">
          <x14:cfRule type="expression" priority="13" id="{106E827D-08ED-4C9F-B971-0A3E4FFC59BE}">
            <xm:f>AND(反映シート!$G$5=1,エラー判定!$Q$319="NG")</xm:f>
            <x14:dxf>
              <font>
                <color rgb="FFFF0000"/>
              </font>
              <fill>
                <patternFill>
                  <bgColor rgb="FFFFC7CE"/>
                </patternFill>
              </fill>
            </x14:dxf>
          </x14:cfRule>
          <xm:sqref>Q477</xm:sqref>
        </x14:conditionalFormatting>
        <x14:conditionalFormatting xmlns:xm="http://schemas.microsoft.com/office/excel/2006/main">
          <x14:cfRule type="expression" priority="12" id="{F8282464-7FBB-4D3C-B033-43DD4346E8B8}">
            <xm:f>AND(反映シート!$G$5=1,エラー判定!$Q$321="NG")</xm:f>
            <x14:dxf>
              <font>
                <color rgb="FFFF0000"/>
              </font>
              <fill>
                <patternFill>
                  <bgColor rgb="FFFFC7CE"/>
                </patternFill>
              </fill>
            </x14:dxf>
          </x14:cfRule>
          <xm:sqref>Q479</xm:sqref>
        </x14:conditionalFormatting>
        <x14:conditionalFormatting xmlns:xm="http://schemas.microsoft.com/office/excel/2006/main">
          <x14:cfRule type="expression" priority="11" id="{E4D067BF-1276-4AFF-9549-81BAB350A89E}">
            <xm:f>AND(反映シート!$G$5=1,エラー判定!$Q$323="NG")</xm:f>
            <x14:dxf>
              <font>
                <color rgb="FFFF0000"/>
              </font>
              <fill>
                <patternFill>
                  <bgColor rgb="FFFFC7CE"/>
                </patternFill>
              </fill>
            </x14:dxf>
          </x14:cfRule>
          <xm:sqref>Q481</xm:sqref>
        </x14:conditionalFormatting>
        <x14:conditionalFormatting xmlns:xm="http://schemas.microsoft.com/office/excel/2006/main">
          <x14:cfRule type="expression" priority="10" id="{0B512420-2998-40BE-8798-2F799F4385FA}">
            <xm:f>AND(反映シート!$G$5=1,エラー判定!$Q$325="NG")</xm:f>
            <x14:dxf>
              <font>
                <color rgb="FFFF0000"/>
              </font>
              <fill>
                <patternFill>
                  <bgColor rgb="FFFFC7CE"/>
                </patternFill>
              </fill>
            </x14:dxf>
          </x14:cfRule>
          <xm:sqref>Q483</xm:sqref>
        </x14:conditionalFormatting>
        <x14:conditionalFormatting xmlns:xm="http://schemas.microsoft.com/office/excel/2006/main">
          <x14:cfRule type="expression" priority="9" id="{9AAB20D4-A411-46EA-8161-4E4D169995AA}">
            <xm:f>AND(反映シート!$G$5=1,エラー判定!$Q$327="NG")</xm:f>
            <x14:dxf>
              <font>
                <color rgb="FFFF0000"/>
              </font>
              <fill>
                <patternFill>
                  <bgColor rgb="FFFFC7CE"/>
                </patternFill>
              </fill>
            </x14:dxf>
          </x14:cfRule>
          <xm:sqref>Q485</xm:sqref>
        </x14:conditionalFormatting>
        <x14:conditionalFormatting xmlns:xm="http://schemas.microsoft.com/office/excel/2006/main">
          <x14:cfRule type="expression" priority="300" id="{8863EB54-D470-4465-917A-D92821E15572}">
            <xm:f>AND(反映シート!$G$5=1,エラー判定!$G$107="NG")</xm:f>
            <x14:dxf>
              <font>
                <color rgb="FFFF0000"/>
              </font>
              <fill>
                <patternFill>
                  <bgColor rgb="FFFFC7CE"/>
                </patternFill>
              </fill>
            </x14:dxf>
          </x14:cfRule>
          <xm:sqref>I148 I150</xm:sqref>
        </x14:conditionalFormatting>
        <x14:conditionalFormatting xmlns:xm="http://schemas.microsoft.com/office/excel/2006/main">
          <x14:cfRule type="expression" priority="4" id="{478CA5C9-6D43-4272-9F1C-FCDF529D364B}">
            <xm:f>AND(反映シート!$G$5=1,エラー判定!$E$50="NG")</xm:f>
            <x14:dxf>
              <font>
                <color rgb="FFFF0000"/>
              </font>
              <fill>
                <patternFill>
                  <bgColor rgb="FFFFC7CE"/>
                </patternFill>
              </fill>
            </x14:dxf>
          </x14:cfRule>
          <xm:sqref>G60:N60</xm:sqref>
        </x14:conditionalFormatting>
        <x14:conditionalFormatting xmlns:xm="http://schemas.microsoft.com/office/excel/2006/main">
          <x14:cfRule type="expression" priority="3" id="{94B49901-4B50-4E22-8FE3-98D03A126255}">
            <xm:f>AND(反映シート!$G$5=1,エラー判定!$E$52="NG")</xm:f>
            <x14:dxf>
              <font>
                <color rgb="FFFF0000"/>
              </font>
              <fill>
                <patternFill>
                  <bgColor rgb="FFFFC7CE"/>
                </patternFill>
              </fill>
            </x14:dxf>
          </x14:cfRule>
          <xm:sqref>G62:N62</xm:sqref>
        </x14:conditionalFormatting>
        <x14:conditionalFormatting xmlns:xm="http://schemas.microsoft.com/office/excel/2006/main">
          <x14:cfRule type="expression" priority="2" id="{37546D1A-C8E5-453F-9CF8-9359B525148C}">
            <xm:f>AND(反映シート!$C$120=FALSE,反映シート!$C$122=FALSE,反映シート!$C$124=FALSE,反映シート!$C$126=FALSE,反映シート!$C$128=FALSE)</xm:f>
            <x14:dxf>
              <font>
                <color theme="1" tint="0.499984740745262"/>
              </font>
              <fill>
                <patternFill>
                  <bgColor theme="1" tint="0.499984740745262"/>
                </patternFill>
              </fill>
            </x14:dxf>
          </x14:cfRule>
          <xm:sqref>I270:K270</xm:sqref>
        </x14:conditionalFormatting>
        <x14:conditionalFormatting xmlns:xm="http://schemas.microsoft.com/office/excel/2006/main">
          <x14:cfRule type="expression" priority="7" id="{5F599988-AF48-4685-8803-6D9DD1F27484}">
            <xm:f>AND(反映シート!$G$5=1,エラー判定!$E$295="NG")</xm:f>
            <x14:dxf>
              <font>
                <color rgb="FFFF0000"/>
              </font>
              <fill>
                <patternFill>
                  <bgColor rgb="FFFFC7CE"/>
                </patternFill>
              </fill>
            </x14:dxf>
          </x14:cfRule>
          <xm:sqref>F451:G451</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errorTitle="補助事業者区分エラー" error="補助事業者区分エラーはリストからプルダウンで選択してください。" xr:uid="{00000000-0002-0000-0100-000026000000}">
          <x14:formula1>
            <xm:f>リスト!$B$1:$B$5</xm:f>
          </x14:formula1>
          <xm:sqref>G71:N71</xm:sqref>
        </x14:dataValidation>
        <x14:dataValidation type="list" allowBlank="1" showInputMessage="1" showErrorMessage="1" xr:uid="{00000000-0002-0000-0100-000027000000}">
          <x14:formula1>
            <xm:f>リスト!$C$1:$C$5</xm:f>
          </x14:formula1>
          <xm:sqref>G115:N115</xm:sqref>
        </x14:dataValidation>
        <x14:dataValidation type="custom" imeMode="hiragana" allowBlank="1" showInputMessage="1" showErrorMessage="1" errorTitle="市区町村エラー" error="市区町村のみを入力してください。" xr:uid="{00000000-0002-0000-0100-000028000000}">
          <x14:formula1>
            <xm:f>反映シート!G123=TRUE</xm:f>
          </x14:formula1>
          <xm:sqref>G84:N84</xm:sqref>
        </x14:dataValidation>
        <x14:dataValidation type="list" imeMode="hiragana" allowBlank="1" showInputMessage="1" showErrorMessage="1" errorTitle="E4" error="都道府県はリストからプルダウンで選択してください。" xr:uid="{00000000-0002-0000-0100-000029000000}">
          <x14:formula1>
            <xm:f>リスト!A$1:A$47</xm:f>
          </x14:formula1>
          <xm:sqref>G82</xm:sqref>
        </x14:dataValidation>
        <x14:dataValidation type="custom" imeMode="hiragana" allowBlank="1" showInputMessage="1" showErrorMessage="1" errorTitle="市区町村エラー" error="市区町村のみを入力してください。" xr:uid="{00000000-0002-0000-0100-00002A000000}">
          <x14:formula1>
            <xm:f>反映シート!G43=TRUE</xm:f>
          </x14:formula1>
          <xm:sqref>G41:N41</xm:sqref>
        </x14:dataValidation>
        <x14:dataValidation type="list" imeMode="hiragana" allowBlank="1" showInputMessage="1" showErrorMessage="1" errorTitle="都道府県エラー" error="都道府県はリストからプルダウンで選択してください。" xr:uid="{00000000-0002-0000-0100-00002B000000}">
          <x14:formula1>
            <xm:f>リスト!A$1:A$47</xm:f>
          </x14:formula1>
          <xm:sqref>G39:I39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R114"/>
  <sheetViews>
    <sheetView workbookViewId="0">
      <selection activeCell="B14" sqref="B14:C14"/>
    </sheetView>
  </sheetViews>
  <sheetFormatPr defaultRowHeight="13.5" x14ac:dyDescent="0.15"/>
  <cols>
    <col min="1" max="1" width="0.875" style="219" customWidth="1"/>
    <col min="2" max="2" width="3.625" style="219" customWidth="1"/>
    <col min="3" max="3" width="4.625" style="219" customWidth="1"/>
    <col min="4" max="4" width="1.625" style="219" customWidth="1"/>
    <col min="5" max="5" width="15.625" style="219" customWidth="1"/>
    <col min="6" max="6" width="1.625" style="219" customWidth="1"/>
    <col min="7" max="7" width="15.625" style="219" customWidth="1"/>
    <col min="8" max="8" width="1.625" style="219" customWidth="1"/>
    <col min="9" max="9" width="15.625" style="219" customWidth="1"/>
    <col min="10" max="10" width="1.625" style="219" customWidth="1"/>
    <col min="11" max="11" width="15.625" style="219" customWidth="1"/>
    <col min="12" max="12" width="1.875" style="219" customWidth="1"/>
    <col min="13" max="13" width="15.625" style="219" customWidth="1"/>
    <col min="14" max="14" width="1.875" style="219" customWidth="1"/>
    <col min="15" max="15" width="15.625" style="219" customWidth="1"/>
    <col min="16" max="16" width="1.875" style="219" customWidth="1"/>
    <col min="17" max="17" width="30.25" style="241" customWidth="1"/>
    <col min="18" max="18" width="9" style="239"/>
    <col min="19" max="16384" width="9" style="219"/>
  </cols>
  <sheetData>
    <row r="1" spans="1:18" x14ac:dyDescent="0.15">
      <c r="A1" s="220"/>
      <c r="B1" s="220"/>
      <c r="C1" s="220"/>
      <c r="D1" s="220"/>
      <c r="E1" s="220"/>
      <c r="F1" s="220"/>
      <c r="G1" s="220"/>
      <c r="H1" s="220"/>
      <c r="I1" s="220"/>
      <c r="J1" s="220"/>
      <c r="K1" s="220"/>
      <c r="L1" s="220"/>
      <c r="M1" s="220"/>
      <c r="N1" s="220"/>
      <c r="O1" s="220"/>
      <c r="P1" s="220"/>
      <c r="Q1" s="238">
        <f ca="1">M12</f>
        <v>0</v>
      </c>
      <c r="R1" s="239" t="s">
        <v>655</v>
      </c>
    </row>
    <row r="2" spans="1:18" ht="24" x14ac:dyDescent="0.15">
      <c r="A2" s="220"/>
      <c r="B2" s="290" t="s">
        <v>466</v>
      </c>
      <c r="C2" s="290"/>
      <c r="D2" s="290"/>
      <c r="E2" s="290"/>
      <c r="F2" s="290"/>
      <c r="G2" s="290"/>
      <c r="H2" s="290"/>
      <c r="I2" s="290"/>
      <c r="J2" s="290"/>
      <c r="K2" s="290"/>
      <c r="L2" s="290"/>
      <c r="M2" s="290"/>
      <c r="N2" s="290"/>
      <c r="O2" s="290"/>
      <c r="P2" s="220"/>
    </row>
    <row r="3" spans="1:18" x14ac:dyDescent="0.15">
      <c r="A3" s="220"/>
      <c r="B3" s="220"/>
      <c r="C3" s="220"/>
      <c r="D3" s="220"/>
      <c r="E3" s="220"/>
      <c r="F3" s="220"/>
      <c r="G3" s="220"/>
      <c r="H3" s="220"/>
      <c r="I3" s="220"/>
      <c r="J3" s="220"/>
      <c r="K3" s="220"/>
      <c r="L3" s="220"/>
      <c r="M3" s="220"/>
      <c r="N3" s="220"/>
      <c r="O3" s="220"/>
      <c r="P3" s="220"/>
      <c r="Q3" s="238">
        <f>$E$6*240000</f>
        <v>0</v>
      </c>
      <c r="R3" s="239" t="s">
        <v>656</v>
      </c>
    </row>
    <row r="4" spans="1:18" x14ac:dyDescent="0.15">
      <c r="A4" s="221"/>
      <c r="B4" s="221" t="s">
        <v>467</v>
      </c>
      <c r="C4" s="221"/>
      <c r="D4" s="221"/>
      <c r="E4" s="221"/>
      <c r="F4" s="221"/>
      <c r="G4" s="221"/>
      <c r="H4" s="221"/>
      <c r="I4" s="221"/>
      <c r="J4" s="221"/>
      <c r="K4" s="221"/>
      <c r="L4" s="221"/>
      <c r="M4" s="221"/>
      <c r="N4" s="221"/>
      <c r="O4" s="221"/>
      <c r="P4" s="221"/>
      <c r="Q4" s="238">
        <f ca="1">IFERROR(IF(B14="✔",$E$12*$E$6+$G$12,SUM(INDIRECT("$E$12:$E$"&amp;VLOOKUP($E$6,$B$12:$Q$112,16,FALSE)))+$G$12),0)</f>
        <v>0</v>
      </c>
      <c r="R4" s="239" t="s">
        <v>44</v>
      </c>
    </row>
    <row r="5" spans="1:18" ht="5.0999999999999996" customHeight="1" thickBot="1" x14ac:dyDescent="0.2">
      <c r="A5" s="221"/>
      <c r="B5" s="221"/>
      <c r="C5" s="221"/>
      <c r="D5" s="221"/>
      <c r="E5" s="221"/>
      <c r="F5" s="221"/>
      <c r="G5" s="221"/>
      <c r="H5" s="221"/>
      <c r="I5" s="221"/>
      <c r="J5" s="221"/>
      <c r="K5" s="221"/>
      <c r="L5" s="221"/>
      <c r="M5" s="221"/>
      <c r="N5" s="221"/>
      <c r="O5" s="221"/>
      <c r="P5" s="221"/>
      <c r="Q5" s="238"/>
    </row>
    <row r="6" spans="1:18" ht="14.25" thickBot="1" x14ac:dyDescent="0.2">
      <c r="A6" s="221"/>
      <c r="B6" s="221" t="s">
        <v>468</v>
      </c>
      <c r="C6" s="221"/>
      <c r="D6" s="221"/>
      <c r="E6" s="100">
        <f>入力シート!I152</f>
        <v>0</v>
      </c>
      <c r="F6" s="221"/>
      <c r="G6" s="221" t="s">
        <v>469</v>
      </c>
      <c r="H6" s="221"/>
      <c r="I6" s="221"/>
      <c r="J6" s="221"/>
      <c r="K6" s="221"/>
      <c r="L6" s="221"/>
      <c r="M6" s="328" t="s">
        <v>470</v>
      </c>
      <c r="N6" s="328"/>
      <c r="O6" s="328"/>
      <c r="P6" s="221"/>
      <c r="Q6" s="238">
        <f ca="1">IFERROR(IF(B14="✔",$I$12*$E$6+$K$12,SUM(INDIRECT("$I$12:$I$"&amp;VLOOKUP($E$6,$B$12:$Q$112,16,FALSE)))+$K$12),0)</f>
        <v>0</v>
      </c>
      <c r="R6" s="239" t="s">
        <v>45</v>
      </c>
    </row>
    <row r="7" spans="1:18" ht="5.0999999999999996" customHeight="1" x14ac:dyDescent="0.15">
      <c r="A7" s="221"/>
      <c r="B7" s="221"/>
      <c r="C7" s="221"/>
      <c r="D7" s="221"/>
      <c r="E7" s="221"/>
      <c r="F7" s="221"/>
      <c r="G7" s="221"/>
      <c r="H7" s="221"/>
      <c r="I7" s="221"/>
      <c r="J7" s="221"/>
      <c r="K7" s="221"/>
      <c r="L7" s="221"/>
      <c r="M7" s="221"/>
      <c r="N7" s="221"/>
      <c r="O7" s="221"/>
      <c r="P7" s="221"/>
    </row>
    <row r="8" spans="1:18" ht="13.35" customHeight="1" x14ac:dyDescent="0.15">
      <c r="A8" s="221"/>
      <c r="B8" s="329" t="s">
        <v>471</v>
      </c>
      <c r="C8" s="329"/>
      <c r="D8" s="221"/>
      <c r="E8" s="330" t="s">
        <v>56</v>
      </c>
      <c r="F8" s="330"/>
      <c r="G8" s="330"/>
      <c r="H8" s="330"/>
      <c r="I8" s="330"/>
      <c r="J8" s="330"/>
      <c r="K8" s="330"/>
      <c r="L8" s="330"/>
      <c r="M8" s="330"/>
      <c r="N8" s="221"/>
      <c r="O8" s="330" t="s">
        <v>57</v>
      </c>
      <c r="P8" s="221"/>
    </row>
    <row r="9" spans="1:18" ht="5.0999999999999996" customHeight="1" x14ac:dyDescent="0.15">
      <c r="A9" s="221"/>
      <c r="B9" s="329"/>
      <c r="C9" s="329"/>
      <c r="D9" s="221"/>
      <c r="E9" s="221"/>
      <c r="F9" s="221"/>
      <c r="G9" s="221"/>
      <c r="H9" s="221"/>
      <c r="I9" s="221"/>
      <c r="J9" s="221"/>
      <c r="K9" s="221"/>
      <c r="L9" s="221"/>
      <c r="M9" s="221"/>
      <c r="N9" s="221"/>
      <c r="O9" s="329"/>
      <c r="P9" s="221"/>
    </row>
    <row r="10" spans="1:18" ht="80.099999999999994" customHeight="1" x14ac:dyDescent="0.15">
      <c r="A10" s="221"/>
      <c r="B10" s="329"/>
      <c r="C10" s="329"/>
      <c r="D10" s="223"/>
      <c r="E10" s="102" t="s">
        <v>642</v>
      </c>
      <c r="F10" s="223"/>
      <c r="G10" s="103" t="s">
        <v>643</v>
      </c>
      <c r="H10" s="223"/>
      <c r="I10" s="102" t="s">
        <v>644</v>
      </c>
      <c r="J10" s="101"/>
      <c r="K10" s="103" t="s">
        <v>645</v>
      </c>
      <c r="L10" s="101"/>
      <c r="M10" s="103" t="s">
        <v>657</v>
      </c>
      <c r="N10" s="221"/>
      <c r="O10" s="329"/>
      <c r="P10" s="221"/>
    </row>
    <row r="11" spans="1:18" ht="5.0999999999999996" customHeight="1" thickBot="1" x14ac:dyDescent="0.2">
      <c r="A11" s="221"/>
      <c r="B11" s="221"/>
      <c r="C11" s="221"/>
      <c r="D11" s="221"/>
      <c r="E11" s="221"/>
      <c r="F11" s="222"/>
      <c r="G11" s="221"/>
      <c r="H11" s="221"/>
      <c r="I11" s="221"/>
      <c r="J11" s="222"/>
      <c r="K11" s="221"/>
      <c r="L11" s="221"/>
      <c r="M11" s="221"/>
      <c r="N11" s="221"/>
      <c r="O11" s="221"/>
      <c r="P11" s="221"/>
    </row>
    <row r="12" spans="1:18" ht="14.25" thickBot="1" x14ac:dyDescent="0.2">
      <c r="A12" s="221"/>
      <c r="B12" s="326">
        <v>1</v>
      </c>
      <c r="C12" s="326"/>
      <c r="D12" s="221"/>
      <c r="E12" s="104"/>
      <c r="F12" s="221"/>
      <c r="G12" s="224"/>
      <c r="H12" s="221"/>
      <c r="I12" s="104"/>
      <c r="J12"/>
      <c r="K12" s="104"/>
      <c r="L12"/>
      <c r="M12" s="105">
        <f ca="1">IFERROR(Q4+Q6,0)</f>
        <v>0</v>
      </c>
      <c r="N12" s="221"/>
      <c r="O12" s="106">
        <f ca="1">IFERROR(IF(Q1&gt;Q3,ROUNDDOWN(Q3/2,-3),ROUNDDOWN(Q1/2,-3)),0)</f>
        <v>0</v>
      </c>
      <c r="P12" s="221"/>
      <c r="Q12" s="241">
        <v>12</v>
      </c>
    </row>
    <row r="13" spans="1:18" ht="5.0999999999999996" customHeight="1" thickBot="1" x14ac:dyDescent="0.2">
      <c r="A13" s="221"/>
      <c r="B13" s="221"/>
      <c r="C13" s="221"/>
      <c r="D13" s="221"/>
      <c r="E13" s="221"/>
      <c r="F13" s="222"/>
      <c r="G13" s="221"/>
      <c r="H13" s="221"/>
      <c r="I13" s="221"/>
      <c r="J13" s="222"/>
      <c r="K13" s="221"/>
      <c r="L13" s="221"/>
      <c r="M13" s="221"/>
      <c r="N13" s="221"/>
      <c r="O13" s="221"/>
      <c r="P13" s="221"/>
    </row>
    <row r="14" spans="1:18" ht="14.25" thickBot="1" x14ac:dyDescent="0.2">
      <c r="A14" s="221"/>
      <c r="B14" s="331"/>
      <c r="C14" s="332"/>
      <c r="D14" s="221" t="s">
        <v>472</v>
      </c>
      <c r="E14"/>
      <c r="F14" s="221"/>
      <c r="G14" s="221"/>
      <c r="H14" s="221"/>
      <c r="I14" s="221"/>
      <c r="J14" s="221"/>
      <c r="K14" s="221"/>
      <c r="L14" s="221"/>
      <c r="M14" s="226"/>
      <c r="N14" s="226"/>
      <c r="O14" s="221"/>
      <c r="P14" s="221"/>
    </row>
    <row r="15" spans="1:18" ht="5.0999999999999996" customHeight="1" thickBot="1" x14ac:dyDescent="0.2">
      <c r="A15" s="221"/>
      <c r="B15" s="221"/>
      <c r="C15" s="221"/>
      <c r="D15" s="221"/>
      <c r="E15" s="221"/>
      <c r="F15" s="222"/>
      <c r="G15" s="221"/>
      <c r="H15" s="221"/>
      <c r="I15" s="221"/>
      <c r="J15" s="222"/>
      <c r="K15" s="221"/>
      <c r="L15" s="221"/>
      <c r="M15" s="221"/>
      <c r="N15" s="221"/>
      <c r="O15" s="221"/>
      <c r="P15" s="221"/>
    </row>
    <row r="16" spans="1:18" ht="14.25" thickBot="1" x14ac:dyDescent="0.2">
      <c r="A16" s="221"/>
      <c r="B16" s="327">
        <v>2</v>
      </c>
      <c r="C16" s="327"/>
      <c r="D16" s="221"/>
      <c r="E16" s="104"/>
      <c r="F16" s="222"/>
      <c r="G16" s="225"/>
      <c r="H16" s="221"/>
      <c r="I16" s="104"/>
      <c r="J16" s="222"/>
      <c r="K16" s="225"/>
      <c r="L16" s="221"/>
      <c r="M16" s="240" t="s">
        <v>658</v>
      </c>
      <c r="N16" s="221"/>
      <c r="O16" s="221"/>
      <c r="P16" s="221"/>
      <c r="Q16" s="241">
        <v>16</v>
      </c>
    </row>
    <row r="17" spans="1:17" ht="5.0999999999999996" customHeight="1" thickBot="1" x14ac:dyDescent="0.2">
      <c r="A17" s="221"/>
      <c r="B17" s="221"/>
      <c r="C17" s="221"/>
      <c r="D17" s="221"/>
      <c r="E17" s="221"/>
      <c r="F17" s="222"/>
      <c r="G17" s="221"/>
      <c r="H17" s="221"/>
      <c r="I17" s="221"/>
      <c r="J17" s="222"/>
      <c r="K17" s="221"/>
      <c r="L17" s="221"/>
      <c r="M17" s="221"/>
      <c r="N17" s="221"/>
      <c r="O17" s="221"/>
      <c r="P17" s="221"/>
    </row>
    <row r="18" spans="1:17" ht="14.25" thickBot="1" x14ac:dyDescent="0.2">
      <c r="A18" s="221"/>
      <c r="B18" s="326">
        <v>3</v>
      </c>
      <c r="C18" s="326"/>
      <c r="D18" s="221"/>
      <c r="E18" s="104"/>
      <c r="F18" s="222"/>
      <c r="G18" s="221"/>
      <c r="H18" s="221"/>
      <c r="I18" s="104"/>
      <c r="J18" s="222">
        <f t="shared" ref="J18:J80" si="0">IF($B18&lt;=$E$6,I18,0)</f>
        <v>0</v>
      </c>
      <c r="K18" s="221"/>
      <c r="L18" s="221"/>
      <c r="M18" s="105">
        <f ca="1">IFERROR(IF(M12/E6&gt;240000,240000,M12/E6),0)</f>
        <v>0</v>
      </c>
      <c r="N18" s="221"/>
      <c r="O18" s="221"/>
      <c r="P18" s="221"/>
      <c r="Q18" s="241">
        <v>18</v>
      </c>
    </row>
    <row r="19" spans="1:17" ht="5.0999999999999996" customHeight="1" thickBot="1" x14ac:dyDescent="0.2">
      <c r="A19" s="221"/>
      <c r="B19" s="221"/>
      <c r="C19" s="221"/>
      <c r="D19" s="221"/>
      <c r="E19" s="221"/>
      <c r="F19" s="222"/>
      <c r="G19" s="221"/>
      <c r="H19" s="221"/>
      <c r="I19" s="221"/>
      <c r="J19" s="222"/>
      <c r="K19" s="221"/>
      <c r="L19" s="221"/>
      <c r="M19" s="221"/>
      <c r="N19" s="221"/>
      <c r="O19" s="221"/>
      <c r="P19" s="221"/>
    </row>
    <row r="20" spans="1:17" ht="14.25" thickBot="1" x14ac:dyDescent="0.2">
      <c r="A20" s="221"/>
      <c r="B20" s="327">
        <v>4</v>
      </c>
      <c r="C20" s="327"/>
      <c r="D20" s="221"/>
      <c r="E20" s="104"/>
      <c r="F20" s="222"/>
      <c r="G20" s="221"/>
      <c r="H20" s="221"/>
      <c r="I20" s="104"/>
      <c r="J20" s="222">
        <f t="shared" si="0"/>
        <v>0</v>
      </c>
      <c r="K20" s="221"/>
      <c r="L20" s="221"/>
      <c r="M20" s="221"/>
      <c r="N20" s="221"/>
      <c r="O20" s="221"/>
      <c r="P20" s="221"/>
      <c r="Q20" s="241">
        <v>20</v>
      </c>
    </row>
    <row r="21" spans="1:17" ht="5.0999999999999996" customHeight="1" thickBot="1" x14ac:dyDescent="0.2">
      <c r="A21" s="221"/>
      <c r="B21" s="221"/>
      <c r="C21" s="221"/>
      <c r="D21" s="221"/>
      <c r="E21" s="221"/>
      <c r="F21" s="222"/>
      <c r="G21" s="221"/>
      <c r="H21" s="221"/>
      <c r="I21" s="221"/>
      <c r="J21" s="222"/>
      <c r="K21" s="221"/>
      <c r="L21" s="221"/>
      <c r="M21" s="221"/>
      <c r="N21" s="221"/>
      <c r="O21" s="221"/>
      <c r="P21" s="221"/>
    </row>
    <row r="22" spans="1:17" ht="14.25" thickBot="1" x14ac:dyDescent="0.2">
      <c r="A22" s="221"/>
      <c r="B22" s="326">
        <v>5</v>
      </c>
      <c r="C22" s="326"/>
      <c r="D22" s="221"/>
      <c r="E22" s="104"/>
      <c r="F22" s="222"/>
      <c r="G22" s="221"/>
      <c r="H22" s="221"/>
      <c r="I22" s="104"/>
      <c r="J22" s="222">
        <f t="shared" si="0"/>
        <v>0</v>
      </c>
      <c r="K22" s="221"/>
      <c r="L22" s="221"/>
      <c r="M22" s="221"/>
      <c r="N22" s="221"/>
      <c r="O22" s="221"/>
      <c r="P22" s="221"/>
      <c r="Q22" s="241">
        <v>22</v>
      </c>
    </row>
    <row r="23" spans="1:17" ht="5.0999999999999996" customHeight="1" thickBot="1" x14ac:dyDescent="0.2">
      <c r="A23" s="221"/>
      <c r="B23" s="221"/>
      <c r="C23" s="221"/>
      <c r="D23" s="221"/>
      <c r="E23" s="221"/>
      <c r="F23" s="222"/>
      <c r="G23" s="221"/>
      <c r="H23" s="221"/>
      <c r="I23" s="221"/>
      <c r="J23" s="222"/>
      <c r="K23" s="221"/>
      <c r="L23" s="221"/>
      <c r="M23" s="221"/>
      <c r="N23" s="221"/>
      <c r="O23" s="221"/>
      <c r="P23" s="221"/>
    </row>
    <row r="24" spans="1:17" ht="14.25" thickBot="1" x14ac:dyDescent="0.2">
      <c r="A24" s="221"/>
      <c r="B24" s="327">
        <v>6</v>
      </c>
      <c r="C24" s="327"/>
      <c r="D24" s="221"/>
      <c r="E24" s="104"/>
      <c r="F24" s="222"/>
      <c r="G24" s="221"/>
      <c r="H24" s="221"/>
      <c r="I24" s="104"/>
      <c r="J24" s="222">
        <f t="shared" si="0"/>
        <v>0</v>
      </c>
      <c r="K24" s="221"/>
      <c r="L24" s="221"/>
      <c r="M24" s="221"/>
      <c r="N24" s="221"/>
      <c r="O24" s="221"/>
      <c r="P24" s="221"/>
      <c r="Q24" s="241">
        <v>24</v>
      </c>
    </row>
    <row r="25" spans="1:17" ht="5.0999999999999996" customHeight="1" thickBot="1" x14ac:dyDescent="0.2">
      <c r="A25" s="221"/>
      <c r="B25" s="221"/>
      <c r="C25" s="221"/>
      <c r="D25" s="221"/>
      <c r="E25" s="221"/>
      <c r="F25" s="222"/>
      <c r="G25" s="221"/>
      <c r="H25" s="221"/>
      <c r="I25" s="221"/>
      <c r="J25" s="222"/>
      <c r="K25" s="221"/>
      <c r="L25" s="221"/>
      <c r="M25" s="221"/>
      <c r="N25" s="221"/>
      <c r="O25" s="221"/>
      <c r="P25" s="221"/>
    </row>
    <row r="26" spans="1:17" ht="14.25" thickBot="1" x14ac:dyDescent="0.2">
      <c r="A26" s="221"/>
      <c r="B26" s="326">
        <v>7</v>
      </c>
      <c r="C26" s="326"/>
      <c r="D26" s="221"/>
      <c r="E26" s="104"/>
      <c r="F26" s="222"/>
      <c r="G26" s="221"/>
      <c r="H26" s="221"/>
      <c r="I26" s="104"/>
      <c r="J26" s="222">
        <f>IF($B26&lt;=$E$6,I26,0)</f>
        <v>0</v>
      </c>
      <c r="K26" s="221"/>
      <c r="L26" s="221"/>
      <c r="M26" s="221"/>
      <c r="N26" s="221"/>
      <c r="O26" s="221"/>
      <c r="P26" s="221"/>
      <c r="Q26" s="241">
        <v>26</v>
      </c>
    </row>
    <row r="27" spans="1:17" ht="5.0999999999999996" customHeight="1" thickBot="1" x14ac:dyDescent="0.2">
      <c r="A27" s="221"/>
      <c r="B27" s="221"/>
      <c r="C27" s="221"/>
      <c r="D27" s="221"/>
      <c r="E27" s="221"/>
      <c r="F27" s="222"/>
      <c r="G27" s="221"/>
      <c r="H27" s="221"/>
      <c r="I27" s="221"/>
      <c r="J27" s="222"/>
      <c r="K27" s="221"/>
      <c r="L27" s="221"/>
      <c r="M27" s="221"/>
      <c r="N27" s="221"/>
      <c r="O27" s="221"/>
      <c r="P27" s="221"/>
    </row>
    <row r="28" spans="1:17" ht="14.25" thickBot="1" x14ac:dyDescent="0.2">
      <c r="A28" s="221"/>
      <c r="B28" s="327">
        <v>8</v>
      </c>
      <c r="C28" s="327"/>
      <c r="D28" s="221"/>
      <c r="E28" s="104"/>
      <c r="F28" s="222"/>
      <c r="G28" s="221"/>
      <c r="H28" s="221"/>
      <c r="I28" s="104"/>
      <c r="J28" s="222">
        <f t="shared" si="0"/>
        <v>0</v>
      </c>
      <c r="K28" s="221"/>
      <c r="L28" s="221"/>
      <c r="M28" s="221"/>
      <c r="N28" s="221"/>
      <c r="O28" s="221"/>
      <c r="P28" s="221"/>
      <c r="Q28" s="241">
        <v>28</v>
      </c>
    </row>
    <row r="29" spans="1:17" ht="5.0999999999999996" customHeight="1" thickBot="1" x14ac:dyDescent="0.2">
      <c r="A29" s="221"/>
      <c r="B29" s="221"/>
      <c r="C29" s="221"/>
      <c r="D29" s="221"/>
      <c r="E29" s="221"/>
      <c r="F29" s="222"/>
      <c r="G29" s="221"/>
      <c r="H29" s="221"/>
      <c r="I29" s="221"/>
      <c r="J29" s="222"/>
      <c r="K29" s="221"/>
      <c r="L29" s="221"/>
      <c r="M29" s="221"/>
      <c r="N29" s="221"/>
      <c r="O29" s="221"/>
      <c r="P29" s="221"/>
    </row>
    <row r="30" spans="1:17" ht="14.25" thickBot="1" x14ac:dyDescent="0.2">
      <c r="A30" s="221"/>
      <c r="B30" s="326">
        <v>9</v>
      </c>
      <c r="C30" s="326"/>
      <c r="D30" s="221"/>
      <c r="E30" s="104"/>
      <c r="F30" s="222"/>
      <c r="G30" s="221"/>
      <c r="H30" s="221"/>
      <c r="I30" s="104"/>
      <c r="J30" s="222">
        <f t="shared" si="0"/>
        <v>0</v>
      </c>
      <c r="K30" s="221"/>
      <c r="L30" s="221"/>
      <c r="M30" s="221"/>
      <c r="N30" s="221"/>
      <c r="O30" s="221"/>
      <c r="P30" s="221"/>
      <c r="Q30" s="241">
        <v>30</v>
      </c>
    </row>
    <row r="31" spans="1:17" ht="5.0999999999999996" customHeight="1" thickBot="1" x14ac:dyDescent="0.2">
      <c r="A31" s="221"/>
      <c r="B31" s="221"/>
      <c r="C31" s="221"/>
      <c r="D31" s="221"/>
      <c r="E31" s="221"/>
      <c r="F31" s="222"/>
      <c r="G31" s="221"/>
      <c r="H31" s="221"/>
      <c r="I31" s="221"/>
      <c r="J31" s="222"/>
      <c r="K31" s="221"/>
      <c r="L31" s="221"/>
      <c r="M31" s="221"/>
      <c r="N31" s="221"/>
      <c r="O31" s="221"/>
      <c r="P31" s="221"/>
    </row>
    <row r="32" spans="1:17" ht="14.25" thickBot="1" x14ac:dyDescent="0.2">
      <c r="A32" s="221"/>
      <c r="B32" s="327">
        <v>10</v>
      </c>
      <c r="C32" s="327"/>
      <c r="D32" s="221"/>
      <c r="E32" s="104"/>
      <c r="F32" s="222"/>
      <c r="G32" s="221"/>
      <c r="H32" s="221"/>
      <c r="I32" s="104"/>
      <c r="J32" s="222">
        <f t="shared" si="0"/>
        <v>0</v>
      </c>
      <c r="K32" s="221"/>
      <c r="L32" s="221"/>
      <c r="M32" s="221"/>
      <c r="N32" s="221"/>
      <c r="O32" s="221"/>
      <c r="P32" s="221"/>
      <c r="Q32" s="241">
        <v>32</v>
      </c>
    </row>
    <row r="33" spans="1:17" ht="5.0999999999999996" customHeight="1" thickBot="1" x14ac:dyDescent="0.2">
      <c r="A33" s="221"/>
      <c r="B33" s="221"/>
      <c r="C33" s="221"/>
      <c r="D33" s="221"/>
      <c r="E33" s="221"/>
      <c r="F33" s="222"/>
      <c r="G33" s="221"/>
      <c r="H33" s="221"/>
      <c r="I33" s="221"/>
      <c r="J33" s="222"/>
      <c r="K33" s="221"/>
      <c r="L33" s="221"/>
      <c r="M33" s="221"/>
      <c r="N33" s="221"/>
      <c r="O33" s="221"/>
      <c r="P33" s="221"/>
    </row>
    <row r="34" spans="1:17" ht="14.25" thickBot="1" x14ac:dyDescent="0.2">
      <c r="A34" s="221"/>
      <c r="B34" s="326">
        <v>11</v>
      </c>
      <c r="C34" s="326"/>
      <c r="D34" s="221"/>
      <c r="E34" s="104"/>
      <c r="F34" s="222"/>
      <c r="G34" s="221"/>
      <c r="H34" s="221"/>
      <c r="I34" s="104"/>
      <c r="J34" s="222">
        <f t="shared" si="0"/>
        <v>0</v>
      </c>
      <c r="K34" s="221"/>
      <c r="L34" s="221"/>
      <c r="M34" s="221"/>
      <c r="N34" s="221"/>
      <c r="O34" s="221"/>
      <c r="P34" s="221"/>
      <c r="Q34" s="241">
        <v>34</v>
      </c>
    </row>
    <row r="35" spans="1:17" ht="5.0999999999999996" customHeight="1" thickBot="1" x14ac:dyDescent="0.2">
      <c r="A35" s="221"/>
      <c r="B35" s="221"/>
      <c r="C35" s="221"/>
      <c r="D35" s="221"/>
      <c r="E35" s="221"/>
      <c r="F35" s="222"/>
      <c r="G35" s="221"/>
      <c r="H35" s="221"/>
      <c r="I35" s="221"/>
      <c r="J35" s="222"/>
      <c r="K35" s="221"/>
      <c r="L35" s="221"/>
      <c r="M35" s="221"/>
      <c r="N35" s="221"/>
      <c r="O35" s="221"/>
      <c r="P35" s="221"/>
    </row>
    <row r="36" spans="1:17" ht="14.25" thickBot="1" x14ac:dyDescent="0.2">
      <c r="A36" s="221"/>
      <c r="B36" s="327">
        <v>12</v>
      </c>
      <c r="C36" s="327"/>
      <c r="D36" s="221"/>
      <c r="E36" s="104"/>
      <c r="F36" s="222"/>
      <c r="G36" s="221"/>
      <c r="H36" s="221"/>
      <c r="I36" s="104"/>
      <c r="J36" s="222">
        <f>IF($B36&lt;=$E$6,I36,0)</f>
        <v>0</v>
      </c>
      <c r="K36" s="221"/>
      <c r="L36" s="221"/>
      <c r="M36" s="221"/>
      <c r="N36" s="221"/>
      <c r="O36" s="221"/>
      <c r="P36" s="221"/>
      <c r="Q36" s="241">
        <v>36</v>
      </c>
    </row>
    <row r="37" spans="1:17" ht="5.0999999999999996" customHeight="1" thickBot="1" x14ac:dyDescent="0.2">
      <c r="A37" s="221"/>
      <c r="B37" s="221"/>
      <c r="C37" s="221"/>
      <c r="D37" s="221"/>
      <c r="E37" s="221"/>
      <c r="F37" s="222"/>
      <c r="G37" s="221"/>
      <c r="H37" s="221"/>
      <c r="I37" s="221"/>
      <c r="J37" s="222"/>
      <c r="K37" s="221"/>
      <c r="L37" s="221"/>
      <c r="M37" s="221"/>
      <c r="N37" s="221"/>
      <c r="O37" s="221"/>
      <c r="P37" s="221"/>
    </row>
    <row r="38" spans="1:17" ht="14.25" thickBot="1" x14ac:dyDescent="0.2">
      <c r="A38" s="221"/>
      <c r="B38" s="326">
        <v>13</v>
      </c>
      <c r="C38" s="326"/>
      <c r="D38" s="221"/>
      <c r="E38" s="104"/>
      <c r="F38" s="222"/>
      <c r="G38" s="221"/>
      <c r="H38" s="221"/>
      <c r="I38" s="104"/>
      <c r="J38" s="222">
        <f t="shared" si="0"/>
        <v>0</v>
      </c>
      <c r="K38" s="221"/>
      <c r="L38" s="221"/>
      <c r="M38" s="221"/>
      <c r="N38" s="221"/>
      <c r="O38" s="221"/>
      <c r="P38" s="221"/>
      <c r="Q38" s="241">
        <v>38</v>
      </c>
    </row>
    <row r="39" spans="1:17" ht="5.0999999999999996" customHeight="1" thickBot="1" x14ac:dyDescent="0.2">
      <c r="A39" s="221"/>
      <c r="B39" s="221"/>
      <c r="C39" s="221"/>
      <c r="D39" s="221"/>
      <c r="E39" s="221"/>
      <c r="F39" s="222"/>
      <c r="G39" s="221"/>
      <c r="H39" s="221"/>
      <c r="I39" s="221"/>
      <c r="J39" s="222"/>
      <c r="K39" s="221"/>
      <c r="L39" s="221"/>
      <c r="M39" s="221"/>
      <c r="N39" s="221"/>
      <c r="O39" s="221"/>
      <c r="P39" s="221"/>
    </row>
    <row r="40" spans="1:17" ht="14.25" thickBot="1" x14ac:dyDescent="0.2">
      <c r="A40" s="221"/>
      <c r="B40" s="327">
        <v>14</v>
      </c>
      <c r="C40" s="327"/>
      <c r="D40" s="221"/>
      <c r="E40" s="104"/>
      <c r="F40" s="222"/>
      <c r="G40" s="221"/>
      <c r="H40" s="221"/>
      <c r="I40" s="104"/>
      <c r="J40" s="222">
        <f t="shared" si="0"/>
        <v>0</v>
      </c>
      <c r="K40" s="221"/>
      <c r="L40" s="221"/>
      <c r="M40" s="221"/>
      <c r="N40" s="221"/>
      <c r="O40" s="221"/>
      <c r="P40" s="221"/>
      <c r="Q40" s="241">
        <v>40</v>
      </c>
    </row>
    <row r="41" spans="1:17" ht="5.0999999999999996" customHeight="1" thickBot="1" x14ac:dyDescent="0.2">
      <c r="A41" s="221"/>
      <c r="B41" s="221"/>
      <c r="C41" s="221"/>
      <c r="D41" s="221"/>
      <c r="E41" s="221"/>
      <c r="F41" s="222"/>
      <c r="G41" s="221"/>
      <c r="H41" s="221"/>
      <c r="I41" s="221"/>
      <c r="J41" s="222"/>
      <c r="K41" s="221"/>
      <c r="L41" s="221"/>
      <c r="M41" s="221"/>
      <c r="N41" s="221"/>
      <c r="O41" s="221"/>
      <c r="P41" s="221"/>
    </row>
    <row r="42" spans="1:17" ht="14.25" thickBot="1" x14ac:dyDescent="0.2">
      <c r="A42" s="221"/>
      <c r="B42" s="326">
        <v>15</v>
      </c>
      <c r="C42" s="326"/>
      <c r="D42" s="221"/>
      <c r="E42" s="104"/>
      <c r="F42" s="222"/>
      <c r="G42" s="221"/>
      <c r="H42" s="221"/>
      <c r="I42" s="104"/>
      <c r="J42" s="222">
        <f t="shared" si="0"/>
        <v>0</v>
      </c>
      <c r="K42" s="221"/>
      <c r="L42" s="221"/>
      <c r="M42" s="221"/>
      <c r="N42" s="221"/>
      <c r="O42" s="221"/>
      <c r="P42" s="221"/>
      <c r="Q42" s="241">
        <v>42</v>
      </c>
    </row>
    <row r="43" spans="1:17" ht="5.0999999999999996" customHeight="1" thickBot="1" x14ac:dyDescent="0.2">
      <c r="A43" s="221"/>
      <c r="B43" s="221"/>
      <c r="C43" s="221"/>
      <c r="D43" s="221"/>
      <c r="E43" s="221"/>
      <c r="F43" s="222"/>
      <c r="G43" s="221"/>
      <c r="H43" s="221"/>
      <c r="I43" s="221"/>
      <c r="J43" s="222"/>
      <c r="K43" s="221"/>
      <c r="L43" s="221"/>
      <c r="M43" s="221"/>
      <c r="N43" s="221"/>
      <c r="O43" s="221"/>
      <c r="P43" s="221"/>
    </row>
    <row r="44" spans="1:17" ht="14.25" thickBot="1" x14ac:dyDescent="0.2">
      <c r="A44" s="221"/>
      <c r="B44" s="327">
        <v>16</v>
      </c>
      <c r="C44" s="327"/>
      <c r="D44" s="221"/>
      <c r="E44" s="104"/>
      <c r="F44" s="222"/>
      <c r="G44" s="221"/>
      <c r="H44" s="221"/>
      <c r="I44" s="104"/>
      <c r="J44" s="222">
        <f t="shared" si="0"/>
        <v>0</v>
      </c>
      <c r="K44" s="221"/>
      <c r="L44" s="221"/>
      <c r="M44" s="221"/>
      <c r="N44" s="221"/>
      <c r="O44" s="221"/>
      <c r="P44" s="221"/>
      <c r="Q44" s="241">
        <v>44</v>
      </c>
    </row>
    <row r="45" spans="1:17" ht="5.0999999999999996" customHeight="1" thickBot="1" x14ac:dyDescent="0.2">
      <c r="A45" s="221"/>
      <c r="B45" s="221"/>
      <c r="C45" s="221"/>
      <c r="D45" s="221"/>
      <c r="E45" s="221"/>
      <c r="F45" s="222"/>
      <c r="G45" s="221"/>
      <c r="H45" s="221"/>
      <c r="I45" s="221"/>
      <c r="J45" s="222"/>
      <c r="K45" s="221"/>
      <c r="L45" s="221"/>
      <c r="M45" s="221"/>
      <c r="N45" s="221"/>
      <c r="O45" s="221"/>
      <c r="P45" s="221"/>
    </row>
    <row r="46" spans="1:17" ht="14.25" thickBot="1" x14ac:dyDescent="0.2">
      <c r="A46" s="221"/>
      <c r="B46" s="326">
        <v>17</v>
      </c>
      <c r="C46" s="326"/>
      <c r="D46" s="221"/>
      <c r="E46" s="104"/>
      <c r="F46" s="222"/>
      <c r="G46" s="221"/>
      <c r="H46" s="221"/>
      <c r="I46" s="104"/>
      <c r="J46" s="222">
        <f>IF($B46&lt;=$E$6,I46,0)</f>
        <v>0</v>
      </c>
      <c r="K46" s="221"/>
      <c r="L46" s="221"/>
      <c r="M46" s="221"/>
      <c r="N46" s="221"/>
      <c r="O46" s="221"/>
      <c r="P46" s="221"/>
      <c r="Q46" s="241">
        <v>46</v>
      </c>
    </row>
    <row r="47" spans="1:17" ht="5.0999999999999996" customHeight="1" thickBot="1" x14ac:dyDescent="0.2">
      <c r="A47" s="221"/>
      <c r="B47" s="221"/>
      <c r="C47" s="221"/>
      <c r="D47" s="221"/>
      <c r="E47" s="221"/>
      <c r="F47" s="222"/>
      <c r="G47" s="221"/>
      <c r="H47" s="221"/>
      <c r="I47" s="221"/>
      <c r="J47" s="222"/>
      <c r="K47" s="221"/>
      <c r="L47" s="221"/>
      <c r="M47" s="221"/>
      <c r="N47" s="221"/>
      <c r="O47" s="221"/>
      <c r="P47" s="221"/>
    </row>
    <row r="48" spans="1:17" ht="14.25" thickBot="1" x14ac:dyDescent="0.2">
      <c r="A48" s="221"/>
      <c r="B48" s="327">
        <v>18</v>
      </c>
      <c r="C48" s="327"/>
      <c r="D48" s="221"/>
      <c r="E48" s="104"/>
      <c r="F48" s="222"/>
      <c r="G48" s="221"/>
      <c r="H48" s="221"/>
      <c r="I48" s="104"/>
      <c r="J48" s="222">
        <f t="shared" si="0"/>
        <v>0</v>
      </c>
      <c r="K48" s="221"/>
      <c r="L48" s="221"/>
      <c r="M48" s="221"/>
      <c r="N48" s="221"/>
      <c r="O48" s="221"/>
      <c r="P48" s="221"/>
      <c r="Q48" s="241">
        <v>48</v>
      </c>
    </row>
    <row r="49" spans="1:17" ht="5.0999999999999996" customHeight="1" thickBot="1" x14ac:dyDescent="0.2">
      <c r="A49" s="221"/>
      <c r="B49" s="221"/>
      <c r="C49" s="221"/>
      <c r="D49" s="221"/>
      <c r="E49" s="221"/>
      <c r="F49" s="222"/>
      <c r="G49" s="221"/>
      <c r="H49" s="221"/>
      <c r="I49" s="221"/>
      <c r="J49" s="222"/>
      <c r="K49" s="221"/>
      <c r="L49" s="221"/>
      <c r="M49" s="221"/>
      <c r="N49" s="221"/>
      <c r="O49" s="221"/>
      <c r="P49" s="221"/>
    </row>
    <row r="50" spans="1:17" ht="14.25" thickBot="1" x14ac:dyDescent="0.2">
      <c r="A50" s="221"/>
      <c r="B50" s="326">
        <v>19</v>
      </c>
      <c r="C50" s="326"/>
      <c r="D50" s="221"/>
      <c r="E50" s="104"/>
      <c r="F50" s="222"/>
      <c r="G50" s="221"/>
      <c r="H50" s="221"/>
      <c r="I50" s="104"/>
      <c r="J50" s="222">
        <f t="shared" si="0"/>
        <v>0</v>
      </c>
      <c r="K50" s="221"/>
      <c r="L50" s="221"/>
      <c r="M50" s="221"/>
      <c r="N50" s="221"/>
      <c r="O50" s="221"/>
      <c r="P50" s="221"/>
      <c r="Q50" s="241">
        <v>50</v>
      </c>
    </row>
    <row r="51" spans="1:17" ht="5.0999999999999996" customHeight="1" thickBot="1" x14ac:dyDescent="0.2">
      <c r="A51" s="221"/>
      <c r="B51" s="221"/>
      <c r="C51" s="221"/>
      <c r="D51" s="221"/>
      <c r="E51" s="221"/>
      <c r="F51" s="222"/>
      <c r="G51" s="221"/>
      <c r="H51" s="221"/>
      <c r="I51" s="221"/>
      <c r="J51" s="222"/>
      <c r="K51" s="221"/>
      <c r="L51" s="221"/>
      <c r="M51" s="221"/>
      <c r="N51" s="221"/>
      <c r="O51" s="221"/>
      <c r="P51" s="221"/>
    </row>
    <row r="52" spans="1:17" ht="14.25" thickBot="1" x14ac:dyDescent="0.2">
      <c r="A52" s="221"/>
      <c r="B52" s="327">
        <v>20</v>
      </c>
      <c r="C52" s="327"/>
      <c r="D52" s="221"/>
      <c r="E52" s="104"/>
      <c r="F52" s="222"/>
      <c r="G52" s="221"/>
      <c r="H52" s="221"/>
      <c r="I52" s="104"/>
      <c r="J52" s="222">
        <f t="shared" si="0"/>
        <v>0</v>
      </c>
      <c r="K52" s="221"/>
      <c r="L52" s="221"/>
      <c r="M52" s="221"/>
      <c r="N52" s="221"/>
      <c r="O52" s="221"/>
      <c r="P52" s="221"/>
      <c r="Q52" s="241">
        <v>52</v>
      </c>
    </row>
    <row r="53" spans="1:17" ht="5.0999999999999996" customHeight="1" thickBot="1" x14ac:dyDescent="0.2">
      <c r="A53" s="221"/>
      <c r="B53" s="221"/>
      <c r="C53" s="221"/>
      <c r="D53" s="221"/>
      <c r="E53" s="221"/>
      <c r="F53" s="222"/>
      <c r="G53" s="221"/>
      <c r="H53" s="221"/>
      <c r="I53" s="221"/>
      <c r="J53" s="222"/>
      <c r="K53" s="221"/>
      <c r="L53" s="221"/>
      <c r="M53" s="221"/>
      <c r="N53" s="221"/>
      <c r="O53" s="221"/>
      <c r="P53" s="221"/>
    </row>
    <row r="54" spans="1:17" ht="14.25" thickBot="1" x14ac:dyDescent="0.2">
      <c r="A54" s="221"/>
      <c r="B54" s="326">
        <v>21</v>
      </c>
      <c r="C54" s="326"/>
      <c r="D54" s="221"/>
      <c r="E54" s="104"/>
      <c r="F54" s="222"/>
      <c r="G54" s="221"/>
      <c r="H54" s="221"/>
      <c r="I54" s="104"/>
      <c r="J54" s="222">
        <f t="shared" si="0"/>
        <v>0</v>
      </c>
      <c r="K54" s="221"/>
      <c r="L54" s="221"/>
      <c r="M54" s="221"/>
      <c r="N54" s="221"/>
      <c r="O54" s="221"/>
      <c r="P54" s="221"/>
      <c r="Q54" s="241">
        <v>54</v>
      </c>
    </row>
    <row r="55" spans="1:17" ht="5.0999999999999996" customHeight="1" thickBot="1" x14ac:dyDescent="0.2">
      <c r="A55" s="221"/>
      <c r="B55" s="221"/>
      <c r="C55" s="221"/>
      <c r="D55" s="221"/>
      <c r="E55" s="221"/>
      <c r="F55" s="222"/>
      <c r="G55" s="221"/>
      <c r="H55" s="221"/>
      <c r="I55" s="221"/>
      <c r="J55" s="222"/>
      <c r="K55" s="221"/>
      <c r="L55" s="221"/>
      <c r="M55" s="221"/>
      <c r="N55" s="221"/>
      <c r="O55" s="221"/>
      <c r="P55" s="221"/>
    </row>
    <row r="56" spans="1:17" ht="14.25" thickBot="1" x14ac:dyDescent="0.2">
      <c r="A56" s="221"/>
      <c r="B56" s="327">
        <v>22</v>
      </c>
      <c r="C56" s="327"/>
      <c r="D56" s="221"/>
      <c r="E56" s="104"/>
      <c r="F56" s="222"/>
      <c r="G56" s="221"/>
      <c r="H56" s="221"/>
      <c r="I56" s="104"/>
      <c r="J56" s="222">
        <f>IF($B56&lt;=$E$6,I56,0)</f>
        <v>0</v>
      </c>
      <c r="K56" s="221"/>
      <c r="L56" s="221"/>
      <c r="M56" s="221"/>
      <c r="N56" s="221"/>
      <c r="O56" s="221"/>
      <c r="P56" s="221"/>
      <c r="Q56" s="241">
        <v>56</v>
      </c>
    </row>
    <row r="57" spans="1:17" ht="5.0999999999999996" customHeight="1" thickBot="1" x14ac:dyDescent="0.2">
      <c r="A57" s="221"/>
      <c r="B57" s="221"/>
      <c r="C57" s="221"/>
      <c r="D57" s="221"/>
      <c r="E57" s="221"/>
      <c r="F57" s="222"/>
      <c r="G57" s="221"/>
      <c r="H57" s="221"/>
      <c r="I57" s="221"/>
      <c r="J57" s="222"/>
      <c r="K57" s="221"/>
      <c r="L57" s="221"/>
      <c r="M57" s="221"/>
      <c r="N57" s="221"/>
      <c r="O57" s="221"/>
      <c r="P57" s="221"/>
    </row>
    <row r="58" spans="1:17" ht="14.25" thickBot="1" x14ac:dyDescent="0.2">
      <c r="A58" s="221"/>
      <c r="B58" s="326">
        <v>23</v>
      </c>
      <c r="C58" s="326"/>
      <c r="D58" s="221"/>
      <c r="E58" s="104"/>
      <c r="F58" s="222"/>
      <c r="G58" s="221"/>
      <c r="H58" s="221"/>
      <c r="I58" s="104"/>
      <c r="J58" s="222">
        <f t="shared" si="0"/>
        <v>0</v>
      </c>
      <c r="K58" s="221"/>
      <c r="L58" s="221"/>
      <c r="M58" s="221"/>
      <c r="N58" s="221"/>
      <c r="O58" s="221"/>
      <c r="P58" s="221"/>
      <c r="Q58" s="241">
        <v>58</v>
      </c>
    </row>
    <row r="59" spans="1:17" ht="5.0999999999999996" customHeight="1" thickBot="1" x14ac:dyDescent="0.2">
      <c r="A59" s="221"/>
      <c r="B59" s="221"/>
      <c r="C59" s="221"/>
      <c r="D59" s="221"/>
      <c r="E59" s="221"/>
      <c r="F59" s="222"/>
      <c r="G59" s="221"/>
      <c r="H59" s="221"/>
      <c r="I59" s="221"/>
      <c r="J59" s="222"/>
      <c r="K59" s="221"/>
      <c r="L59" s="221"/>
      <c r="M59" s="221"/>
      <c r="N59" s="221"/>
      <c r="O59" s="221"/>
      <c r="P59" s="221"/>
    </row>
    <row r="60" spans="1:17" ht="14.25" thickBot="1" x14ac:dyDescent="0.2">
      <c r="A60" s="221"/>
      <c r="B60" s="327">
        <v>24</v>
      </c>
      <c r="C60" s="327"/>
      <c r="D60" s="221"/>
      <c r="E60" s="104"/>
      <c r="F60" s="222"/>
      <c r="G60" s="221"/>
      <c r="H60" s="221"/>
      <c r="I60" s="104"/>
      <c r="J60" s="222">
        <f t="shared" si="0"/>
        <v>0</v>
      </c>
      <c r="K60" s="221"/>
      <c r="L60" s="221"/>
      <c r="M60" s="221"/>
      <c r="N60" s="221"/>
      <c r="O60" s="221"/>
      <c r="P60" s="221"/>
      <c r="Q60" s="241">
        <v>60</v>
      </c>
    </row>
    <row r="61" spans="1:17" ht="5.0999999999999996" customHeight="1" thickBot="1" x14ac:dyDescent="0.2">
      <c r="A61" s="221"/>
      <c r="B61" s="221"/>
      <c r="C61" s="221"/>
      <c r="D61" s="221"/>
      <c r="E61" s="221"/>
      <c r="F61" s="222"/>
      <c r="G61" s="221"/>
      <c r="H61" s="221"/>
      <c r="I61" s="221"/>
      <c r="J61" s="222"/>
      <c r="K61" s="221"/>
      <c r="L61" s="221"/>
      <c r="M61" s="221"/>
      <c r="N61" s="221"/>
      <c r="O61" s="221"/>
      <c r="P61" s="221"/>
    </row>
    <row r="62" spans="1:17" ht="14.25" thickBot="1" x14ac:dyDescent="0.2">
      <c r="A62" s="221"/>
      <c r="B62" s="326">
        <v>25</v>
      </c>
      <c r="C62" s="326"/>
      <c r="D62" s="221"/>
      <c r="E62" s="104"/>
      <c r="F62" s="222"/>
      <c r="G62" s="221"/>
      <c r="H62" s="221"/>
      <c r="I62" s="104"/>
      <c r="J62" s="222">
        <f t="shared" si="0"/>
        <v>0</v>
      </c>
      <c r="K62" s="221"/>
      <c r="L62" s="221"/>
      <c r="M62" s="221"/>
      <c r="N62" s="221"/>
      <c r="O62" s="221"/>
      <c r="P62" s="221"/>
      <c r="Q62" s="241">
        <v>62</v>
      </c>
    </row>
    <row r="63" spans="1:17" ht="5.0999999999999996" customHeight="1" thickBot="1" x14ac:dyDescent="0.2">
      <c r="A63" s="221"/>
      <c r="B63" s="221"/>
      <c r="C63" s="221"/>
      <c r="D63" s="221"/>
      <c r="E63" s="221"/>
      <c r="F63" s="222"/>
      <c r="G63" s="221"/>
      <c r="H63" s="221"/>
      <c r="I63" s="221"/>
      <c r="J63" s="222"/>
      <c r="K63" s="221"/>
      <c r="L63" s="221"/>
      <c r="M63" s="221"/>
      <c r="N63" s="221"/>
      <c r="O63" s="221"/>
      <c r="P63" s="221"/>
    </row>
    <row r="64" spans="1:17" ht="14.25" thickBot="1" x14ac:dyDescent="0.2">
      <c r="A64" s="221"/>
      <c r="B64" s="327">
        <v>26</v>
      </c>
      <c r="C64" s="327"/>
      <c r="D64" s="221"/>
      <c r="E64" s="104"/>
      <c r="F64" s="222">
        <f t="shared" ref="F64:F80" si="1">IF($B64&lt;=$E$6,E64,0)</f>
        <v>0</v>
      </c>
      <c r="G64" s="221"/>
      <c r="H64" s="221"/>
      <c r="I64" s="104"/>
      <c r="J64" s="222">
        <f t="shared" si="0"/>
        <v>0</v>
      </c>
      <c r="K64" s="221"/>
      <c r="L64" s="221"/>
      <c r="M64" s="221"/>
      <c r="N64" s="221"/>
      <c r="O64" s="221"/>
      <c r="P64" s="221"/>
      <c r="Q64" s="241">
        <v>64</v>
      </c>
    </row>
    <row r="65" spans="1:17" ht="5.0999999999999996" customHeight="1" thickBot="1" x14ac:dyDescent="0.2">
      <c r="A65" s="221"/>
      <c r="B65" s="221"/>
      <c r="C65" s="221"/>
      <c r="D65" s="221"/>
      <c r="E65" s="221"/>
      <c r="F65" s="222"/>
      <c r="G65" s="221"/>
      <c r="H65" s="221"/>
      <c r="I65" s="221"/>
      <c r="J65" s="222"/>
      <c r="K65" s="221"/>
      <c r="L65" s="221"/>
      <c r="M65" s="221"/>
      <c r="N65" s="221"/>
      <c r="O65" s="221"/>
      <c r="P65" s="221"/>
    </row>
    <row r="66" spans="1:17" ht="14.25" thickBot="1" x14ac:dyDescent="0.2">
      <c r="A66" s="221"/>
      <c r="B66" s="326">
        <v>27</v>
      </c>
      <c r="C66" s="326"/>
      <c r="D66" s="221"/>
      <c r="E66" s="104"/>
      <c r="F66" s="222">
        <f>IF($B66&lt;=$E$6,E66,0)</f>
        <v>0</v>
      </c>
      <c r="G66" s="221"/>
      <c r="H66" s="221"/>
      <c r="I66" s="104"/>
      <c r="J66" s="222">
        <f>IF($B66&lt;=$E$6,I66,0)</f>
        <v>0</v>
      </c>
      <c r="K66" s="221"/>
      <c r="L66" s="221"/>
      <c r="M66" s="221"/>
      <c r="N66" s="221"/>
      <c r="O66" s="221"/>
      <c r="P66" s="221"/>
      <c r="Q66" s="241">
        <v>66</v>
      </c>
    </row>
    <row r="67" spans="1:17" ht="5.0999999999999996" customHeight="1" thickBot="1" x14ac:dyDescent="0.2">
      <c r="A67" s="221"/>
      <c r="B67" s="221"/>
      <c r="C67" s="221"/>
      <c r="D67" s="221"/>
      <c r="E67" s="221"/>
      <c r="F67" s="222"/>
      <c r="G67" s="221"/>
      <c r="H67" s="221"/>
      <c r="I67" s="221"/>
      <c r="J67" s="222"/>
      <c r="K67" s="221"/>
      <c r="L67" s="221"/>
      <c r="M67" s="221"/>
      <c r="N67" s="221"/>
      <c r="O67" s="221"/>
      <c r="P67" s="221"/>
    </row>
    <row r="68" spans="1:17" ht="14.25" thickBot="1" x14ac:dyDescent="0.2">
      <c r="A68" s="221"/>
      <c r="B68" s="327">
        <v>28</v>
      </c>
      <c r="C68" s="327"/>
      <c r="D68" s="221"/>
      <c r="E68" s="104"/>
      <c r="F68" s="222">
        <f t="shared" si="1"/>
        <v>0</v>
      </c>
      <c r="G68" s="221"/>
      <c r="H68" s="221"/>
      <c r="I68" s="104"/>
      <c r="J68" s="222">
        <f t="shared" si="0"/>
        <v>0</v>
      </c>
      <c r="K68" s="221"/>
      <c r="L68" s="221"/>
      <c r="M68" s="221"/>
      <c r="N68" s="221"/>
      <c r="O68" s="221"/>
      <c r="P68" s="221"/>
      <c r="Q68" s="241">
        <v>68</v>
      </c>
    </row>
    <row r="69" spans="1:17" ht="5.0999999999999996" customHeight="1" thickBot="1" x14ac:dyDescent="0.2">
      <c r="A69" s="221"/>
      <c r="B69" s="221"/>
      <c r="C69" s="221"/>
      <c r="D69" s="221"/>
      <c r="E69" s="221"/>
      <c r="F69" s="222"/>
      <c r="G69" s="221"/>
      <c r="H69" s="221"/>
      <c r="I69" s="221"/>
      <c r="J69" s="222"/>
      <c r="K69" s="221"/>
      <c r="L69" s="221"/>
      <c r="M69" s="221"/>
      <c r="N69" s="221"/>
      <c r="O69" s="221"/>
      <c r="P69" s="221"/>
    </row>
    <row r="70" spans="1:17" ht="14.25" thickBot="1" x14ac:dyDescent="0.2">
      <c r="A70" s="221"/>
      <c r="B70" s="326">
        <v>29</v>
      </c>
      <c r="C70" s="326"/>
      <c r="D70" s="221"/>
      <c r="E70" s="104"/>
      <c r="F70" s="222">
        <f t="shared" si="1"/>
        <v>0</v>
      </c>
      <c r="G70" s="221"/>
      <c r="H70" s="221"/>
      <c r="I70" s="104"/>
      <c r="J70" s="222">
        <f t="shared" si="0"/>
        <v>0</v>
      </c>
      <c r="K70" s="221"/>
      <c r="L70" s="221"/>
      <c r="M70" s="221"/>
      <c r="N70" s="221"/>
      <c r="O70" s="221"/>
      <c r="P70" s="221"/>
      <c r="Q70" s="241">
        <v>70</v>
      </c>
    </row>
    <row r="71" spans="1:17" ht="5.0999999999999996" customHeight="1" thickBot="1" x14ac:dyDescent="0.2">
      <c r="A71" s="221"/>
      <c r="B71" s="221"/>
      <c r="C71" s="221"/>
      <c r="D71" s="221"/>
      <c r="E71" s="221"/>
      <c r="F71" s="222"/>
      <c r="G71" s="221"/>
      <c r="H71" s="221"/>
      <c r="I71" s="221"/>
      <c r="J71" s="222"/>
      <c r="K71" s="221"/>
      <c r="L71" s="221"/>
      <c r="M71" s="221"/>
      <c r="N71" s="221"/>
      <c r="O71" s="221"/>
      <c r="P71" s="221"/>
    </row>
    <row r="72" spans="1:17" ht="14.25" thickBot="1" x14ac:dyDescent="0.2">
      <c r="A72" s="221"/>
      <c r="B72" s="327">
        <v>30</v>
      </c>
      <c r="C72" s="327"/>
      <c r="D72" s="221"/>
      <c r="E72" s="104"/>
      <c r="F72" s="222">
        <f t="shared" si="1"/>
        <v>0</v>
      </c>
      <c r="G72" s="221"/>
      <c r="H72" s="221"/>
      <c r="I72" s="104"/>
      <c r="J72" s="222">
        <f t="shared" si="0"/>
        <v>0</v>
      </c>
      <c r="K72" s="221"/>
      <c r="L72" s="221"/>
      <c r="M72" s="221"/>
      <c r="N72" s="221"/>
      <c r="O72" s="221"/>
      <c r="P72" s="221"/>
      <c r="Q72" s="241">
        <v>72</v>
      </c>
    </row>
    <row r="73" spans="1:17" ht="5.0999999999999996" customHeight="1" thickBot="1" x14ac:dyDescent="0.2">
      <c r="A73" s="221"/>
      <c r="B73" s="221"/>
      <c r="C73" s="221"/>
      <c r="D73" s="221"/>
      <c r="E73" s="221"/>
      <c r="F73" s="222"/>
      <c r="G73" s="221"/>
      <c r="H73" s="221"/>
      <c r="I73" s="221"/>
      <c r="J73" s="222"/>
      <c r="K73" s="221"/>
      <c r="L73" s="221"/>
      <c r="M73" s="221"/>
      <c r="N73" s="221"/>
      <c r="O73" s="221"/>
      <c r="P73" s="221"/>
    </row>
    <row r="74" spans="1:17" ht="14.25" thickBot="1" x14ac:dyDescent="0.2">
      <c r="A74" s="221"/>
      <c r="B74" s="326">
        <v>31</v>
      </c>
      <c r="C74" s="326"/>
      <c r="D74" s="221"/>
      <c r="E74" s="104"/>
      <c r="F74" s="222">
        <f t="shared" si="1"/>
        <v>0</v>
      </c>
      <c r="G74" s="221"/>
      <c r="H74" s="221"/>
      <c r="I74" s="104"/>
      <c r="J74" s="222">
        <f t="shared" si="0"/>
        <v>0</v>
      </c>
      <c r="K74" s="221"/>
      <c r="L74" s="221"/>
      <c r="M74" s="221"/>
      <c r="N74" s="221"/>
      <c r="O74" s="221"/>
      <c r="P74" s="221"/>
      <c r="Q74" s="241">
        <v>74</v>
      </c>
    </row>
    <row r="75" spans="1:17" ht="5.0999999999999996" customHeight="1" thickBot="1" x14ac:dyDescent="0.2">
      <c r="A75" s="221"/>
      <c r="B75" s="221"/>
      <c r="C75" s="221"/>
      <c r="D75" s="221"/>
      <c r="E75" s="221"/>
      <c r="F75" s="222"/>
      <c r="G75" s="221"/>
      <c r="H75" s="221"/>
      <c r="I75" s="221"/>
      <c r="J75" s="222"/>
      <c r="K75" s="221"/>
      <c r="L75" s="221"/>
      <c r="M75" s="221"/>
      <c r="N75" s="221"/>
      <c r="O75" s="221"/>
      <c r="P75" s="221"/>
    </row>
    <row r="76" spans="1:17" ht="14.25" thickBot="1" x14ac:dyDescent="0.2">
      <c r="A76" s="221"/>
      <c r="B76" s="327">
        <v>32</v>
      </c>
      <c r="C76" s="327"/>
      <c r="D76" s="221"/>
      <c r="E76" s="104"/>
      <c r="F76" s="222">
        <f>IF($B76&lt;=$E$6,E76,0)</f>
        <v>0</v>
      </c>
      <c r="G76" s="221"/>
      <c r="H76" s="221"/>
      <c r="I76" s="104"/>
      <c r="J76" s="222">
        <f>IF($B76&lt;=$E$6,I76,0)</f>
        <v>0</v>
      </c>
      <c r="K76" s="221"/>
      <c r="L76" s="221"/>
      <c r="M76" s="221"/>
      <c r="N76" s="221"/>
      <c r="O76" s="221"/>
      <c r="P76" s="221"/>
      <c r="Q76" s="241">
        <v>76</v>
      </c>
    </row>
    <row r="77" spans="1:17" ht="5.0999999999999996" customHeight="1" thickBot="1" x14ac:dyDescent="0.2">
      <c r="A77" s="221"/>
      <c r="B77" s="221"/>
      <c r="C77" s="221"/>
      <c r="D77" s="221"/>
      <c r="E77" s="221"/>
      <c r="F77" s="222"/>
      <c r="G77" s="221"/>
      <c r="H77" s="221"/>
      <c r="I77" s="221"/>
      <c r="J77" s="222"/>
      <c r="K77" s="221"/>
      <c r="L77" s="221"/>
      <c r="M77" s="221"/>
      <c r="N77" s="221"/>
      <c r="O77" s="221"/>
      <c r="P77" s="221"/>
    </row>
    <row r="78" spans="1:17" ht="14.25" thickBot="1" x14ac:dyDescent="0.2">
      <c r="A78" s="221"/>
      <c r="B78" s="326">
        <v>33</v>
      </c>
      <c r="C78" s="326"/>
      <c r="D78" s="221"/>
      <c r="E78" s="104"/>
      <c r="F78" s="222">
        <f t="shared" si="1"/>
        <v>0</v>
      </c>
      <c r="G78" s="221"/>
      <c r="H78" s="221"/>
      <c r="I78" s="104"/>
      <c r="J78" s="222">
        <f t="shared" si="0"/>
        <v>0</v>
      </c>
      <c r="K78" s="221"/>
      <c r="L78" s="221"/>
      <c r="M78" s="221"/>
      <c r="N78" s="221"/>
      <c r="O78" s="221"/>
      <c r="P78" s="221"/>
      <c r="Q78" s="241">
        <v>78</v>
      </c>
    </row>
    <row r="79" spans="1:17" ht="5.0999999999999996" customHeight="1" thickBot="1" x14ac:dyDescent="0.2">
      <c r="A79" s="221"/>
      <c r="B79" s="221"/>
      <c r="C79" s="221"/>
      <c r="D79" s="221"/>
      <c r="E79" s="221"/>
      <c r="F79" s="222"/>
      <c r="G79" s="221"/>
      <c r="H79" s="221"/>
      <c r="I79" s="221"/>
      <c r="J79" s="222"/>
      <c r="K79" s="221"/>
      <c r="L79" s="221"/>
      <c r="M79" s="221"/>
      <c r="N79" s="221"/>
      <c r="O79" s="221"/>
      <c r="P79" s="221"/>
    </row>
    <row r="80" spans="1:17" ht="14.25" thickBot="1" x14ac:dyDescent="0.2">
      <c r="A80" s="221"/>
      <c r="B80" s="327">
        <v>34</v>
      </c>
      <c r="C80" s="327"/>
      <c r="D80" s="221"/>
      <c r="E80" s="104"/>
      <c r="F80" s="222">
        <f t="shared" si="1"/>
        <v>0</v>
      </c>
      <c r="G80" s="221"/>
      <c r="H80" s="221"/>
      <c r="I80" s="104"/>
      <c r="J80" s="222">
        <f t="shared" si="0"/>
        <v>0</v>
      </c>
      <c r="K80" s="221"/>
      <c r="L80" s="221"/>
      <c r="M80" s="221"/>
      <c r="N80" s="221"/>
      <c r="O80" s="221"/>
      <c r="P80" s="221"/>
      <c r="Q80" s="241">
        <v>80</v>
      </c>
    </row>
    <row r="81" spans="1:17" ht="5.0999999999999996" customHeight="1" thickBot="1" x14ac:dyDescent="0.2">
      <c r="A81" s="221"/>
      <c r="B81" s="221"/>
      <c r="C81" s="221"/>
      <c r="D81" s="221"/>
      <c r="E81" s="221"/>
      <c r="F81" s="222"/>
      <c r="G81" s="221"/>
      <c r="H81" s="221"/>
      <c r="I81" s="221"/>
      <c r="J81" s="222"/>
      <c r="K81" s="221"/>
      <c r="L81" s="221"/>
      <c r="M81" s="221"/>
      <c r="N81" s="221"/>
      <c r="O81" s="221"/>
      <c r="P81" s="221"/>
    </row>
    <row r="82" spans="1:17" ht="14.25" thickBot="1" x14ac:dyDescent="0.2">
      <c r="A82" s="221"/>
      <c r="B82" s="326">
        <v>35</v>
      </c>
      <c r="C82" s="326"/>
      <c r="D82" s="221"/>
      <c r="E82" s="104"/>
      <c r="F82" s="222">
        <f t="shared" ref="F82:F84" si="2">IF($B82&lt;=$E$6,E82,0)</f>
        <v>0</v>
      </c>
      <c r="G82" s="221"/>
      <c r="H82" s="221"/>
      <c r="I82" s="104"/>
      <c r="J82" s="222">
        <f t="shared" ref="J82:J84" si="3">IF($B82&lt;=$E$6,I82,0)</f>
        <v>0</v>
      </c>
      <c r="K82" s="221"/>
      <c r="L82" s="221"/>
      <c r="M82" s="221"/>
      <c r="N82" s="221"/>
      <c r="O82" s="221"/>
      <c r="P82" s="221"/>
      <c r="Q82" s="241">
        <v>82</v>
      </c>
    </row>
    <row r="83" spans="1:17" ht="5.0999999999999996" customHeight="1" thickBot="1" x14ac:dyDescent="0.2">
      <c r="A83" s="221"/>
      <c r="B83" s="221"/>
      <c r="C83" s="221"/>
      <c r="D83" s="221"/>
      <c r="E83" s="221"/>
      <c r="F83" s="222"/>
      <c r="G83" s="221"/>
      <c r="H83" s="221"/>
      <c r="I83" s="221"/>
      <c r="J83" s="222"/>
      <c r="K83" s="221"/>
      <c r="L83" s="221"/>
      <c r="M83" s="221"/>
      <c r="N83" s="221"/>
      <c r="O83" s="221"/>
      <c r="P83" s="221"/>
    </row>
    <row r="84" spans="1:17" ht="14.25" thickBot="1" x14ac:dyDescent="0.2">
      <c r="A84" s="221"/>
      <c r="B84" s="327">
        <v>36</v>
      </c>
      <c r="C84" s="327"/>
      <c r="D84" s="221"/>
      <c r="E84" s="104"/>
      <c r="F84" s="222">
        <f t="shared" si="2"/>
        <v>0</v>
      </c>
      <c r="G84" s="221"/>
      <c r="H84" s="221"/>
      <c r="I84" s="104"/>
      <c r="J84" s="222">
        <f t="shared" si="3"/>
        <v>0</v>
      </c>
      <c r="K84" s="221"/>
      <c r="L84" s="221"/>
      <c r="M84" s="221"/>
      <c r="N84" s="221"/>
      <c r="O84" s="221"/>
      <c r="P84" s="221"/>
      <c r="Q84" s="241">
        <v>84</v>
      </c>
    </row>
    <row r="85" spans="1:17" ht="5.0999999999999996" customHeight="1" thickBot="1" x14ac:dyDescent="0.2">
      <c r="A85" s="221"/>
      <c r="B85" s="221"/>
      <c r="C85" s="221"/>
      <c r="D85" s="221"/>
      <c r="E85" s="221"/>
      <c r="F85" s="222"/>
      <c r="G85" s="221"/>
      <c r="H85" s="221"/>
      <c r="I85" s="221"/>
      <c r="J85" s="222"/>
      <c r="K85" s="221"/>
      <c r="L85" s="221"/>
      <c r="M85" s="221"/>
      <c r="N85" s="221"/>
      <c r="O85" s="221"/>
      <c r="P85" s="221"/>
    </row>
    <row r="86" spans="1:17" ht="14.25" thickBot="1" x14ac:dyDescent="0.2">
      <c r="A86" s="221"/>
      <c r="B86" s="326">
        <v>37</v>
      </c>
      <c r="C86" s="326"/>
      <c r="D86" s="221"/>
      <c r="E86" s="104"/>
      <c r="F86" s="222">
        <f>IF($B86&lt;=$E$6,E86,0)</f>
        <v>0</v>
      </c>
      <c r="G86" s="221"/>
      <c r="H86" s="221"/>
      <c r="I86" s="104"/>
      <c r="J86" s="222">
        <f>IF($B86&lt;=$E$6,I86,0)</f>
        <v>0</v>
      </c>
      <c r="K86" s="221"/>
      <c r="L86" s="221"/>
      <c r="M86" s="221"/>
      <c r="N86" s="221"/>
      <c r="O86" s="221"/>
      <c r="P86" s="221"/>
      <c r="Q86" s="241">
        <v>86</v>
      </c>
    </row>
    <row r="87" spans="1:17" ht="5.0999999999999996" customHeight="1" thickBot="1" x14ac:dyDescent="0.2">
      <c r="A87" s="221"/>
      <c r="B87" s="221"/>
      <c r="C87" s="221"/>
      <c r="D87" s="221"/>
      <c r="E87" s="221"/>
      <c r="F87" s="222"/>
      <c r="G87" s="221"/>
      <c r="H87" s="221"/>
      <c r="I87" s="221"/>
      <c r="J87" s="222"/>
      <c r="K87" s="221"/>
      <c r="L87" s="221"/>
      <c r="M87" s="221"/>
      <c r="N87" s="221"/>
      <c r="O87" s="221"/>
      <c r="P87" s="221"/>
    </row>
    <row r="88" spans="1:17" ht="14.25" thickBot="1" x14ac:dyDescent="0.2">
      <c r="A88" s="221"/>
      <c r="B88" s="327">
        <v>38</v>
      </c>
      <c r="C88" s="327"/>
      <c r="D88" s="221"/>
      <c r="E88" s="104"/>
      <c r="F88" s="222">
        <f t="shared" ref="F88:F94" si="4">IF($B88&lt;=$E$6,E88,0)</f>
        <v>0</v>
      </c>
      <c r="G88" s="221"/>
      <c r="H88" s="221"/>
      <c r="I88" s="104"/>
      <c r="J88" s="222">
        <f t="shared" ref="J88:J94" si="5">IF($B88&lt;=$E$6,I88,0)</f>
        <v>0</v>
      </c>
      <c r="K88" s="221"/>
      <c r="L88" s="221"/>
      <c r="M88" s="221"/>
      <c r="N88" s="221"/>
      <c r="O88" s="221"/>
      <c r="P88" s="221"/>
      <c r="Q88" s="241">
        <v>88</v>
      </c>
    </row>
    <row r="89" spans="1:17" ht="5.0999999999999996" customHeight="1" thickBot="1" x14ac:dyDescent="0.2">
      <c r="A89" s="221"/>
      <c r="B89" s="221"/>
      <c r="C89" s="221"/>
      <c r="D89" s="221"/>
      <c r="E89" s="221"/>
      <c r="F89" s="222"/>
      <c r="G89" s="221"/>
      <c r="H89" s="221"/>
      <c r="I89" s="221"/>
      <c r="J89" s="222"/>
      <c r="K89" s="221"/>
      <c r="L89" s="221"/>
      <c r="M89" s="221"/>
      <c r="N89" s="221"/>
      <c r="O89" s="221"/>
      <c r="P89" s="221"/>
    </row>
    <row r="90" spans="1:17" ht="14.25" thickBot="1" x14ac:dyDescent="0.2">
      <c r="A90" s="221"/>
      <c r="B90" s="326">
        <v>39</v>
      </c>
      <c r="C90" s="326"/>
      <c r="D90" s="221"/>
      <c r="E90" s="104"/>
      <c r="F90" s="222">
        <f t="shared" si="4"/>
        <v>0</v>
      </c>
      <c r="G90" s="221"/>
      <c r="H90" s="221"/>
      <c r="I90" s="104"/>
      <c r="J90" s="222">
        <f t="shared" si="5"/>
        <v>0</v>
      </c>
      <c r="K90" s="221"/>
      <c r="L90" s="221"/>
      <c r="M90" s="221"/>
      <c r="N90" s="221"/>
      <c r="O90" s="221"/>
      <c r="P90" s="221"/>
      <c r="Q90" s="241">
        <v>90</v>
      </c>
    </row>
    <row r="91" spans="1:17" ht="5.0999999999999996" customHeight="1" thickBot="1" x14ac:dyDescent="0.2">
      <c r="A91" s="221"/>
      <c r="B91" s="221"/>
      <c r="C91" s="221"/>
      <c r="D91" s="221"/>
      <c r="E91" s="221"/>
      <c r="F91" s="222"/>
      <c r="G91" s="221"/>
      <c r="H91" s="221"/>
      <c r="I91" s="221"/>
      <c r="J91" s="222"/>
      <c r="K91" s="221"/>
      <c r="L91" s="221"/>
      <c r="M91" s="221"/>
      <c r="N91" s="221"/>
      <c r="O91" s="221"/>
      <c r="P91" s="221"/>
    </row>
    <row r="92" spans="1:17" ht="14.25" thickBot="1" x14ac:dyDescent="0.2">
      <c r="A92" s="221"/>
      <c r="B92" s="327">
        <v>40</v>
      </c>
      <c r="C92" s="327"/>
      <c r="D92" s="221"/>
      <c r="E92" s="104"/>
      <c r="F92" s="222">
        <f t="shared" si="4"/>
        <v>0</v>
      </c>
      <c r="G92" s="221"/>
      <c r="H92" s="221"/>
      <c r="I92" s="104"/>
      <c r="J92" s="222">
        <f t="shared" si="5"/>
        <v>0</v>
      </c>
      <c r="K92" s="221"/>
      <c r="L92" s="221"/>
      <c r="M92" s="221"/>
      <c r="N92" s="221"/>
      <c r="O92" s="221"/>
      <c r="P92" s="221"/>
      <c r="Q92" s="241">
        <v>92</v>
      </c>
    </row>
    <row r="93" spans="1:17" ht="5.0999999999999996" customHeight="1" thickBot="1" x14ac:dyDescent="0.2">
      <c r="A93" s="221"/>
      <c r="B93" s="221"/>
      <c r="C93" s="221"/>
      <c r="D93" s="221"/>
      <c r="E93" s="221"/>
      <c r="F93" s="222"/>
      <c r="G93" s="221"/>
      <c r="H93" s="221"/>
      <c r="I93" s="221"/>
      <c r="J93" s="222"/>
      <c r="K93" s="221"/>
      <c r="L93" s="221"/>
      <c r="M93" s="221"/>
      <c r="N93" s="221"/>
      <c r="O93" s="221"/>
      <c r="P93" s="221"/>
    </row>
    <row r="94" spans="1:17" ht="14.25" thickBot="1" x14ac:dyDescent="0.2">
      <c r="A94" s="221"/>
      <c r="B94" s="326">
        <v>41</v>
      </c>
      <c r="C94" s="326"/>
      <c r="D94" s="221"/>
      <c r="E94" s="104"/>
      <c r="F94" s="222">
        <f t="shared" si="4"/>
        <v>0</v>
      </c>
      <c r="G94" s="221"/>
      <c r="H94" s="221"/>
      <c r="I94" s="104"/>
      <c r="J94" s="222">
        <f t="shared" si="5"/>
        <v>0</v>
      </c>
      <c r="K94" s="221"/>
      <c r="L94" s="221"/>
      <c r="M94" s="221"/>
      <c r="N94" s="221"/>
      <c r="O94" s="221"/>
      <c r="P94" s="221"/>
      <c r="Q94" s="241">
        <v>94</v>
      </c>
    </row>
    <row r="95" spans="1:17" ht="5.0999999999999996" customHeight="1" thickBot="1" x14ac:dyDescent="0.2">
      <c r="A95" s="221"/>
      <c r="B95" s="221"/>
      <c r="C95" s="221"/>
      <c r="D95" s="221"/>
      <c r="E95" s="221"/>
      <c r="F95" s="222"/>
      <c r="G95" s="221"/>
      <c r="H95" s="221"/>
      <c r="I95" s="221"/>
      <c r="J95" s="222"/>
      <c r="K95" s="221"/>
      <c r="L95" s="221"/>
      <c r="M95" s="221"/>
      <c r="N95" s="221"/>
      <c r="O95" s="221"/>
      <c r="P95" s="221"/>
    </row>
    <row r="96" spans="1:17" ht="14.25" thickBot="1" x14ac:dyDescent="0.2">
      <c r="A96" s="221"/>
      <c r="B96" s="327">
        <v>42</v>
      </c>
      <c r="C96" s="327"/>
      <c r="D96" s="221"/>
      <c r="E96" s="104"/>
      <c r="F96" s="222">
        <f>IF($B96&lt;=$E$6,E96,0)</f>
        <v>0</v>
      </c>
      <c r="G96" s="221"/>
      <c r="H96" s="221"/>
      <c r="I96" s="104"/>
      <c r="J96" s="222">
        <f>IF($B96&lt;=$E$6,I96,0)</f>
        <v>0</v>
      </c>
      <c r="K96" s="221"/>
      <c r="L96" s="221"/>
      <c r="M96" s="221"/>
      <c r="N96" s="221"/>
      <c r="O96" s="221"/>
      <c r="P96" s="221"/>
      <c r="Q96" s="241">
        <v>96</v>
      </c>
    </row>
    <row r="97" spans="1:17" ht="5.0999999999999996" customHeight="1" thickBot="1" x14ac:dyDescent="0.2">
      <c r="A97" s="221"/>
      <c r="B97"/>
      <c r="C97"/>
      <c r="D97" s="221"/>
      <c r="E97"/>
      <c r="F97" s="222"/>
      <c r="G97" s="221"/>
      <c r="H97" s="221"/>
      <c r="I97"/>
      <c r="J97" s="222"/>
      <c r="K97" s="221"/>
      <c r="L97" s="221"/>
      <c r="M97"/>
      <c r="N97" s="221"/>
      <c r="O97" s="221"/>
      <c r="P97" s="221"/>
    </row>
    <row r="98" spans="1:17" ht="14.25" thickBot="1" x14ac:dyDescent="0.2">
      <c r="A98" s="221"/>
      <c r="B98" s="326">
        <v>43</v>
      </c>
      <c r="C98" s="326"/>
      <c r="D98" s="221"/>
      <c r="E98" s="104"/>
      <c r="F98" s="222">
        <f t="shared" ref="F98:F104" si="6">IF($B98&lt;=$E$6,E98,0)</f>
        <v>0</v>
      </c>
      <c r="G98" s="221"/>
      <c r="H98" s="221"/>
      <c r="I98" s="104"/>
      <c r="J98" s="222">
        <f t="shared" ref="J98:J104" si="7">IF($B98&lt;=$E$6,I98,0)</f>
        <v>0</v>
      </c>
      <c r="K98" s="221"/>
      <c r="L98" s="221"/>
      <c r="M98" s="221"/>
      <c r="N98" s="221"/>
      <c r="O98" s="221"/>
      <c r="P98" s="221"/>
      <c r="Q98" s="241">
        <v>98</v>
      </c>
    </row>
    <row r="99" spans="1:17" ht="5.0999999999999996" customHeight="1" thickBot="1" x14ac:dyDescent="0.2">
      <c r="A99" s="221"/>
      <c r="B99" s="221"/>
      <c r="C99" s="221"/>
      <c r="D99" s="221"/>
      <c r="E99" s="221"/>
      <c r="F99" s="222"/>
      <c r="G99" s="221"/>
      <c r="H99" s="221"/>
      <c r="I99" s="221"/>
      <c r="J99" s="222"/>
      <c r="K99" s="221"/>
      <c r="L99" s="221"/>
      <c r="M99" s="221"/>
      <c r="N99" s="221"/>
      <c r="O99" s="221"/>
      <c r="P99" s="221"/>
    </row>
    <row r="100" spans="1:17" ht="14.25" thickBot="1" x14ac:dyDescent="0.2">
      <c r="A100" s="221"/>
      <c r="B100" s="327">
        <v>44</v>
      </c>
      <c r="C100" s="327"/>
      <c r="D100" s="221"/>
      <c r="E100" s="104"/>
      <c r="F100" s="222">
        <f t="shared" si="6"/>
        <v>0</v>
      </c>
      <c r="G100" s="221"/>
      <c r="H100" s="221"/>
      <c r="I100" s="104"/>
      <c r="J100" s="222">
        <f t="shared" si="7"/>
        <v>0</v>
      </c>
      <c r="K100" s="221"/>
      <c r="L100" s="221"/>
      <c r="M100" s="221"/>
      <c r="N100" s="221"/>
      <c r="O100" s="221"/>
      <c r="P100" s="221"/>
      <c r="Q100" s="241">
        <v>100</v>
      </c>
    </row>
    <row r="101" spans="1:17" ht="5.0999999999999996" customHeight="1" thickBot="1" x14ac:dyDescent="0.2">
      <c r="A101" s="221"/>
      <c r="B101" s="221"/>
      <c r="C101" s="221"/>
      <c r="D101" s="221"/>
      <c r="E101" s="221"/>
      <c r="F101" s="222"/>
      <c r="G101" s="221"/>
      <c r="H101" s="221"/>
      <c r="I101" s="221"/>
      <c r="J101" s="222"/>
      <c r="K101" s="221"/>
      <c r="L101" s="221"/>
      <c r="M101" s="221"/>
      <c r="N101" s="221"/>
      <c r="O101" s="221"/>
      <c r="P101" s="221"/>
    </row>
    <row r="102" spans="1:17" ht="14.25" thickBot="1" x14ac:dyDescent="0.2">
      <c r="A102" s="221"/>
      <c r="B102" s="326">
        <v>45</v>
      </c>
      <c r="C102" s="326"/>
      <c r="D102" s="221"/>
      <c r="E102" s="104"/>
      <c r="F102" s="222">
        <f t="shared" si="6"/>
        <v>0</v>
      </c>
      <c r="G102" s="221"/>
      <c r="H102" s="221"/>
      <c r="I102" s="104"/>
      <c r="J102" s="222">
        <f t="shared" si="7"/>
        <v>0</v>
      </c>
      <c r="K102" s="221"/>
      <c r="L102" s="221"/>
      <c r="M102" s="221"/>
      <c r="N102" s="221"/>
      <c r="O102" s="221"/>
      <c r="P102" s="221"/>
      <c r="Q102" s="241">
        <v>102</v>
      </c>
    </row>
    <row r="103" spans="1:17" ht="5.0999999999999996" customHeight="1" thickBot="1" x14ac:dyDescent="0.2">
      <c r="A103" s="221"/>
      <c r="B103"/>
      <c r="C103"/>
      <c r="D103" s="221"/>
      <c r="E103"/>
      <c r="F103" s="222"/>
      <c r="G103" s="221"/>
      <c r="H103" s="221"/>
      <c r="I103"/>
      <c r="J103" s="222"/>
      <c r="K103" s="221"/>
      <c r="L103" s="221"/>
      <c r="M103"/>
      <c r="N103" s="221"/>
      <c r="O103" s="221"/>
      <c r="P103" s="221"/>
    </row>
    <row r="104" spans="1:17" ht="14.25" thickBot="1" x14ac:dyDescent="0.2">
      <c r="A104" s="221"/>
      <c r="B104" s="327">
        <v>46</v>
      </c>
      <c r="C104" s="327"/>
      <c r="D104" s="221"/>
      <c r="E104" s="104"/>
      <c r="F104" s="222">
        <f t="shared" si="6"/>
        <v>0</v>
      </c>
      <c r="G104" s="221"/>
      <c r="H104" s="221"/>
      <c r="I104" s="104"/>
      <c r="J104" s="222">
        <f t="shared" si="7"/>
        <v>0</v>
      </c>
      <c r="K104" s="221"/>
      <c r="L104" s="221"/>
      <c r="M104" s="221"/>
      <c r="N104" s="221"/>
      <c r="O104" s="221"/>
      <c r="P104" s="221"/>
      <c r="Q104" s="241">
        <v>104</v>
      </c>
    </row>
    <row r="105" spans="1:17" ht="5.0999999999999996" customHeight="1" thickBot="1" x14ac:dyDescent="0.2">
      <c r="A105" s="221"/>
      <c r="B105" s="221"/>
      <c r="C105" s="221"/>
      <c r="D105" s="221"/>
      <c r="E105" s="221"/>
      <c r="F105" s="222"/>
      <c r="G105" s="221"/>
      <c r="H105" s="221"/>
      <c r="I105" s="221"/>
      <c r="J105" s="222"/>
      <c r="K105" s="221"/>
      <c r="L105" s="221"/>
      <c r="M105" s="221"/>
      <c r="N105" s="221"/>
      <c r="O105" s="221"/>
      <c r="P105" s="221"/>
    </row>
    <row r="106" spans="1:17" ht="14.25" thickBot="1" x14ac:dyDescent="0.2">
      <c r="A106" s="221"/>
      <c r="B106" s="326">
        <v>47</v>
      </c>
      <c r="C106" s="326"/>
      <c r="D106" s="221"/>
      <c r="E106" s="104"/>
      <c r="F106" s="222">
        <f>IF($B106&lt;=$E$6,E106,0)</f>
        <v>0</v>
      </c>
      <c r="G106" s="221"/>
      <c r="H106" s="221"/>
      <c r="I106" s="104"/>
      <c r="J106" s="222">
        <f>IF($B106&lt;=$E$6,I106,0)</f>
        <v>0</v>
      </c>
      <c r="K106" s="221"/>
      <c r="L106" s="221"/>
      <c r="M106" s="221"/>
      <c r="N106" s="221"/>
      <c r="O106" s="221"/>
      <c r="P106" s="221"/>
      <c r="Q106" s="241">
        <v>106</v>
      </c>
    </row>
    <row r="107" spans="1:17" ht="5.0999999999999996" customHeight="1" thickBot="1" x14ac:dyDescent="0.2">
      <c r="A107" s="221"/>
      <c r="B107" s="221"/>
      <c r="C107" s="221"/>
      <c r="D107" s="221"/>
      <c r="E107" s="221"/>
      <c r="F107" s="222"/>
      <c r="G107" s="221"/>
      <c r="H107" s="221"/>
      <c r="I107" s="221"/>
      <c r="J107" s="222"/>
      <c r="K107" s="221"/>
      <c r="L107" s="221"/>
      <c r="M107" s="221"/>
      <c r="N107" s="221"/>
      <c r="O107" s="221"/>
      <c r="P107" s="221"/>
    </row>
    <row r="108" spans="1:17" ht="14.25" thickBot="1" x14ac:dyDescent="0.2">
      <c r="A108" s="221"/>
      <c r="B108" s="327">
        <v>48</v>
      </c>
      <c r="C108" s="327"/>
      <c r="D108" s="221"/>
      <c r="E108" s="104"/>
      <c r="F108" s="222">
        <f t="shared" ref="F108:F112" si="8">IF($B108&lt;=$E$6,E108,0)</f>
        <v>0</v>
      </c>
      <c r="G108" s="221"/>
      <c r="H108" s="221"/>
      <c r="I108" s="104"/>
      <c r="J108" s="222">
        <f t="shared" ref="J108:J112" si="9">IF($B108&lt;=$E$6,I108,0)</f>
        <v>0</v>
      </c>
      <c r="K108" s="221"/>
      <c r="L108" s="221"/>
      <c r="M108" s="221"/>
      <c r="N108" s="221"/>
      <c r="O108" s="221"/>
      <c r="P108" s="221"/>
      <c r="Q108" s="241">
        <v>108</v>
      </c>
    </row>
    <row r="109" spans="1:17" ht="5.0999999999999996" customHeight="1" thickBot="1" x14ac:dyDescent="0.2">
      <c r="A109" s="221"/>
      <c r="B109" s="221"/>
      <c r="C109" s="221"/>
      <c r="D109" s="221"/>
      <c r="E109" s="221"/>
      <c r="F109" s="222"/>
      <c r="G109" s="221"/>
      <c r="H109" s="221"/>
      <c r="I109" s="221"/>
      <c r="J109" s="222"/>
      <c r="K109" s="221"/>
      <c r="L109" s="221"/>
      <c r="M109" s="221"/>
      <c r="N109" s="221"/>
      <c r="O109" s="221"/>
      <c r="P109" s="221"/>
    </row>
    <row r="110" spans="1:17" ht="14.25" thickBot="1" x14ac:dyDescent="0.2">
      <c r="A110" s="221"/>
      <c r="B110" s="326">
        <v>49</v>
      </c>
      <c r="C110" s="326"/>
      <c r="D110" s="221"/>
      <c r="E110" s="104"/>
      <c r="F110" s="222">
        <f t="shared" si="8"/>
        <v>0</v>
      </c>
      <c r="G110" s="221"/>
      <c r="H110" s="221"/>
      <c r="I110" s="104"/>
      <c r="J110" s="222">
        <f t="shared" si="9"/>
        <v>0</v>
      </c>
      <c r="K110" s="221"/>
      <c r="L110" s="221"/>
      <c r="M110" s="221"/>
      <c r="N110" s="221"/>
      <c r="O110" s="221"/>
      <c r="P110" s="221"/>
      <c r="Q110" s="241">
        <v>110</v>
      </c>
    </row>
    <row r="111" spans="1:17" ht="5.0999999999999996" customHeight="1" thickBot="1" x14ac:dyDescent="0.2">
      <c r="A111" s="221"/>
      <c r="B111" s="221"/>
      <c r="C111" s="221"/>
      <c r="D111" s="221"/>
      <c r="E111" s="221"/>
      <c r="F111" s="222"/>
      <c r="G111" s="221"/>
      <c r="H111" s="221"/>
      <c r="I111" s="221"/>
      <c r="J111" s="222"/>
      <c r="K111" s="221"/>
      <c r="L111" s="221"/>
      <c r="M111" s="221"/>
      <c r="N111" s="221"/>
      <c r="O111" s="221"/>
      <c r="P111" s="221"/>
    </row>
    <row r="112" spans="1:17" ht="14.25" thickBot="1" x14ac:dyDescent="0.2">
      <c r="A112" s="221"/>
      <c r="B112" s="327">
        <v>50</v>
      </c>
      <c r="C112" s="327"/>
      <c r="D112" s="221"/>
      <c r="E112" s="104"/>
      <c r="F112" s="222">
        <f t="shared" si="8"/>
        <v>0</v>
      </c>
      <c r="G112" s="221"/>
      <c r="H112" s="221"/>
      <c r="I112" s="104"/>
      <c r="J112" s="222">
        <f t="shared" si="9"/>
        <v>0</v>
      </c>
      <c r="K112" s="221"/>
      <c r="L112" s="221"/>
      <c r="M112" s="221"/>
      <c r="N112" s="221"/>
      <c r="O112" s="221"/>
      <c r="P112" s="221"/>
      <c r="Q112" s="241">
        <v>112</v>
      </c>
    </row>
    <row r="113" spans="1:16" ht="5.0999999999999996" customHeight="1" x14ac:dyDescent="0.15">
      <c r="A113" s="221"/>
      <c r="B113" s="221"/>
      <c r="C113" s="221"/>
      <c r="D113" s="221"/>
      <c r="E113" s="221"/>
      <c r="F113" s="221"/>
      <c r="G113" s="221"/>
      <c r="H113" s="221"/>
      <c r="I113" s="221"/>
      <c r="J113" s="221"/>
      <c r="K113" s="221"/>
      <c r="L113" s="221"/>
      <c r="M113" s="221"/>
      <c r="N113" s="221"/>
      <c r="O113" s="221"/>
      <c r="P113" s="221"/>
    </row>
    <row r="114" spans="1:16" x14ac:dyDescent="0.15">
      <c r="A114" s="221"/>
      <c r="B114" s="221"/>
      <c r="C114" s="221"/>
      <c r="D114" s="221"/>
      <c r="E114" s="221"/>
      <c r="F114" s="221"/>
      <c r="G114" s="221"/>
      <c r="H114" s="221"/>
      <c r="I114" s="221"/>
      <c r="J114" s="221"/>
      <c r="K114" s="221"/>
      <c r="L114" s="221"/>
      <c r="M114" s="221"/>
      <c r="N114" s="221"/>
      <c r="O114" s="221"/>
      <c r="P114" s="221"/>
    </row>
  </sheetData>
  <sheetProtection algorithmName="SHA-512" hashValue="vssxNqhBupy+CHcrPtzZqwQVR5qr9KJc7WKLTK2SuauBhsXXz3ods/umL1+Xi3edUDIhOavz8JHUsf5TRh7cVA==" saltValue="Q1vxZ7V2nie9fyOADKJX7g==" spinCount="100000" sheet="1" objects="1" scenarios="1" selectLockedCells="1"/>
  <dataConsolidate/>
  <mergeCells count="56">
    <mergeCell ref="B24:C24"/>
    <mergeCell ref="B2:O2"/>
    <mergeCell ref="M6:O6"/>
    <mergeCell ref="B8:C10"/>
    <mergeCell ref="E8:M8"/>
    <mergeCell ref="O8:O10"/>
    <mergeCell ref="B12:C12"/>
    <mergeCell ref="B14:C14"/>
    <mergeCell ref="B16:C16"/>
    <mergeCell ref="B18:C18"/>
    <mergeCell ref="B20:C20"/>
    <mergeCell ref="B22:C22"/>
    <mergeCell ref="B48:C48"/>
    <mergeCell ref="B26:C26"/>
    <mergeCell ref="B28:C28"/>
    <mergeCell ref="B30:C30"/>
    <mergeCell ref="B32:C32"/>
    <mergeCell ref="B34:C34"/>
    <mergeCell ref="B36:C36"/>
    <mergeCell ref="B38:C38"/>
    <mergeCell ref="B40:C40"/>
    <mergeCell ref="B42:C42"/>
    <mergeCell ref="B44:C44"/>
    <mergeCell ref="B46:C46"/>
    <mergeCell ref="B72:C72"/>
    <mergeCell ref="B50:C50"/>
    <mergeCell ref="B52:C52"/>
    <mergeCell ref="B54:C54"/>
    <mergeCell ref="B56:C56"/>
    <mergeCell ref="B58:C58"/>
    <mergeCell ref="B60:C60"/>
    <mergeCell ref="B62:C62"/>
    <mergeCell ref="B64:C64"/>
    <mergeCell ref="B66:C66"/>
    <mergeCell ref="B68:C68"/>
    <mergeCell ref="B70:C70"/>
    <mergeCell ref="B96:C96"/>
    <mergeCell ref="B74:C74"/>
    <mergeCell ref="B76:C76"/>
    <mergeCell ref="B78:C78"/>
    <mergeCell ref="B80:C80"/>
    <mergeCell ref="B82:C82"/>
    <mergeCell ref="B84:C84"/>
    <mergeCell ref="B86:C86"/>
    <mergeCell ref="B88:C88"/>
    <mergeCell ref="B90:C90"/>
    <mergeCell ref="B92:C92"/>
    <mergeCell ref="B94:C94"/>
    <mergeCell ref="B110:C110"/>
    <mergeCell ref="B112:C112"/>
    <mergeCell ref="B98:C98"/>
    <mergeCell ref="B100:C100"/>
    <mergeCell ref="B102:C102"/>
    <mergeCell ref="B104:C104"/>
    <mergeCell ref="B106:C106"/>
    <mergeCell ref="B108:C108"/>
  </mergeCells>
  <phoneticPr fontId="5"/>
  <conditionalFormatting sqref="E54 E56 E58 E60 E62 E64 E66 E68 E70 E72 E74 E76 E78 E80 E82 E84 E86 E88 E90 E92 E94 E96 E98 E100 E102 E104 E106 E108 E110 E112 I64 I66 I68 I70 I72 I74 I76 I78 I80 I82 I84 I86 I88 I90 I92 I94 I96 I98 I100 I102 I104 I106 I108 I110 I112">
    <cfRule type="expression" dxfId="694" priority="47">
      <formula>$E$6&lt;$B54</formula>
    </cfRule>
    <cfRule type="expression" dxfId="693" priority="48">
      <formula>$B$14="✔"</formula>
    </cfRule>
  </conditionalFormatting>
  <conditionalFormatting sqref="I54">
    <cfRule type="expression" dxfId="692" priority="27">
      <formula>$E$6&lt;$B54</formula>
    </cfRule>
    <cfRule type="expression" dxfId="691" priority="28">
      <formula>$B$14="✔"</formula>
    </cfRule>
  </conditionalFormatting>
  <conditionalFormatting sqref="I56">
    <cfRule type="expression" dxfId="690" priority="25">
      <formula>$E$6&lt;$B56</formula>
    </cfRule>
    <cfRule type="expression" dxfId="689" priority="26">
      <formula>$B$14="✔"</formula>
    </cfRule>
  </conditionalFormatting>
  <conditionalFormatting sqref="I58">
    <cfRule type="expression" dxfId="688" priority="23">
      <formula>$E$6&lt;$B58</formula>
    </cfRule>
    <cfRule type="expression" dxfId="687" priority="24">
      <formula>$B$14="✔"</formula>
    </cfRule>
  </conditionalFormatting>
  <conditionalFormatting sqref="I60">
    <cfRule type="expression" dxfId="686" priority="21">
      <formula>$E$6&lt;$B60</formula>
    </cfRule>
    <cfRule type="expression" dxfId="685" priority="22">
      <formula>$B$14="✔"</formula>
    </cfRule>
  </conditionalFormatting>
  <conditionalFormatting sqref="I62">
    <cfRule type="expression" dxfId="684" priority="19">
      <formula>$E$6&lt;$B62</formula>
    </cfRule>
    <cfRule type="expression" dxfId="683" priority="20">
      <formula>$B$14="✔"</formula>
    </cfRule>
  </conditionalFormatting>
  <conditionalFormatting sqref="E40">
    <cfRule type="expression" dxfId="682" priority="16">
      <formula>$B$14="✔"</formula>
    </cfRule>
  </conditionalFormatting>
  <conditionalFormatting sqref="E42">
    <cfRule type="expression" dxfId="681" priority="15">
      <formula>$B$14="✔"</formula>
    </cfRule>
  </conditionalFormatting>
  <conditionalFormatting sqref="E44">
    <cfRule type="expression" dxfId="680" priority="14">
      <formula>$B$14="✔"</formula>
    </cfRule>
  </conditionalFormatting>
  <conditionalFormatting sqref="E46">
    <cfRule type="expression" dxfId="679" priority="13">
      <formula>$B$14="✔"</formula>
    </cfRule>
  </conditionalFormatting>
  <conditionalFormatting sqref="E48">
    <cfRule type="expression" dxfId="678" priority="12">
      <formula>$B$14="✔"</formula>
    </cfRule>
  </conditionalFormatting>
  <conditionalFormatting sqref="E50">
    <cfRule type="expression" dxfId="677" priority="11">
      <formula>$B$14="✔"</formula>
    </cfRule>
  </conditionalFormatting>
  <conditionalFormatting sqref="E52">
    <cfRule type="expression" dxfId="676" priority="10">
      <formula>$B$14="✔"</formula>
    </cfRule>
  </conditionalFormatting>
  <conditionalFormatting sqref="E16 E18 E20 E22 E24 E26 E28 E30 E32 E40 E42 E44 E46 E48 E50 E52 E34 E36 E38">
    <cfRule type="expression" dxfId="675" priority="17">
      <formula>$E$6&lt;$B16</formula>
    </cfRule>
    <cfRule type="expression" dxfId="674" priority="18">
      <formula>$B$14="✔"</formula>
    </cfRule>
  </conditionalFormatting>
  <conditionalFormatting sqref="I40">
    <cfRule type="expression" dxfId="673" priority="7">
      <formula>$B$14="✔"</formula>
    </cfRule>
  </conditionalFormatting>
  <conditionalFormatting sqref="I42">
    <cfRule type="expression" dxfId="672" priority="6">
      <formula>$B$14="✔"</formula>
    </cfRule>
  </conditionalFormatting>
  <conditionalFormatting sqref="I44">
    <cfRule type="expression" dxfId="671" priority="5">
      <formula>$B$14="✔"</formula>
    </cfRule>
  </conditionalFormatting>
  <conditionalFormatting sqref="I46">
    <cfRule type="expression" dxfId="670" priority="4">
      <formula>$B$14="✔"</formula>
    </cfRule>
  </conditionalFormatting>
  <conditionalFormatting sqref="I48">
    <cfRule type="expression" dxfId="669" priority="3">
      <formula>$B$14="✔"</formula>
    </cfRule>
  </conditionalFormatting>
  <conditionalFormatting sqref="I50">
    <cfRule type="expression" dxfId="668" priority="2">
      <formula>$B$14="✔"</formula>
    </cfRule>
  </conditionalFormatting>
  <conditionalFormatting sqref="I52">
    <cfRule type="expression" dxfId="667" priority="1">
      <formula>$B$14="✔"</formula>
    </cfRule>
  </conditionalFormatting>
  <conditionalFormatting sqref="I16 I18 I20 I22 I24 I26 I28 I30 I32 I40 I42 I44 I46 I48 I50 I52 I34 I36 I38">
    <cfRule type="expression" dxfId="666" priority="8">
      <formula>$E$6&lt;$B16</formula>
    </cfRule>
    <cfRule type="expression" dxfId="665" priority="9">
      <formula>$B$14="✔"</formula>
    </cfRule>
  </conditionalFormatting>
  <dataValidations count="2">
    <dataValidation type="whole" imeMode="halfAlpha" operator="greaterThanOrEqual" allowBlank="1" showInputMessage="1" showErrorMessage="1" errorTitle="金額入力エラー" error="金額は半角数字で入力してください。" sqref="E11:K113" xr:uid="{00000000-0002-0000-0200-000000000000}">
      <formula1>0</formula1>
    </dataValidation>
    <dataValidation type="list" allowBlank="1" showInputMessage="1" showErrorMessage="1" errorTitle="チェックエラー" error="チェックはグレーアウトしていない箇所にてプルダウンリストから「✔」を選択してください。" sqref="B14:C14" xr:uid="{00000000-0002-0000-0200-000001000000}">
      <formula1>"✔,　"</formula1>
    </dataValidation>
  </dataValidations>
  <hyperlinks>
    <hyperlink ref="M6:O6" location="入力シート!I240" display="入力シートにもどる"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B0F0"/>
  </sheetPr>
  <dimension ref="A1:Q108"/>
  <sheetViews>
    <sheetView showGridLines="0" workbookViewId="0">
      <selection activeCell="D6" sqref="D6"/>
    </sheetView>
  </sheetViews>
  <sheetFormatPr defaultColWidth="9" defaultRowHeight="13.5" x14ac:dyDescent="0.15"/>
  <cols>
    <col min="1" max="1" width="0.875" style="217" customWidth="1"/>
    <col min="2" max="2" width="2.625" style="217" customWidth="1"/>
    <col min="3" max="3" width="3.625" style="217" customWidth="1"/>
    <col min="4" max="4" width="30.625" style="217" customWidth="1"/>
    <col min="5" max="5" width="0.875" style="217" customWidth="1"/>
    <col min="6" max="6" width="9" style="217"/>
    <col min="7" max="7" width="0.875" style="217" customWidth="1"/>
    <col min="8" max="13" width="20.875" style="218" customWidth="1"/>
    <col min="14" max="15" width="0.875" style="217" customWidth="1"/>
    <col min="16" max="16" width="9" style="217"/>
    <col min="17" max="17" width="9" style="235"/>
    <col min="18" max="16384" width="9" style="217"/>
  </cols>
  <sheetData>
    <row r="1" spans="1:17" x14ac:dyDescent="0.15">
      <c r="A1" s="220"/>
      <c r="B1" s="220"/>
      <c r="C1" s="220"/>
      <c r="D1" s="220"/>
      <c r="E1" s="220"/>
      <c r="F1" s="220"/>
      <c r="G1" s="220"/>
      <c r="H1" s="236"/>
      <c r="I1" s="236"/>
      <c r="J1" s="236"/>
      <c r="K1" s="236"/>
      <c r="L1" s="236"/>
      <c r="M1" s="236"/>
      <c r="N1" s="220"/>
      <c r="O1" s="220"/>
    </row>
    <row r="2" spans="1:17" ht="30" customHeight="1" x14ac:dyDescent="0.15">
      <c r="A2" s="220"/>
      <c r="B2" s="336" t="s">
        <v>94</v>
      </c>
      <c r="C2" s="336"/>
      <c r="D2" s="336"/>
      <c r="E2" s="336"/>
      <c r="F2" s="336"/>
      <c r="G2" s="336"/>
      <c r="H2" s="336"/>
      <c r="I2" s="336"/>
      <c r="J2" s="336"/>
      <c r="K2" s="336"/>
      <c r="L2" s="336"/>
      <c r="M2" s="336"/>
      <c r="N2" s="220"/>
      <c r="O2" s="220"/>
    </row>
    <row r="3" spans="1:17" x14ac:dyDescent="0.15">
      <c r="A3" s="220"/>
      <c r="B3" s="220"/>
      <c r="C3" s="220"/>
      <c r="D3" s="220"/>
      <c r="E3" s="220"/>
      <c r="F3" s="220"/>
      <c r="G3" s="220"/>
      <c r="H3" s="236"/>
      <c r="I3" s="236"/>
      <c r="J3" s="236"/>
      <c r="K3" s="236"/>
      <c r="L3" s="236"/>
      <c r="M3" s="236"/>
      <c r="N3" s="220"/>
      <c r="O3" s="220"/>
    </row>
    <row r="4" spans="1:17" x14ac:dyDescent="0.15">
      <c r="A4" s="220"/>
      <c r="B4" s="220"/>
      <c r="C4" s="4" t="s">
        <v>95</v>
      </c>
      <c r="D4" s="4"/>
      <c r="E4" s="4"/>
      <c r="F4" s="4"/>
      <c r="G4" s="4"/>
      <c r="H4" s="77"/>
      <c r="I4" s="77"/>
      <c r="J4" s="77"/>
      <c r="K4" s="77"/>
      <c r="L4" s="77"/>
      <c r="M4" s="77"/>
      <c r="N4" s="220"/>
      <c r="O4" s="220"/>
    </row>
    <row r="5" spans="1:17" ht="7.5" customHeight="1" thickBot="1" x14ac:dyDescent="0.2">
      <c r="A5" s="220"/>
      <c r="B5" s="220"/>
      <c r="C5" s="289"/>
      <c r="D5" s="289"/>
      <c r="E5" s="289"/>
      <c r="F5" s="289"/>
      <c r="G5" s="289"/>
      <c r="H5" s="289"/>
      <c r="I5" s="289"/>
      <c r="J5" s="289"/>
      <c r="K5" s="289"/>
      <c r="L5" s="289"/>
      <c r="M5" s="289"/>
      <c r="N5" s="220"/>
      <c r="O5" s="220"/>
    </row>
    <row r="6" spans="1:17" ht="14.25" thickBot="1" x14ac:dyDescent="0.2">
      <c r="A6" s="220"/>
      <c r="B6" s="220"/>
      <c r="C6" s="13"/>
      <c r="D6" s="146"/>
      <c r="E6" s="13"/>
      <c r="F6" s="13"/>
      <c r="G6" s="13"/>
      <c r="H6" s="21"/>
      <c r="I6" s="21"/>
      <c r="J6" s="21"/>
      <c r="K6" s="21"/>
      <c r="L6" s="21"/>
      <c r="M6" s="21"/>
      <c r="N6" s="220"/>
      <c r="O6" s="220"/>
    </row>
    <row r="7" spans="1:17" ht="7.5" customHeight="1" x14ac:dyDescent="0.15">
      <c r="A7" s="220"/>
      <c r="B7" s="220"/>
      <c r="C7" s="19"/>
      <c r="D7" s="12"/>
      <c r="E7" s="4"/>
      <c r="F7" s="4"/>
      <c r="G7" s="4"/>
      <c r="H7" s="77"/>
      <c r="I7" s="77"/>
      <c r="J7" s="77"/>
      <c r="K7" s="77"/>
      <c r="L7" s="77"/>
      <c r="M7" s="77"/>
      <c r="N7" s="220"/>
      <c r="O7" s="220"/>
    </row>
    <row r="8" spans="1:17" ht="6.75" customHeight="1" x14ac:dyDescent="0.15">
      <c r="A8" s="220"/>
      <c r="B8" s="220"/>
      <c r="C8" s="237"/>
      <c r="D8" s="230"/>
      <c r="E8" s="220"/>
      <c r="F8" s="220"/>
      <c r="G8" s="220"/>
      <c r="H8" s="236"/>
      <c r="I8" s="236"/>
      <c r="J8" s="236"/>
      <c r="K8" s="236"/>
      <c r="L8" s="236"/>
      <c r="M8" s="236"/>
      <c r="N8" s="220"/>
      <c r="O8" s="220"/>
    </row>
    <row r="9" spans="1:17" x14ac:dyDescent="0.15">
      <c r="A9" s="220"/>
      <c r="B9" s="220"/>
      <c r="C9" s="339" t="str">
        <f>IF(AND(反映シート!G5=1,反映シート!K5&gt;0),"必須項目に空欄箇所があるため、下の表を参考にすべて入力してください。",IF(AND(反映シート!G5=1,反映シート!K5=0),"必須項目に空欄はありませんが、入力内容に誤りがないか再度確認のうえ、提出してください。",""))</f>
        <v/>
      </c>
      <c r="D9" s="339"/>
      <c r="E9" s="339"/>
      <c r="F9" s="339"/>
      <c r="G9" s="339"/>
      <c r="H9" s="339"/>
      <c r="I9" s="339"/>
      <c r="J9" s="339"/>
      <c r="K9" s="339"/>
      <c r="L9" s="339"/>
      <c r="M9" s="339"/>
      <c r="N9" s="220"/>
      <c r="O9" s="220"/>
    </row>
    <row r="10" spans="1:17" ht="5.0999999999999996" customHeight="1" x14ac:dyDescent="0.15">
      <c r="A10" s="220"/>
      <c r="B10" s="220"/>
      <c r="C10" s="220"/>
      <c r="D10" s="220"/>
      <c r="E10" s="220"/>
      <c r="F10" s="220"/>
      <c r="G10" s="220"/>
      <c r="H10" s="236"/>
      <c r="I10" s="236"/>
      <c r="J10" s="236"/>
      <c r="K10" s="236"/>
      <c r="L10" s="236"/>
      <c r="M10" s="236"/>
      <c r="N10" s="220"/>
      <c r="O10" s="220"/>
    </row>
    <row r="11" spans="1:17" ht="26.25" customHeight="1" x14ac:dyDescent="0.15">
      <c r="A11" s="220"/>
      <c r="B11" s="220"/>
      <c r="C11" s="340" t="str">
        <f>IF(AND(反映シート!G5,OR(反映シート!E403="16以上",反映シート!E444="16以上")),"入力シートの11または12で役員の人数が16名以上を選択されているため、忘れずに「様式第１別紙（予備）」を使用して16人目以降の役員の情報を直接入力してください。","")</f>
        <v/>
      </c>
      <c r="D11" s="341"/>
      <c r="E11" s="341"/>
      <c r="F11" s="341"/>
      <c r="G11" s="341"/>
      <c r="H11" s="341"/>
      <c r="I11" s="341"/>
      <c r="J11" s="341"/>
      <c r="K11" s="341"/>
      <c r="L11" s="341"/>
      <c r="M11" s="341"/>
      <c r="N11" s="220"/>
      <c r="O11" s="220"/>
    </row>
    <row r="12" spans="1:17" ht="5.0999999999999996" customHeight="1" x14ac:dyDescent="0.15">
      <c r="A12" s="220"/>
      <c r="B12" s="220"/>
      <c r="C12" s="220"/>
      <c r="D12" s="220"/>
      <c r="E12" s="220"/>
      <c r="F12" s="220"/>
      <c r="G12" s="220"/>
      <c r="H12" s="236"/>
      <c r="I12" s="236"/>
      <c r="J12" s="236"/>
      <c r="K12" s="236"/>
      <c r="L12" s="236"/>
      <c r="M12" s="236"/>
      <c r="N12" s="220"/>
      <c r="O12" s="220"/>
    </row>
    <row r="13" spans="1:17" x14ac:dyDescent="0.15">
      <c r="A13" s="220"/>
      <c r="B13" s="220"/>
      <c r="C13" s="329" t="s">
        <v>96</v>
      </c>
      <c r="D13" s="329"/>
      <c r="E13" s="1"/>
      <c r="F13" s="36" t="s">
        <v>97</v>
      </c>
      <c r="G13" s="1"/>
      <c r="H13" s="337" t="s">
        <v>98</v>
      </c>
      <c r="I13" s="337"/>
      <c r="J13" s="337"/>
      <c r="K13" s="337"/>
      <c r="L13" s="337"/>
      <c r="M13" s="337"/>
      <c r="N13" s="220"/>
      <c r="O13" s="220"/>
    </row>
    <row r="14" spans="1:17" ht="5.0999999999999996" customHeight="1" x14ac:dyDescent="0.15">
      <c r="A14" s="220"/>
      <c r="B14" s="220"/>
      <c r="C14" s="220"/>
      <c r="D14" s="220"/>
      <c r="E14" s="220"/>
      <c r="F14" s="220"/>
      <c r="G14" s="220"/>
      <c r="H14" s="236"/>
      <c r="I14" s="236"/>
      <c r="J14" s="236"/>
      <c r="K14" s="236"/>
      <c r="L14" s="236"/>
      <c r="M14" s="236"/>
      <c r="N14" s="220"/>
      <c r="O14" s="220"/>
    </row>
    <row r="15" spans="1:17" x14ac:dyDescent="0.15">
      <c r="A15" s="220"/>
      <c r="B15" s="220"/>
      <c r="C15" s="37" t="s">
        <v>303</v>
      </c>
      <c r="D15" s="37"/>
      <c r="E15" s="1"/>
      <c r="F15" s="38" t="str">
        <f>エラー判定!$E$8</f>
        <v>NG</v>
      </c>
      <c r="G15" s="1"/>
      <c r="H15" s="338" t="str">
        <f>IF(F15="NG","代表申請者及び共同申請者の組み合わせを入力してください。","")</f>
        <v>代表申請者及び共同申請者の組み合わせを入力してください。</v>
      </c>
      <c r="I15" s="338"/>
      <c r="J15" s="338"/>
      <c r="K15" s="338"/>
      <c r="L15" s="338"/>
      <c r="M15" s="338"/>
      <c r="N15" s="220"/>
      <c r="O15" s="220"/>
      <c r="Q15" s="235" t="str">
        <f>F15</f>
        <v>NG</v>
      </c>
    </row>
    <row r="16" spans="1:17" ht="5.0999999999999996" customHeight="1" x14ac:dyDescent="0.15">
      <c r="A16" s="220"/>
      <c r="B16" s="220"/>
      <c r="C16" s="220"/>
      <c r="D16" s="220"/>
      <c r="E16" s="220"/>
      <c r="F16" s="220"/>
      <c r="G16" s="220"/>
      <c r="H16" s="236"/>
      <c r="I16" s="236"/>
      <c r="J16" s="236"/>
      <c r="K16" s="236"/>
      <c r="L16" s="236"/>
      <c r="M16" s="236"/>
      <c r="N16" s="220"/>
      <c r="O16" s="220"/>
    </row>
    <row r="17" spans="1:17" x14ac:dyDescent="0.15">
      <c r="A17" s="220"/>
      <c r="B17" s="220"/>
      <c r="C17" s="39" t="s">
        <v>99</v>
      </c>
      <c r="D17" s="39"/>
      <c r="E17" s="1"/>
      <c r="F17" s="40" t="str">
        <f>IF(エラー判定!$E$14="WRITED","入力あり","空欄")</f>
        <v>空欄</v>
      </c>
      <c r="G17" s="1"/>
      <c r="H17" s="335" t="str">
        <f>IF($F$17="空欄","文書番号を使用しない場合は空欄で問題ありません。","")</f>
        <v>文書番号を使用しない場合は空欄で問題ありません。</v>
      </c>
      <c r="I17" s="335"/>
      <c r="J17" s="335"/>
      <c r="K17" s="335"/>
      <c r="L17" s="335"/>
      <c r="M17" s="335"/>
      <c r="N17" s="220"/>
      <c r="O17" s="220"/>
      <c r="Q17" s="235" t="str">
        <f>F17</f>
        <v>空欄</v>
      </c>
    </row>
    <row r="18" spans="1:17" ht="5.0999999999999996" customHeight="1" x14ac:dyDescent="0.15">
      <c r="A18" s="220"/>
      <c r="B18" s="220"/>
      <c r="C18" s="220"/>
      <c r="D18" s="220"/>
      <c r="E18" s="220"/>
      <c r="F18" s="220"/>
      <c r="G18" s="220"/>
      <c r="H18" s="236"/>
      <c r="I18" s="236"/>
      <c r="J18" s="236"/>
      <c r="K18" s="236"/>
      <c r="L18" s="236"/>
      <c r="M18" s="236"/>
      <c r="N18" s="220"/>
      <c r="O18" s="220"/>
    </row>
    <row r="19" spans="1:17" x14ac:dyDescent="0.15">
      <c r="A19" s="220"/>
      <c r="B19" s="220"/>
      <c r="C19" s="37" t="s">
        <v>100</v>
      </c>
      <c r="D19" s="37"/>
      <c r="E19" s="1"/>
      <c r="F19" s="38" t="str">
        <f>エラー判定!$E$20</f>
        <v>NG</v>
      </c>
      <c r="G19" s="1"/>
      <c r="H19" s="338" t="str">
        <f>IF(F19="NG","文書作成日を入力してください。","")</f>
        <v>文書作成日を入力してください。</v>
      </c>
      <c r="I19" s="338"/>
      <c r="J19" s="338"/>
      <c r="K19" s="338"/>
      <c r="L19" s="338"/>
      <c r="M19" s="338"/>
      <c r="N19" s="220"/>
      <c r="O19" s="220"/>
      <c r="Q19" s="235" t="str">
        <f>F19</f>
        <v>NG</v>
      </c>
    </row>
    <row r="20" spans="1:17" ht="5.0999999999999996" customHeight="1" x14ac:dyDescent="0.15">
      <c r="A20" s="220"/>
      <c r="B20" s="220"/>
      <c r="C20" s="220"/>
      <c r="D20" s="220"/>
      <c r="E20" s="220"/>
      <c r="F20" s="220"/>
      <c r="G20" s="220"/>
      <c r="H20" s="236"/>
      <c r="I20" s="236"/>
      <c r="J20" s="236"/>
      <c r="K20" s="236"/>
      <c r="L20" s="236"/>
      <c r="M20" s="236"/>
      <c r="N20" s="220"/>
      <c r="O20" s="220"/>
    </row>
    <row r="21" spans="1:17" x14ac:dyDescent="0.15">
      <c r="A21" s="220"/>
      <c r="B21" s="220"/>
      <c r="C21" s="39" t="s">
        <v>101</v>
      </c>
      <c r="D21" s="39"/>
      <c r="E21" s="1"/>
      <c r="F21" s="40" t="str">
        <f>IF(AND(エラー判定!$X$28="OK",エラー判定!E36="SPACE"),"要確認",IF(AND(エラー判定!$X$28="OK",エラー判定!E36="WRITED"),"OK","NG"))</f>
        <v>NG</v>
      </c>
      <c r="G21" s="1"/>
      <c r="H21" s="335" t="str">
        <f>IF(F21="NG","代表申請者住所の"&amp;H23&amp;H25&amp;H27&amp;H29&amp;"が空欄です。"&amp;H31,IF(F21="要確認",H31,""))</f>
        <v>代表申請者住所の郵便番号、都道府県、市区町村、町名地番、が空欄です。また、建物名称が空欄ですが、ない場合は問題ありません。</v>
      </c>
      <c r="I21" s="335"/>
      <c r="J21" s="335"/>
      <c r="K21" s="335"/>
      <c r="L21" s="335"/>
      <c r="M21" s="335"/>
      <c r="N21" s="220"/>
      <c r="O21" s="220"/>
      <c r="Q21" s="235" t="str">
        <f>F21</f>
        <v>NG</v>
      </c>
    </row>
    <row r="22" spans="1:17" ht="5.0999999999999996" customHeight="1" x14ac:dyDescent="0.15">
      <c r="A22" s="220"/>
      <c r="B22" s="220"/>
      <c r="C22" s="220"/>
      <c r="D22" s="220"/>
      <c r="E22" s="220"/>
      <c r="F22" s="220"/>
      <c r="G22" s="220"/>
      <c r="H22" s="236"/>
      <c r="I22" s="236"/>
      <c r="J22" s="236"/>
      <c r="K22" s="236"/>
      <c r="L22" s="236"/>
      <c r="M22" s="236"/>
      <c r="N22" s="220"/>
      <c r="O22" s="220"/>
    </row>
    <row r="23" spans="1:17" ht="13.5" hidden="1" customHeight="1" x14ac:dyDescent="0.15">
      <c r="A23" s="220"/>
      <c r="B23" s="220"/>
      <c r="C23" s="1" t="s">
        <v>103</v>
      </c>
      <c r="D23" s="4" t="s">
        <v>477</v>
      </c>
      <c r="E23" s="1"/>
      <c r="F23" s="13" t="str">
        <f>エラー判定!E28</f>
        <v>NG</v>
      </c>
      <c r="G23" s="1"/>
      <c r="H23" s="333" t="str">
        <f>IF($F23="OK","",IF(AND($F23="NG",COUNTIF(F25:F29,"NG")&gt;=1),"郵便番号、","郵便番号"))</f>
        <v>郵便番号、</v>
      </c>
      <c r="I23" s="334"/>
      <c r="J23" s="334"/>
      <c r="K23" s="334"/>
      <c r="L23" s="334"/>
      <c r="M23" s="334"/>
      <c r="N23" s="220"/>
      <c r="O23" s="220"/>
      <c r="Q23" s="217"/>
    </row>
    <row r="24" spans="1:17" ht="5.0999999999999996" hidden="1" customHeight="1" x14ac:dyDescent="0.15">
      <c r="A24" s="220"/>
      <c r="B24" s="220"/>
      <c r="C24" s="1"/>
      <c r="D24" s="1"/>
      <c r="E24" s="1"/>
      <c r="F24" s="1"/>
      <c r="G24" s="1"/>
      <c r="H24" s="89"/>
      <c r="I24" s="89"/>
      <c r="J24" s="89"/>
      <c r="K24" s="89"/>
      <c r="L24" s="89"/>
      <c r="M24" s="89"/>
      <c r="N24" s="220"/>
      <c r="O24" s="220"/>
      <c r="Q24" s="217"/>
    </row>
    <row r="25" spans="1:17" ht="13.5" hidden="1" customHeight="1" x14ac:dyDescent="0.15">
      <c r="A25" s="220"/>
      <c r="B25" s="220"/>
      <c r="C25" s="1" t="s">
        <v>103</v>
      </c>
      <c r="D25" s="4" t="s">
        <v>478</v>
      </c>
      <c r="E25" s="1"/>
      <c r="F25" s="13" t="str">
        <f>エラー判定!E30</f>
        <v>NG</v>
      </c>
      <c r="G25" s="1"/>
      <c r="H25" s="333" t="str">
        <f>IF($F25="OK","",IF(AND($F25="NG",COUNTIF(F27:F29,"NG")&gt;=1),"都道府県、","都道府県"))</f>
        <v>都道府県、</v>
      </c>
      <c r="I25" s="334"/>
      <c r="J25" s="334"/>
      <c r="K25" s="334"/>
      <c r="L25" s="334"/>
      <c r="M25" s="334"/>
      <c r="N25" s="220"/>
      <c r="O25" s="220"/>
      <c r="Q25" s="217"/>
    </row>
    <row r="26" spans="1:17" ht="5.0999999999999996" hidden="1" customHeight="1" x14ac:dyDescent="0.15">
      <c r="A26" s="220"/>
      <c r="B26" s="220"/>
      <c r="C26" s="1"/>
      <c r="D26" s="1"/>
      <c r="E26" s="1"/>
      <c r="F26" s="1"/>
      <c r="G26" s="1"/>
      <c r="H26" s="89"/>
      <c r="I26" s="89"/>
      <c r="J26" s="89"/>
      <c r="K26" s="89"/>
      <c r="L26" s="89"/>
      <c r="M26" s="89"/>
      <c r="N26" s="220"/>
      <c r="O26" s="220"/>
      <c r="Q26" s="217"/>
    </row>
    <row r="27" spans="1:17" ht="13.5" hidden="1" customHeight="1" x14ac:dyDescent="0.15">
      <c r="A27" s="220"/>
      <c r="B27" s="220"/>
      <c r="C27" s="1" t="s">
        <v>103</v>
      </c>
      <c r="D27" s="4" t="s">
        <v>479</v>
      </c>
      <c r="E27" s="1"/>
      <c r="F27" s="13" t="str">
        <f>エラー判定!E32</f>
        <v>NG</v>
      </c>
      <c r="G27" s="1"/>
      <c r="H27" s="333" t="str">
        <f>IF($F27="OK","",IF(AND($F27="NG",COUNTIF(F29,"NG")&gt;=1),"市区町村、","市区町村"))</f>
        <v>市区町村、</v>
      </c>
      <c r="I27" s="334"/>
      <c r="J27" s="334"/>
      <c r="K27" s="334"/>
      <c r="L27" s="334"/>
      <c r="M27" s="334"/>
      <c r="N27" s="220"/>
      <c r="O27" s="220"/>
      <c r="Q27" s="217"/>
    </row>
    <row r="28" spans="1:17" ht="5.0999999999999996" hidden="1" customHeight="1" x14ac:dyDescent="0.15">
      <c r="A28" s="220"/>
      <c r="B28" s="220"/>
      <c r="C28" s="1"/>
      <c r="D28" s="1"/>
      <c r="E28" s="1"/>
      <c r="F28" s="1"/>
      <c r="G28" s="1"/>
      <c r="H28" s="89"/>
      <c r="I28" s="89"/>
      <c r="J28" s="89"/>
      <c r="K28" s="89"/>
      <c r="L28" s="89"/>
      <c r="M28" s="89"/>
      <c r="N28" s="220"/>
      <c r="O28" s="220"/>
      <c r="Q28" s="217"/>
    </row>
    <row r="29" spans="1:17" ht="13.5" hidden="1" customHeight="1" x14ac:dyDescent="0.15">
      <c r="A29" s="220"/>
      <c r="B29" s="220"/>
      <c r="C29" s="1" t="s">
        <v>103</v>
      </c>
      <c r="D29" s="4" t="s">
        <v>480</v>
      </c>
      <c r="E29" s="1"/>
      <c r="F29" s="13" t="str">
        <f>エラー判定!E34</f>
        <v>NG</v>
      </c>
      <c r="G29" s="1"/>
      <c r="H29" s="333" t="str">
        <f>IF($F29="OK","",IF($F29="NG","町名地番、",""))</f>
        <v>町名地番、</v>
      </c>
      <c r="I29" s="334"/>
      <c r="J29" s="334"/>
      <c r="K29" s="334"/>
      <c r="L29" s="334"/>
      <c r="M29" s="334"/>
      <c r="N29" s="220"/>
      <c r="O29" s="220"/>
      <c r="Q29" s="217"/>
    </row>
    <row r="30" spans="1:17" ht="5.0999999999999996" hidden="1" customHeight="1" x14ac:dyDescent="0.15">
      <c r="A30" s="220"/>
      <c r="B30" s="220"/>
      <c r="C30" s="1"/>
      <c r="D30" s="1"/>
      <c r="E30" s="1"/>
      <c r="F30" s="1"/>
      <c r="G30" s="1"/>
      <c r="H30" s="89"/>
      <c r="I30" s="89"/>
      <c r="J30" s="89"/>
      <c r="K30" s="89"/>
      <c r="L30" s="89"/>
      <c r="M30" s="89"/>
      <c r="N30" s="220"/>
      <c r="O30" s="220"/>
      <c r="Q30" s="217"/>
    </row>
    <row r="31" spans="1:17" ht="13.5" hidden="1" customHeight="1" x14ac:dyDescent="0.15">
      <c r="A31" s="220"/>
      <c r="B31" s="220"/>
      <c r="C31" s="1" t="s">
        <v>103</v>
      </c>
      <c r="D31" s="4" t="s">
        <v>481</v>
      </c>
      <c r="E31" s="1"/>
      <c r="F31" s="13" t="str">
        <f>エラー判定!E36</f>
        <v>SPACE</v>
      </c>
      <c r="G31" s="1"/>
      <c r="H31" s="333" t="str">
        <f>IF($F31="WRITED","",IF(AND($F31="SPACE",COUNTIF($F$23:$F$29,"NG")&gt;=1),"また、建物名称が空欄ですが、ない場合は問題ありません。","代表申請者の住所の建物名称が空欄です。建物名称がない場合は問題ありません。"))</f>
        <v>また、建物名称が空欄ですが、ない場合は問題ありません。</v>
      </c>
      <c r="I31" s="334"/>
      <c r="J31" s="334"/>
      <c r="K31" s="334"/>
      <c r="L31" s="334"/>
      <c r="M31" s="334"/>
      <c r="N31" s="220"/>
      <c r="O31" s="220"/>
      <c r="Q31" s="217"/>
    </row>
    <row r="32" spans="1:17" ht="5.0999999999999996" hidden="1" customHeight="1" x14ac:dyDescent="0.15">
      <c r="A32" s="220"/>
      <c r="B32" s="220"/>
      <c r="C32" s="1"/>
      <c r="D32" s="1"/>
      <c r="E32" s="1"/>
      <c r="F32" s="1"/>
      <c r="G32" s="1"/>
      <c r="H32" s="89"/>
      <c r="I32" s="89"/>
      <c r="J32" s="89"/>
      <c r="K32" s="89"/>
      <c r="L32" s="89"/>
      <c r="M32" s="89"/>
      <c r="N32" s="220"/>
      <c r="O32" s="220"/>
      <c r="Q32" s="217"/>
    </row>
    <row r="33" spans="1:17" x14ac:dyDescent="0.15">
      <c r="A33" s="220"/>
      <c r="B33" s="220"/>
      <c r="C33" s="1" t="s">
        <v>102</v>
      </c>
      <c r="D33" s="115"/>
      <c r="E33" s="1"/>
      <c r="F33" s="116" t="str">
        <f>IF(エラー判定!$X$38="OK","OK","NG")</f>
        <v>NG</v>
      </c>
      <c r="G33" s="1"/>
      <c r="H33" s="343" t="str">
        <f>IF(AND(エラー判定!E38="NG",エラー判定!E40="NG"),"代表申請者の法人名および法人名（カナ）を入力してください。",IF(エラー判定!E38="NG","代表申請者の法人名を入力してください。",IF(エラー判定!E40="NG","代表申請者の法人名（カナ）を入力してください。","")))</f>
        <v>代表申請者の法人名および法人名（カナ）を入力してください。</v>
      </c>
      <c r="I33" s="343"/>
      <c r="J33" s="343"/>
      <c r="K33" s="343"/>
      <c r="L33" s="343"/>
      <c r="M33" s="343"/>
      <c r="N33" s="220"/>
      <c r="O33" s="220"/>
      <c r="Q33" s="235" t="str">
        <f>F33</f>
        <v>NG</v>
      </c>
    </row>
    <row r="34" spans="1:17" ht="5.0999999999999996" customHeight="1" x14ac:dyDescent="0.15">
      <c r="A34" s="220"/>
      <c r="B34" s="220"/>
      <c r="C34" s="220"/>
      <c r="D34" s="220"/>
      <c r="E34" s="220"/>
      <c r="F34" s="220"/>
      <c r="G34" s="220"/>
      <c r="H34" s="236"/>
      <c r="I34" s="236"/>
      <c r="J34" s="236"/>
      <c r="K34" s="236"/>
      <c r="L34" s="236"/>
      <c r="M34" s="236"/>
      <c r="N34" s="220"/>
      <c r="O34" s="220"/>
    </row>
    <row r="35" spans="1:17" x14ac:dyDescent="0.15">
      <c r="A35" s="220"/>
      <c r="B35" s="220"/>
      <c r="C35" s="1"/>
      <c r="D35" s="39" t="s">
        <v>368</v>
      </c>
      <c r="E35" s="1"/>
      <c r="F35" s="40" t="str">
        <f>IF(COUNTIF(F37:F45,"NG")&lt;&gt;0,"NG","OK")</f>
        <v>NG</v>
      </c>
      <c r="G35" s="1"/>
      <c r="H35" s="335" t="str">
        <f>IF(F35="OK","",IF(F35="NG","代表申請者の"&amp;H37&amp;H39&amp;H41&amp;H43&amp;H45&amp;"を入力してください。",""))</f>
        <v>代表申請者の役職、氏名、シメイ、生年月日、性別、を入力してください。</v>
      </c>
      <c r="I35" s="335"/>
      <c r="J35" s="335"/>
      <c r="K35" s="335"/>
      <c r="L35" s="335"/>
      <c r="M35" s="335"/>
      <c r="N35" s="220"/>
      <c r="O35" s="220"/>
      <c r="Q35" s="217"/>
    </row>
    <row r="36" spans="1:17" ht="5.0999999999999996" customHeight="1" x14ac:dyDescent="0.15">
      <c r="A36" s="220"/>
      <c r="B36" s="220"/>
      <c r="C36" s="220"/>
      <c r="D36" s="220"/>
      <c r="E36" s="220"/>
      <c r="F36" s="220"/>
      <c r="G36" s="220"/>
      <c r="H36" s="236"/>
      <c r="I36" s="236"/>
      <c r="J36" s="236"/>
      <c r="K36" s="236"/>
      <c r="L36" s="236"/>
      <c r="M36" s="236"/>
      <c r="N36" s="220"/>
      <c r="O36" s="220"/>
      <c r="Q36" s="217"/>
    </row>
    <row r="37" spans="1:17" ht="13.5" hidden="1" customHeight="1" x14ac:dyDescent="0.15">
      <c r="A37" s="220"/>
      <c r="B37" s="220"/>
      <c r="C37" s="1" t="s">
        <v>103</v>
      </c>
      <c r="D37" s="4"/>
      <c r="E37" s="1"/>
      <c r="F37" s="13" t="str">
        <f>エラー判定!$E$44</f>
        <v>NG</v>
      </c>
      <c r="G37" s="1"/>
      <c r="H37" s="333" t="str">
        <f>IF($F37="OK","",IF(AND($F37="NG",COUNTIF($F39:$F$43,"NG")&gt;=1),"役職、","役職"))</f>
        <v>役職、</v>
      </c>
      <c r="I37" s="334"/>
      <c r="J37" s="334"/>
      <c r="K37" s="334"/>
      <c r="L37" s="334"/>
      <c r="M37" s="334"/>
      <c r="N37" s="220"/>
      <c r="O37" s="220"/>
      <c r="Q37" s="217"/>
    </row>
    <row r="38" spans="1:17" ht="5.0999999999999996" hidden="1" customHeight="1" x14ac:dyDescent="0.15">
      <c r="A38" s="220"/>
      <c r="B38" s="220"/>
      <c r="C38" s="1"/>
      <c r="D38" s="1"/>
      <c r="E38" s="1"/>
      <c r="F38" s="1"/>
      <c r="G38" s="1"/>
      <c r="H38" s="89"/>
      <c r="I38" s="89"/>
      <c r="J38" s="89"/>
      <c r="K38" s="89"/>
      <c r="L38" s="89"/>
      <c r="M38" s="89"/>
      <c r="N38" s="220"/>
      <c r="O38" s="220"/>
      <c r="Q38" s="217"/>
    </row>
    <row r="39" spans="1:17" ht="13.5" hidden="1" customHeight="1" x14ac:dyDescent="0.15">
      <c r="A39" s="220"/>
      <c r="B39" s="220"/>
      <c r="C39" s="1" t="s">
        <v>650</v>
      </c>
      <c r="D39" s="4"/>
      <c r="E39" s="1"/>
      <c r="F39" s="13" t="str">
        <f>IF(エラー判定!$Q$46="11","OK","NG")</f>
        <v>NG</v>
      </c>
      <c r="G39" s="1"/>
      <c r="H39" s="333" t="str">
        <f>IF($F39="OK","",IF(AND($F39="NG",COUNTIF($F41:$F$43,"NG")&gt;=1),"氏名、","氏名"))</f>
        <v>氏名、</v>
      </c>
      <c r="I39" s="334"/>
      <c r="J39" s="334"/>
      <c r="K39" s="334"/>
      <c r="L39" s="334"/>
      <c r="M39" s="334"/>
      <c r="N39" s="220"/>
      <c r="O39" s="220"/>
      <c r="Q39" s="217"/>
    </row>
    <row r="40" spans="1:17" ht="5.0999999999999996" hidden="1" customHeight="1" x14ac:dyDescent="0.15">
      <c r="A40" s="220"/>
      <c r="B40" s="220"/>
      <c r="C40" s="1"/>
      <c r="D40" s="1"/>
      <c r="E40" s="1"/>
      <c r="F40" s="1"/>
      <c r="G40" s="1"/>
      <c r="H40" s="89"/>
      <c r="I40" s="89"/>
      <c r="J40" s="89"/>
      <c r="K40" s="89"/>
      <c r="L40" s="89"/>
      <c r="M40" s="89"/>
      <c r="N40" s="220"/>
      <c r="O40" s="220"/>
      <c r="Q40" s="217"/>
    </row>
    <row r="41" spans="1:17" ht="13.5" hidden="1" customHeight="1" x14ac:dyDescent="0.15">
      <c r="A41" s="220"/>
      <c r="B41" s="220"/>
      <c r="C41" s="1" t="s">
        <v>651</v>
      </c>
      <c r="D41" s="4"/>
      <c r="E41" s="1"/>
      <c r="F41" s="13" t="str">
        <f>IF(エラー判定!$Q$50="11","OK","NG")</f>
        <v>NG</v>
      </c>
      <c r="G41" s="1"/>
      <c r="H41" s="333" t="str">
        <f>IF($F41="OK","",IF(AND($F41="NG",COUNTIF($F43:$F$43,"NG")&gt;=1),"シメイ、","シメイ"))</f>
        <v>シメイ、</v>
      </c>
      <c r="I41" s="334"/>
      <c r="J41" s="334"/>
      <c r="K41" s="334"/>
      <c r="L41" s="334"/>
      <c r="M41" s="334"/>
      <c r="N41" s="220"/>
      <c r="O41" s="220"/>
      <c r="Q41" s="217"/>
    </row>
    <row r="42" spans="1:17" ht="5.0999999999999996" hidden="1" customHeight="1" x14ac:dyDescent="0.15">
      <c r="A42" s="220"/>
      <c r="B42" s="220"/>
      <c r="C42" s="1"/>
      <c r="D42" s="1"/>
      <c r="E42" s="1"/>
      <c r="F42" s="1"/>
      <c r="G42" s="1"/>
      <c r="H42" s="89"/>
      <c r="I42" s="89"/>
      <c r="J42" s="89"/>
      <c r="K42" s="89"/>
      <c r="L42" s="89"/>
      <c r="M42" s="89"/>
      <c r="N42" s="220"/>
      <c r="O42" s="220"/>
      <c r="Q42" s="217"/>
    </row>
    <row r="43" spans="1:17" ht="13.5" hidden="1" customHeight="1" x14ac:dyDescent="0.15">
      <c r="A43" s="220"/>
      <c r="B43" s="220"/>
      <c r="C43" s="1" t="s">
        <v>652</v>
      </c>
      <c r="D43" s="4"/>
      <c r="E43" s="1"/>
      <c r="F43" s="13" t="str">
        <f>エラー判定!$E$54</f>
        <v>NG</v>
      </c>
      <c r="G43" s="1"/>
      <c r="H43" s="333" t="str">
        <f>IF($F43="OK","",IF(AND($F43="NG",COUNTIF($F$43:$F45,"NG")&gt;=1),"生年月日、","生年月日"))</f>
        <v>生年月日、</v>
      </c>
      <c r="I43" s="334"/>
      <c r="J43" s="334"/>
      <c r="K43" s="334"/>
      <c r="L43" s="334"/>
      <c r="M43" s="334"/>
      <c r="N43" s="220"/>
      <c r="O43" s="220"/>
      <c r="Q43" s="217"/>
    </row>
    <row r="44" spans="1:17" ht="5.0999999999999996" hidden="1" customHeight="1" x14ac:dyDescent="0.15">
      <c r="A44" s="220"/>
      <c r="B44" s="220"/>
      <c r="C44" s="1"/>
      <c r="D44" s="1"/>
      <c r="E44" s="1"/>
      <c r="F44" s="1"/>
      <c r="G44" s="1"/>
      <c r="H44" s="89"/>
      <c r="I44" s="89"/>
      <c r="J44" s="89"/>
      <c r="K44" s="89"/>
      <c r="L44" s="89"/>
      <c r="M44" s="89"/>
      <c r="N44" s="220"/>
      <c r="O44" s="220"/>
      <c r="Q44" s="217"/>
    </row>
    <row r="45" spans="1:17" ht="13.5" hidden="1" customHeight="1" x14ac:dyDescent="0.15">
      <c r="A45" s="220"/>
      <c r="B45" s="220"/>
      <c r="C45" s="1" t="s">
        <v>653</v>
      </c>
      <c r="D45" s="4"/>
      <c r="E45" s="1"/>
      <c r="F45" s="13" t="str">
        <f>エラー判定!$E$56</f>
        <v>NG</v>
      </c>
      <c r="G45" s="1"/>
      <c r="H45" s="333" t="str">
        <f>IF($F45="OK","",IF($F45="NG","性別、","性別"))</f>
        <v>性別、</v>
      </c>
      <c r="I45" s="334"/>
      <c r="J45" s="334"/>
      <c r="K45" s="334"/>
      <c r="L45" s="334"/>
      <c r="M45" s="334"/>
      <c r="N45" s="220"/>
      <c r="O45" s="220"/>
      <c r="Q45" s="217"/>
    </row>
    <row r="46" spans="1:17" ht="5.0999999999999996" hidden="1" customHeight="1" x14ac:dyDescent="0.15">
      <c r="A46" s="220"/>
      <c r="B46" s="220"/>
      <c r="C46" s="1"/>
      <c r="D46" s="1"/>
      <c r="E46" s="1"/>
      <c r="F46" s="1"/>
      <c r="G46" s="1"/>
      <c r="H46" s="89"/>
      <c r="I46" s="89"/>
      <c r="J46" s="89"/>
      <c r="K46" s="89"/>
      <c r="L46" s="89"/>
      <c r="M46" s="89"/>
      <c r="N46" s="220"/>
      <c r="O46" s="220"/>
      <c r="Q46" s="217"/>
    </row>
    <row r="47" spans="1:17" x14ac:dyDescent="0.15">
      <c r="A47" s="220"/>
      <c r="B47" s="220"/>
      <c r="C47" s="1" t="s">
        <v>344</v>
      </c>
      <c r="D47" s="115"/>
      <c r="E47" s="1"/>
      <c r="F47" s="116" t="str">
        <f>エラー判定!E58</f>
        <v>NG</v>
      </c>
      <c r="G47" s="1"/>
      <c r="H47" s="343" t="str">
        <f>IF(F47="NG","代表申請者の補助事業者区分を正しく入力してください。","")</f>
        <v>代表申請者の補助事業者区分を正しく入力してください。</v>
      </c>
      <c r="I47" s="343"/>
      <c r="J47" s="343"/>
      <c r="K47" s="343"/>
      <c r="L47" s="343"/>
      <c r="M47" s="343"/>
      <c r="N47" s="220"/>
      <c r="O47" s="220"/>
    </row>
    <row r="48" spans="1:17" ht="5.0999999999999996" customHeight="1" x14ac:dyDescent="0.15">
      <c r="A48" s="220"/>
      <c r="B48" s="220"/>
      <c r="C48" s="220"/>
      <c r="D48" s="220"/>
      <c r="E48" s="220"/>
      <c r="F48" s="220"/>
      <c r="G48" s="220"/>
      <c r="H48" s="236"/>
      <c r="I48" s="236"/>
      <c r="J48" s="236"/>
      <c r="K48" s="236"/>
      <c r="L48" s="236"/>
      <c r="M48" s="236"/>
      <c r="N48" s="220"/>
      <c r="O48" s="220"/>
    </row>
    <row r="49" spans="1:17" x14ac:dyDescent="0.15">
      <c r="A49" s="220"/>
      <c r="B49" s="220"/>
      <c r="C49" s="37" t="s">
        <v>345</v>
      </c>
      <c r="D49" s="37"/>
      <c r="E49" s="1"/>
      <c r="F49" s="38" t="str">
        <f>IF(反映シート!$C$76="なし","単独申請",IF(AND(エラー判定!X65="OK",エラー判定!E73="SPACE"),"要確認",IF(AND(エラー判定!X65="OK",エラー判定!E73="WRITED"),"OK","NG")))</f>
        <v>単独申請</v>
      </c>
      <c r="G49" s="1"/>
      <c r="H49" s="338" t="str">
        <f>IF(F49="NG","代表申請者住所の"&amp;H51&amp;H53&amp;H55&amp;H57&amp;"が空欄です。"&amp;H59,IF(F49="要確認",H59,""))</f>
        <v/>
      </c>
      <c r="I49" s="338"/>
      <c r="J49" s="338"/>
      <c r="K49" s="338"/>
      <c r="L49" s="338"/>
      <c r="M49" s="338"/>
      <c r="N49" s="220"/>
      <c r="O49" s="220"/>
      <c r="Q49" s="235" t="str">
        <f>F49</f>
        <v>単独申請</v>
      </c>
    </row>
    <row r="50" spans="1:17" ht="5.0999999999999996" customHeight="1" x14ac:dyDescent="0.15">
      <c r="A50" s="220"/>
      <c r="B50" s="220"/>
      <c r="C50" s="220"/>
      <c r="D50" s="220"/>
      <c r="E50" s="220"/>
      <c r="F50" s="220"/>
      <c r="G50" s="220"/>
      <c r="H50" s="236"/>
      <c r="I50" s="236"/>
      <c r="J50" s="236"/>
      <c r="K50" s="236"/>
      <c r="L50" s="236"/>
      <c r="M50" s="236"/>
      <c r="N50" s="220"/>
      <c r="O50" s="220"/>
    </row>
    <row r="51" spans="1:17" ht="13.5" hidden="1" customHeight="1" x14ac:dyDescent="0.15">
      <c r="A51" s="220"/>
      <c r="B51" s="220"/>
      <c r="C51" s="1" t="s">
        <v>103</v>
      </c>
      <c r="D51" s="2" t="s">
        <v>477</v>
      </c>
      <c r="E51" s="1"/>
      <c r="F51" s="64" t="str">
        <f>エラー判定!E65</f>
        <v>NG</v>
      </c>
      <c r="G51" s="1"/>
      <c r="H51" s="334" t="str">
        <f>IF($F51="OK","",IF(AND($F51="NG",COUNTIF(F53:F57,"NG")&gt;=1),"郵便番号、","郵便番号"))</f>
        <v>郵便番号、</v>
      </c>
      <c r="I51" s="334"/>
      <c r="J51" s="334"/>
      <c r="K51" s="334"/>
      <c r="L51" s="334"/>
      <c r="M51" s="334"/>
      <c r="N51" s="220"/>
      <c r="O51" s="220"/>
    </row>
    <row r="52" spans="1:17" ht="5.0999999999999996" hidden="1" customHeight="1" x14ac:dyDescent="0.15">
      <c r="A52" s="220"/>
      <c r="B52" s="220"/>
      <c r="C52" s="1"/>
      <c r="D52" s="1"/>
      <c r="E52" s="1"/>
      <c r="F52" s="1"/>
      <c r="G52" s="1"/>
      <c r="H52" s="89"/>
      <c r="I52" s="89"/>
      <c r="J52" s="89"/>
      <c r="K52" s="89"/>
      <c r="L52" s="89"/>
      <c r="M52" s="89"/>
      <c r="N52" s="220"/>
      <c r="O52" s="220"/>
    </row>
    <row r="53" spans="1:17" ht="13.5" hidden="1" customHeight="1" x14ac:dyDescent="0.15">
      <c r="A53" s="220"/>
      <c r="B53" s="220"/>
      <c r="C53" s="1" t="s">
        <v>103</v>
      </c>
      <c r="D53" s="2" t="s">
        <v>478</v>
      </c>
      <c r="E53" s="1"/>
      <c r="F53" s="64" t="str">
        <f>エラー判定!E67</f>
        <v>NG</v>
      </c>
      <c r="G53" s="1"/>
      <c r="H53" s="334" t="str">
        <f>IF($F53="OK","",IF(AND($F53="NG",COUNTIF(F55:F57,"NG")&gt;=1),"都道府県、","都道府県"))</f>
        <v>都道府県、</v>
      </c>
      <c r="I53" s="334"/>
      <c r="J53" s="334"/>
      <c r="K53" s="334"/>
      <c r="L53" s="334"/>
      <c r="M53" s="334"/>
      <c r="N53" s="220"/>
      <c r="O53" s="220"/>
    </row>
    <row r="54" spans="1:17" ht="5.0999999999999996" hidden="1" customHeight="1" x14ac:dyDescent="0.15">
      <c r="A54" s="220"/>
      <c r="B54" s="220"/>
      <c r="C54" s="1"/>
      <c r="D54" s="1"/>
      <c r="E54" s="1"/>
      <c r="F54" s="1"/>
      <c r="G54" s="1"/>
      <c r="H54" s="89"/>
      <c r="I54" s="89"/>
      <c r="J54" s="89"/>
      <c r="K54" s="89"/>
      <c r="L54" s="89"/>
      <c r="M54" s="89"/>
      <c r="N54" s="220"/>
      <c r="O54" s="220"/>
    </row>
    <row r="55" spans="1:17" ht="13.5" hidden="1" customHeight="1" x14ac:dyDescent="0.15">
      <c r="A55" s="220"/>
      <c r="B55" s="220"/>
      <c r="C55" s="1" t="s">
        <v>103</v>
      </c>
      <c r="D55" s="2" t="s">
        <v>479</v>
      </c>
      <c r="E55" s="1"/>
      <c r="F55" s="64" t="str">
        <f>エラー判定!E69</f>
        <v>NG</v>
      </c>
      <c r="G55" s="1"/>
      <c r="H55" s="334" t="str">
        <f>IF($F55="OK","",IF(AND($F55="NG",COUNTIF(F57,"NG")&gt;=1),"市区町村、","市区町村"))</f>
        <v>市区町村、</v>
      </c>
      <c r="I55" s="334"/>
      <c r="J55" s="334"/>
      <c r="K55" s="334"/>
      <c r="L55" s="334"/>
      <c r="M55" s="334"/>
      <c r="N55" s="220"/>
      <c r="O55" s="220"/>
    </row>
    <row r="56" spans="1:17" ht="5.0999999999999996" hidden="1" customHeight="1" x14ac:dyDescent="0.15">
      <c r="A56" s="220"/>
      <c r="B56" s="220"/>
      <c r="C56" s="1"/>
      <c r="D56" s="1"/>
      <c r="E56" s="1"/>
      <c r="F56" s="1"/>
      <c r="G56" s="1"/>
      <c r="H56" s="89"/>
      <c r="I56" s="89"/>
      <c r="J56" s="89"/>
      <c r="K56" s="89"/>
      <c r="L56" s="89"/>
      <c r="M56" s="89"/>
      <c r="N56" s="220"/>
      <c r="O56" s="220"/>
    </row>
    <row r="57" spans="1:17" ht="13.5" hidden="1" customHeight="1" x14ac:dyDescent="0.15">
      <c r="A57" s="220"/>
      <c r="B57" s="220"/>
      <c r="C57" s="1" t="s">
        <v>103</v>
      </c>
      <c r="D57" s="2" t="s">
        <v>480</v>
      </c>
      <c r="E57" s="1"/>
      <c r="F57" s="64" t="str">
        <f>エラー判定!E71</f>
        <v>NG</v>
      </c>
      <c r="G57" s="1"/>
      <c r="H57" s="334" t="str">
        <f>IF($F57="OK","",IF($F57="NG","町名地番",""))</f>
        <v>町名地番</v>
      </c>
      <c r="I57" s="334"/>
      <c r="J57" s="334"/>
      <c r="K57" s="334"/>
      <c r="L57" s="334"/>
      <c r="M57" s="334"/>
      <c r="N57" s="220"/>
      <c r="O57" s="220"/>
    </row>
    <row r="58" spans="1:17" ht="5.0999999999999996" hidden="1" customHeight="1" x14ac:dyDescent="0.15">
      <c r="A58" s="220"/>
      <c r="B58" s="220"/>
      <c r="C58" s="1"/>
      <c r="D58" s="1"/>
      <c r="E58" s="1"/>
      <c r="F58" s="1"/>
      <c r="G58" s="1"/>
      <c r="H58" s="89"/>
      <c r="I58" s="89"/>
      <c r="J58" s="89"/>
      <c r="K58" s="89"/>
      <c r="L58" s="89"/>
      <c r="M58" s="89"/>
      <c r="N58" s="220"/>
      <c r="O58" s="220"/>
    </row>
    <row r="59" spans="1:17" ht="13.5" hidden="1" customHeight="1" x14ac:dyDescent="0.15">
      <c r="A59" s="220"/>
      <c r="B59" s="220"/>
      <c r="C59" s="1" t="s">
        <v>103</v>
      </c>
      <c r="D59" s="2" t="s">
        <v>481</v>
      </c>
      <c r="E59" s="1"/>
      <c r="F59" s="64" t="str">
        <f>エラー判定!E73</f>
        <v>SPACE</v>
      </c>
      <c r="G59" s="1"/>
      <c r="H59" s="334" t="str">
        <f>IF($F59="WRITED","",IF(AND($F59="SPACE",COUNTIF(F51:F57,"NG")&gt;=1),"また、建物名称が空欄ですが、ない場合は問題ありません。","代表申請者の住所の建物名称が空欄です。建物名称がない場合は問題ありません。"))</f>
        <v>また、建物名称が空欄ですが、ない場合は問題ありません。</v>
      </c>
      <c r="I59" s="334"/>
      <c r="J59" s="334"/>
      <c r="K59" s="334"/>
      <c r="L59" s="334"/>
      <c r="M59" s="334"/>
      <c r="N59" s="220"/>
      <c r="O59" s="220"/>
    </row>
    <row r="60" spans="1:17" ht="5.0999999999999996" hidden="1" customHeight="1" x14ac:dyDescent="0.15">
      <c r="A60" s="220"/>
      <c r="B60" s="220"/>
      <c r="C60" s="1"/>
      <c r="D60" s="1"/>
      <c r="E60" s="1"/>
      <c r="F60" s="1"/>
      <c r="G60" s="1"/>
      <c r="H60" s="89"/>
      <c r="I60" s="89"/>
      <c r="J60" s="89"/>
      <c r="K60" s="89"/>
      <c r="L60" s="89"/>
      <c r="M60" s="89"/>
      <c r="N60" s="220"/>
      <c r="O60" s="220"/>
    </row>
    <row r="61" spans="1:17" x14ac:dyDescent="0.15">
      <c r="A61" s="220"/>
      <c r="B61" s="220"/>
      <c r="C61" s="1" t="s">
        <v>346</v>
      </c>
      <c r="D61" s="113"/>
      <c r="E61" s="1"/>
      <c r="F61" s="114" t="str">
        <f>IF(反映シート!$C$76="なし","単独申請",IF(エラー判定!X65="OK","OK","NG"))</f>
        <v>単独申請</v>
      </c>
      <c r="G61" s="1"/>
      <c r="H61" s="342" t="str">
        <f>IF(AND(エラー判定!E66="NG",エラー判定!E68="NG"),"代表申請者の法人名および法人名（カナ）を入力してください。",IF(エラー判定!E66="NG","代表申請者の法人名を入力してください。",IF(エラー判定!E68="NG","代表申請者の法人名（カナ）を入力してください。","")))</f>
        <v/>
      </c>
      <c r="I61" s="342"/>
      <c r="J61" s="342"/>
      <c r="K61" s="342"/>
      <c r="L61" s="342"/>
      <c r="M61" s="342"/>
      <c r="N61" s="220"/>
      <c r="O61" s="220"/>
      <c r="Q61" s="235" t="str">
        <f>F61</f>
        <v>単独申請</v>
      </c>
    </row>
    <row r="62" spans="1:17" ht="5.0999999999999996" customHeight="1" x14ac:dyDescent="0.15">
      <c r="A62" s="220"/>
      <c r="B62" s="220"/>
      <c r="C62" s="220"/>
      <c r="D62" s="220"/>
      <c r="E62" s="220"/>
      <c r="F62" s="220"/>
      <c r="G62" s="220"/>
      <c r="H62" s="236"/>
      <c r="I62" s="236"/>
      <c r="J62" s="236"/>
      <c r="K62" s="236"/>
      <c r="L62" s="236"/>
      <c r="M62" s="236"/>
      <c r="N62" s="220"/>
      <c r="O62" s="220"/>
    </row>
    <row r="63" spans="1:17" x14ac:dyDescent="0.15">
      <c r="A63" s="220"/>
      <c r="B63" s="220"/>
      <c r="C63" s="1" t="s">
        <v>369</v>
      </c>
      <c r="D63" s="37"/>
      <c r="E63" s="1"/>
      <c r="F63" s="38" t="str">
        <f>IF(反映シート!C76="なし","単独申請",IF(COUNTIF(F65:F73,"NG")&lt;&gt;0,"NG","OK"))</f>
        <v>単独申請</v>
      </c>
      <c r="G63" s="1"/>
      <c r="H63" s="338" t="str">
        <f>IF(OR(F63="OK",F63="単独申請"),"",IF(F63="NG","代表申請者の"&amp;H65&amp;H67&amp;H69&amp;H71&amp;H73&amp;"を入力してください。",""))</f>
        <v/>
      </c>
      <c r="I63" s="338"/>
      <c r="J63" s="338"/>
      <c r="K63" s="338"/>
      <c r="L63" s="338"/>
      <c r="M63" s="338"/>
      <c r="N63" s="220"/>
      <c r="O63" s="220"/>
      <c r="Q63" s="235" t="str">
        <f>F63</f>
        <v>単独申請</v>
      </c>
    </row>
    <row r="64" spans="1:17" ht="5.0999999999999996" customHeight="1" x14ac:dyDescent="0.15">
      <c r="A64" s="220"/>
      <c r="B64" s="220"/>
      <c r="C64" s="220"/>
      <c r="D64" s="220"/>
      <c r="E64" s="220"/>
      <c r="F64" s="220"/>
      <c r="G64" s="220"/>
      <c r="H64" s="236"/>
      <c r="I64" s="236"/>
      <c r="J64" s="236"/>
      <c r="K64" s="236"/>
      <c r="L64" s="236"/>
      <c r="M64" s="236"/>
      <c r="N64" s="220"/>
      <c r="O64" s="220"/>
    </row>
    <row r="65" spans="1:17" hidden="1" x14ac:dyDescent="0.15">
      <c r="A65" s="220"/>
      <c r="B65" s="220"/>
      <c r="C65" s="1" t="s">
        <v>347</v>
      </c>
      <c r="D65" s="2"/>
      <c r="E65" s="1"/>
      <c r="F65" s="64" t="str">
        <f>エラー判定!E81</f>
        <v>NG</v>
      </c>
      <c r="G65" s="1"/>
      <c r="H65" s="334" t="str">
        <f>IF($F65="OK","",IF(AND($F65="NG",COUNTIF(F67:F73,"NG")&gt;=1),"役職、","役職"))</f>
        <v>役職、</v>
      </c>
      <c r="I65" s="334"/>
      <c r="J65" s="334"/>
      <c r="K65" s="334"/>
      <c r="L65" s="334"/>
      <c r="M65" s="334"/>
      <c r="N65" s="220"/>
      <c r="O65" s="220"/>
    </row>
    <row r="66" spans="1:17" ht="5.0999999999999996" hidden="1" customHeight="1" x14ac:dyDescent="0.15">
      <c r="A66" s="220"/>
      <c r="B66" s="220"/>
      <c r="C66" s="1"/>
      <c r="D66" s="1"/>
      <c r="E66" s="1"/>
      <c r="F66" s="1"/>
      <c r="G66" s="1"/>
      <c r="H66" s="89"/>
      <c r="I66" s="89"/>
      <c r="J66" s="89"/>
      <c r="K66" s="89"/>
      <c r="L66" s="89"/>
      <c r="M66" s="89"/>
      <c r="N66" s="220"/>
      <c r="O66" s="220"/>
    </row>
    <row r="67" spans="1:17" hidden="1" x14ac:dyDescent="0.15">
      <c r="A67" s="220"/>
      <c r="B67" s="220"/>
      <c r="C67" s="1" t="s">
        <v>348</v>
      </c>
      <c r="D67" s="2"/>
      <c r="E67" s="1"/>
      <c r="F67" s="64" t="str">
        <f>IF(エラー判定!Q83="11","OK","NG")</f>
        <v>NG</v>
      </c>
      <c r="G67" s="1"/>
      <c r="H67" s="334" t="str">
        <f>IF($F67="OK","",IF(AND($F67="NG",COUNTIF(F69:F73,"NG")&gt;=1),"氏名、","氏名"))</f>
        <v>氏名、</v>
      </c>
      <c r="I67" s="334"/>
      <c r="J67" s="334"/>
      <c r="K67" s="334"/>
      <c r="L67" s="334"/>
      <c r="M67" s="334"/>
      <c r="N67" s="220"/>
      <c r="O67" s="220"/>
    </row>
    <row r="68" spans="1:17" ht="5.0999999999999996" hidden="1" customHeight="1" x14ac:dyDescent="0.15">
      <c r="A68" s="220"/>
      <c r="B68" s="220"/>
      <c r="C68" s="1"/>
      <c r="D68" s="1"/>
      <c r="E68" s="1"/>
      <c r="F68" s="1"/>
      <c r="G68" s="1"/>
      <c r="H68" s="89"/>
      <c r="I68" s="89"/>
      <c r="J68" s="89"/>
      <c r="K68" s="89"/>
      <c r="L68" s="89"/>
      <c r="M68" s="89"/>
      <c r="N68" s="220"/>
      <c r="O68" s="220"/>
    </row>
    <row r="69" spans="1:17" hidden="1" x14ac:dyDescent="0.15">
      <c r="A69" s="220"/>
      <c r="B69" s="220"/>
      <c r="C69" s="1" t="s">
        <v>349</v>
      </c>
      <c r="D69" s="2"/>
      <c r="E69" s="1"/>
      <c r="F69" s="64" t="str">
        <f>IF(エラー判定!Q87="11","OK","NG")</f>
        <v>NG</v>
      </c>
      <c r="G69" s="1"/>
      <c r="H69" s="334" t="str">
        <f>IF($F69="OK","",IF(AND($F69="NG",COUNTIF(F71:F73,"NG")&gt;=1),"シメイ、","シメイ"))</f>
        <v>シメイ、</v>
      </c>
      <c r="I69" s="334"/>
      <c r="J69" s="334"/>
      <c r="K69" s="334"/>
      <c r="L69" s="334"/>
      <c r="M69" s="334"/>
      <c r="N69" s="220"/>
      <c r="O69" s="220"/>
    </row>
    <row r="70" spans="1:17" ht="5.0999999999999996" hidden="1" customHeight="1" x14ac:dyDescent="0.15">
      <c r="A70" s="220"/>
      <c r="B70" s="220"/>
      <c r="C70" s="1"/>
      <c r="D70" s="1"/>
      <c r="E70" s="1"/>
      <c r="F70" s="1"/>
      <c r="G70" s="1"/>
      <c r="H70" s="89"/>
      <c r="I70" s="89"/>
      <c r="J70" s="89"/>
      <c r="K70" s="89"/>
      <c r="L70" s="89"/>
      <c r="M70" s="89"/>
      <c r="N70" s="220"/>
      <c r="O70" s="220"/>
    </row>
    <row r="71" spans="1:17" hidden="1" x14ac:dyDescent="0.15">
      <c r="A71" s="220"/>
      <c r="B71" s="220"/>
      <c r="C71" s="1" t="s">
        <v>350</v>
      </c>
      <c r="D71" s="2"/>
      <c r="E71" s="1"/>
      <c r="F71" s="64" t="str">
        <f>エラー判定!E91</f>
        <v>NG</v>
      </c>
      <c r="G71" s="1"/>
      <c r="H71" s="334" t="str">
        <f>IF($F71="OK","",IF(AND($F71="NG",COUNTIF(F73,"NG")&gt;=1),"生年月日、","生年月日"))</f>
        <v>生年月日、</v>
      </c>
      <c r="I71" s="334"/>
      <c r="J71" s="334"/>
      <c r="K71" s="334"/>
      <c r="L71" s="334"/>
      <c r="M71" s="334"/>
      <c r="N71" s="220"/>
      <c r="O71" s="220"/>
    </row>
    <row r="72" spans="1:17" ht="5.0999999999999996" hidden="1" customHeight="1" x14ac:dyDescent="0.15">
      <c r="A72" s="220"/>
      <c r="B72" s="220"/>
      <c r="C72" s="1"/>
      <c r="D72" s="1"/>
      <c r="E72" s="1"/>
      <c r="F72" s="1"/>
      <c r="G72" s="1"/>
      <c r="H72" s="89"/>
      <c r="I72" s="89"/>
      <c r="J72" s="89"/>
      <c r="K72" s="89"/>
      <c r="L72" s="89"/>
      <c r="M72" s="89"/>
      <c r="N72" s="220"/>
      <c r="O72" s="220"/>
    </row>
    <row r="73" spans="1:17" hidden="1" x14ac:dyDescent="0.15">
      <c r="A73" s="220"/>
      <c r="B73" s="220"/>
      <c r="C73" s="1" t="s">
        <v>351</v>
      </c>
      <c r="D73" s="2"/>
      <c r="E73" s="1"/>
      <c r="F73" s="64" t="str">
        <f>エラー判定!E89</f>
        <v>NG</v>
      </c>
      <c r="G73" s="1"/>
      <c r="H73" s="334" t="str">
        <f>IF($F73="OK","",IF($F73="NG","性別、","性別"))</f>
        <v>性別、</v>
      </c>
      <c r="I73" s="334"/>
      <c r="J73" s="334"/>
      <c r="K73" s="334"/>
      <c r="L73" s="334"/>
      <c r="M73" s="334"/>
      <c r="N73" s="220"/>
      <c r="O73" s="220"/>
    </row>
    <row r="74" spans="1:17" ht="5.0999999999999996" hidden="1" customHeight="1" x14ac:dyDescent="0.15">
      <c r="A74" s="220"/>
      <c r="B74" s="220"/>
      <c r="C74" s="1"/>
      <c r="D74" s="1"/>
      <c r="E74" s="1"/>
      <c r="F74" s="1"/>
      <c r="G74" s="1"/>
      <c r="H74" s="89"/>
      <c r="I74" s="89"/>
      <c r="J74" s="89"/>
      <c r="K74" s="89"/>
      <c r="L74" s="89"/>
      <c r="M74" s="89"/>
      <c r="N74" s="220"/>
      <c r="O74" s="220"/>
    </row>
    <row r="75" spans="1:17" x14ac:dyDescent="0.15">
      <c r="A75" s="220"/>
      <c r="B75" s="220"/>
      <c r="C75" s="1" t="s">
        <v>352</v>
      </c>
      <c r="D75" s="113"/>
      <c r="E75" s="1"/>
      <c r="F75" s="114" t="str">
        <f>IF(AND(反映シート!M5&lt;&gt;0,反映シート!O5=0),"単独申請",エラー判定!E95)</f>
        <v>NG</v>
      </c>
      <c r="G75" s="1"/>
      <c r="H75" s="342" t="str">
        <f>IF(F75="NG","代表申請者の補助事業者区分を入力してください。","")</f>
        <v>代表申請者の補助事業者区分を入力してください。</v>
      </c>
      <c r="I75" s="342"/>
      <c r="J75" s="342"/>
      <c r="K75" s="342"/>
      <c r="L75" s="342"/>
      <c r="M75" s="342"/>
      <c r="N75" s="220"/>
      <c r="O75" s="220"/>
      <c r="Q75" s="235" t="str">
        <f>F75</f>
        <v>NG</v>
      </c>
    </row>
    <row r="76" spans="1:17" ht="5.0999999999999996" customHeight="1" x14ac:dyDescent="0.15">
      <c r="A76" s="220"/>
      <c r="B76" s="220"/>
      <c r="C76" s="220"/>
      <c r="D76" s="220"/>
      <c r="E76" s="220"/>
      <c r="F76" s="220"/>
      <c r="G76" s="220"/>
      <c r="H76" s="236"/>
      <c r="I76" s="236"/>
      <c r="J76" s="236"/>
      <c r="K76" s="236"/>
      <c r="L76" s="236"/>
      <c r="M76" s="236"/>
      <c r="N76" s="220"/>
      <c r="O76" s="220"/>
    </row>
    <row r="77" spans="1:17" x14ac:dyDescent="0.15">
      <c r="A77" s="220"/>
      <c r="B77" s="220"/>
      <c r="C77" s="39" t="s">
        <v>353</v>
      </c>
      <c r="D77" s="39"/>
      <c r="E77" s="1"/>
      <c r="F77" s="40" t="str">
        <f>エラー判定!$E$101</f>
        <v>NG</v>
      </c>
      <c r="G77" s="1"/>
      <c r="H77" s="335" t="str">
        <f>IF(AND(COUNTIF(入力シート!$D$124:$D$138,"✓")=0,入力シート!D140="✓"),"AI・IoTによるシステム連係ツールのみの申請はできません。",IF(AND(F77="NG",反映シート!C132=FALSE),"申請するシステムを選択してください。",""))</f>
        <v>申請するシステムを選択してください。</v>
      </c>
      <c r="I77" s="335"/>
      <c r="J77" s="335"/>
      <c r="K77" s="335"/>
      <c r="L77" s="335"/>
      <c r="M77" s="335"/>
      <c r="N77" s="220"/>
      <c r="O77" s="220"/>
      <c r="Q77" s="235" t="str">
        <f>F77</f>
        <v>NG</v>
      </c>
    </row>
    <row r="78" spans="1:17" ht="5.0999999999999996" customHeight="1" x14ac:dyDescent="0.15">
      <c r="A78" s="220"/>
      <c r="B78" s="220"/>
      <c r="C78" s="220"/>
      <c r="D78" s="220"/>
      <c r="E78" s="220"/>
      <c r="F78" s="220"/>
      <c r="G78" s="220"/>
      <c r="H78" s="236"/>
      <c r="I78" s="236"/>
      <c r="J78" s="236"/>
      <c r="K78" s="236"/>
      <c r="L78" s="236"/>
      <c r="M78" s="236"/>
      <c r="N78" s="220"/>
      <c r="O78" s="220"/>
    </row>
    <row r="79" spans="1:17" x14ac:dyDescent="0.15">
      <c r="A79" s="220"/>
      <c r="B79" s="220"/>
      <c r="C79" s="1" t="s">
        <v>457</v>
      </c>
      <c r="D79" s="115"/>
      <c r="E79" s="1"/>
      <c r="F79" s="116" t="str">
        <f>エラー判定!Q107</f>
        <v>OK</v>
      </c>
      <c r="G79" s="1"/>
      <c r="H79" s="343" t="str">
        <f>IF(F79="NG","車両動態管理システムに必要な情報を正しく入力してください。","")</f>
        <v/>
      </c>
      <c r="I79" s="343"/>
      <c r="J79" s="343"/>
      <c r="K79" s="343"/>
      <c r="L79" s="343"/>
      <c r="M79" s="343"/>
      <c r="N79" s="220"/>
      <c r="O79" s="220"/>
      <c r="Q79" s="235" t="str">
        <f>F79</f>
        <v>OK</v>
      </c>
    </row>
    <row r="80" spans="1:17" ht="5.0999999999999996" customHeight="1" x14ac:dyDescent="0.15">
      <c r="A80" s="220"/>
      <c r="B80" s="220"/>
      <c r="C80" s="220"/>
      <c r="D80" s="220"/>
      <c r="E80" s="220"/>
      <c r="F80" s="220"/>
      <c r="G80" s="220"/>
      <c r="H80" s="236"/>
      <c r="I80" s="236"/>
      <c r="J80" s="236"/>
      <c r="K80" s="236"/>
      <c r="L80" s="236"/>
      <c r="M80" s="236"/>
      <c r="N80" s="220"/>
      <c r="O80" s="220"/>
    </row>
    <row r="81" spans="1:17" x14ac:dyDescent="0.15">
      <c r="A81" s="220"/>
      <c r="B81" s="220"/>
      <c r="C81" s="1" t="s">
        <v>458</v>
      </c>
      <c r="D81" s="39"/>
      <c r="E81" s="1"/>
      <c r="F81" s="40" t="str">
        <f>エラー判定!Q119</f>
        <v>OK</v>
      </c>
      <c r="G81" s="1"/>
      <c r="H81" s="335" t="str">
        <f>IF(F81="NG","予約受付システム等に必要な情報を正しく入力してください。","")</f>
        <v/>
      </c>
      <c r="I81" s="335"/>
      <c r="J81" s="335"/>
      <c r="K81" s="335"/>
      <c r="L81" s="335"/>
      <c r="M81" s="335"/>
      <c r="N81" s="220"/>
      <c r="O81" s="220"/>
      <c r="Q81" s="235" t="str">
        <f>F81</f>
        <v>OK</v>
      </c>
    </row>
    <row r="82" spans="1:17" ht="5.0999999999999996" customHeight="1" x14ac:dyDescent="0.15">
      <c r="A82" s="220"/>
      <c r="B82" s="220"/>
      <c r="C82" s="220"/>
      <c r="D82" s="220"/>
      <c r="E82" s="220"/>
      <c r="F82" s="220"/>
      <c r="G82" s="220"/>
      <c r="H82" s="236"/>
      <c r="I82" s="236"/>
      <c r="J82" s="236"/>
      <c r="K82" s="236"/>
      <c r="L82" s="236"/>
      <c r="M82" s="236"/>
      <c r="N82" s="220"/>
      <c r="O82" s="220"/>
    </row>
    <row r="83" spans="1:17" x14ac:dyDescent="0.15">
      <c r="A83" s="220"/>
      <c r="B83" s="220"/>
      <c r="C83" s="1" t="s">
        <v>460</v>
      </c>
      <c r="D83" s="115"/>
      <c r="E83" s="1"/>
      <c r="F83" s="116" t="str">
        <f>エラー判定!Q145</f>
        <v>OK</v>
      </c>
      <c r="G83" s="1"/>
      <c r="H83" s="343" t="str">
        <f>IF(F83="NG","配車計画システムに必要な情報を正しく入力してください。","")</f>
        <v/>
      </c>
      <c r="I83" s="343"/>
      <c r="J83" s="343"/>
      <c r="K83" s="343"/>
      <c r="L83" s="343"/>
      <c r="M83" s="343"/>
      <c r="N83" s="220"/>
      <c r="O83" s="220"/>
      <c r="Q83" s="235" t="str">
        <f>F83</f>
        <v>OK</v>
      </c>
    </row>
    <row r="84" spans="1:17" ht="5.0999999999999996" customHeight="1" x14ac:dyDescent="0.15">
      <c r="A84" s="220"/>
      <c r="B84" s="220"/>
      <c r="C84" s="220"/>
      <c r="D84" s="220"/>
      <c r="E84" s="220"/>
      <c r="F84" s="220"/>
      <c r="G84" s="220"/>
      <c r="H84" s="236"/>
      <c r="I84" s="236"/>
      <c r="J84" s="236"/>
      <c r="K84" s="236"/>
      <c r="L84" s="236"/>
      <c r="M84" s="236"/>
      <c r="N84" s="220"/>
      <c r="O84" s="220"/>
    </row>
    <row r="85" spans="1:17" x14ac:dyDescent="0.15">
      <c r="A85" s="220"/>
      <c r="B85" s="220"/>
      <c r="C85" s="1" t="s">
        <v>461</v>
      </c>
      <c r="D85" s="39"/>
      <c r="E85" s="1"/>
      <c r="F85" s="40" t="str">
        <f>エラー判定!G165</f>
        <v>OK</v>
      </c>
      <c r="G85" s="1"/>
      <c r="H85" s="335" t="str">
        <f>IF(F85="NG","ＡＩ・ＩоＴによるシステム連係ツールに必要な情報を正しく入力してください。","")</f>
        <v/>
      </c>
      <c r="I85" s="335"/>
      <c r="J85" s="335"/>
      <c r="K85" s="335"/>
      <c r="L85" s="335"/>
      <c r="M85" s="335"/>
      <c r="N85" s="220"/>
      <c r="O85" s="220"/>
      <c r="Q85" s="235" t="str">
        <f>F85</f>
        <v>OK</v>
      </c>
    </row>
    <row r="86" spans="1:17" ht="5.0999999999999996" customHeight="1" x14ac:dyDescent="0.15">
      <c r="A86" s="220"/>
      <c r="B86" s="220"/>
      <c r="C86" s="220"/>
      <c r="D86" s="220"/>
      <c r="E86" s="220"/>
      <c r="F86" s="220"/>
      <c r="G86" s="220"/>
      <c r="H86" s="236"/>
      <c r="I86" s="236"/>
      <c r="J86" s="236"/>
      <c r="K86" s="236"/>
      <c r="L86" s="236"/>
      <c r="M86" s="236"/>
      <c r="N86" s="220"/>
      <c r="O86" s="220"/>
    </row>
    <row r="87" spans="1:17" x14ac:dyDescent="0.15">
      <c r="A87" s="220"/>
      <c r="B87" s="220"/>
      <c r="C87" s="37" t="s">
        <v>370</v>
      </c>
      <c r="D87" s="37"/>
      <c r="E87" s="1"/>
      <c r="F87" s="38" t="str">
        <f>IF(エラー判定!$Q$174="1111","OK","NG")</f>
        <v>OK</v>
      </c>
      <c r="G87" s="1"/>
      <c r="H87" s="338" t="str">
        <f>IF(F87="NG","補助対象経費を入力してください。","")</f>
        <v/>
      </c>
      <c r="I87" s="338"/>
      <c r="J87" s="338"/>
      <c r="K87" s="338"/>
      <c r="L87" s="338"/>
      <c r="M87" s="338"/>
      <c r="N87" s="220"/>
      <c r="O87" s="220"/>
      <c r="Q87" s="235" t="str">
        <f>F87</f>
        <v>OK</v>
      </c>
    </row>
    <row r="88" spans="1:17" ht="5.0999999999999996" customHeight="1" x14ac:dyDescent="0.15">
      <c r="A88" s="220"/>
      <c r="B88" s="220"/>
      <c r="C88" s="220"/>
      <c r="D88" s="220"/>
      <c r="E88" s="220"/>
      <c r="F88" s="220"/>
      <c r="G88" s="220"/>
      <c r="H88" s="236"/>
      <c r="I88" s="236"/>
      <c r="J88" s="236"/>
      <c r="K88" s="236"/>
      <c r="L88" s="236"/>
      <c r="M88" s="236"/>
      <c r="N88" s="220"/>
      <c r="O88" s="220"/>
    </row>
    <row r="89" spans="1:17" x14ac:dyDescent="0.15">
      <c r="A89" s="220"/>
      <c r="B89" s="220"/>
      <c r="C89" s="39" t="s">
        <v>516</v>
      </c>
      <c r="D89" s="39"/>
      <c r="E89" s="1"/>
      <c r="F89" s="40" t="str">
        <f>IF(OR(エラー判定!$Q$194&lt;&gt;"1111",AND(反映シート!$C$301=FALSE,反映シート!$G$343=0)),"NG","OK")</f>
        <v>NG</v>
      </c>
      <c r="G89" s="1"/>
      <c r="H89" s="335" t="str">
        <f>IF(F89="NG","補助事業に要する経費を入力してください。","")</f>
        <v>補助事業に要する経費を入力してください。</v>
      </c>
      <c r="I89" s="335"/>
      <c r="J89" s="335"/>
      <c r="K89" s="335"/>
      <c r="L89" s="335"/>
      <c r="M89" s="335"/>
      <c r="N89" s="220"/>
      <c r="O89" s="220"/>
      <c r="Q89" s="235" t="str">
        <f>F89</f>
        <v>NG</v>
      </c>
    </row>
    <row r="90" spans="1:17" ht="5.0999999999999996" customHeight="1" x14ac:dyDescent="0.15">
      <c r="A90" s="220"/>
      <c r="B90" s="220"/>
      <c r="C90" s="220"/>
      <c r="D90" s="220"/>
      <c r="E90" s="220"/>
      <c r="F90" s="220"/>
      <c r="G90" s="220"/>
      <c r="H90" s="236"/>
      <c r="I90" s="236"/>
      <c r="J90" s="236"/>
      <c r="K90" s="236"/>
      <c r="L90" s="236"/>
      <c r="M90" s="236"/>
      <c r="N90" s="220"/>
      <c r="O90" s="220"/>
    </row>
    <row r="91" spans="1:17" x14ac:dyDescent="0.15">
      <c r="A91" s="220"/>
      <c r="B91" s="220"/>
      <c r="C91" s="37" t="s">
        <v>371</v>
      </c>
      <c r="D91" s="37"/>
      <c r="E91" s="1"/>
      <c r="F91" s="38" t="str">
        <f>エラー判定!$E$212</f>
        <v>NG</v>
      </c>
      <c r="G91" s="1"/>
      <c r="H91" s="338" t="str">
        <f>IF(F91="NG","事業の完了予定日を入力して下さい。","")</f>
        <v>事業の完了予定日を入力して下さい。</v>
      </c>
      <c r="I91" s="338"/>
      <c r="J91" s="338"/>
      <c r="K91" s="338"/>
      <c r="L91" s="338"/>
      <c r="M91" s="338"/>
      <c r="N91" s="220"/>
      <c r="O91" s="220"/>
      <c r="Q91" s="235" t="str">
        <f>F91</f>
        <v>NG</v>
      </c>
    </row>
    <row r="92" spans="1:17" ht="5.0999999999999996" customHeight="1" x14ac:dyDescent="0.15">
      <c r="A92" s="220"/>
      <c r="B92" s="220"/>
      <c r="C92" s="220"/>
      <c r="D92" s="220"/>
      <c r="E92" s="220"/>
      <c r="F92" s="220"/>
      <c r="G92" s="220"/>
      <c r="H92" s="236"/>
      <c r="I92" s="236"/>
      <c r="J92" s="236"/>
      <c r="K92" s="236"/>
      <c r="L92" s="236"/>
      <c r="M92" s="236"/>
      <c r="N92" s="220"/>
      <c r="O92" s="220"/>
    </row>
    <row r="93" spans="1:17" x14ac:dyDescent="0.15">
      <c r="A93" s="220"/>
      <c r="B93" s="220"/>
      <c r="C93" s="39" t="s">
        <v>372</v>
      </c>
      <c r="D93" s="39"/>
      <c r="E93" s="1"/>
      <c r="F93" s="40" t="str">
        <f>IF(エラー判定!$Q$218="666","OK",IF(エラー判定!$S$220=2,エラー判定!$E$220,IF(OR(エラー判定!$S$218=5,エラー判定!S220=5,エラー判定!$S$222=5),"空欄あり")))</f>
        <v>空欄あり</v>
      </c>
      <c r="G93" s="1"/>
      <c r="H93" s="335" t="str">
        <f>IF(COUNTIF(エラー判定!Q218,"*5*")&gt;=1,"担当者の法人名、担当部署、役職に空欄があります。特にない場合は問題ありません。","")</f>
        <v>担当者の法人名、担当部署、役職に空欄があります。特にない場合は問題ありません。</v>
      </c>
      <c r="I93" s="335"/>
      <c r="J93" s="335"/>
      <c r="K93" s="335"/>
      <c r="L93" s="335"/>
      <c r="M93" s="335"/>
      <c r="N93" s="220"/>
      <c r="O93" s="220"/>
      <c r="Q93" s="235" t="str">
        <f>F93</f>
        <v>空欄あり</v>
      </c>
    </row>
    <row r="94" spans="1:17" ht="5.0999999999999996" customHeight="1" x14ac:dyDescent="0.15">
      <c r="A94" s="220"/>
      <c r="B94" s="220"/>
      <c r="C94" s="220"/>
      <c r="D94" s="220"/>
      <c r="E94" s="220"/>
      <c r="F94" s="220"/>
      <c r="G94" s="220"/>
      <c r="H94" s="236"/>
      <c r="I94" s="236"/>
      <c r="J94" s="236"/>
      <c r="K94" s="236"/>
      <c r="L94" s="236"/>
      <c r="M94" s="236"/>
      <c r="N94" s="220"/>
      <c r="O94" s="220"/>
    </row>
    <row r="95" spans="1:17" x14ac:dyDescent="0.15">
      <c r="A95" s="220"/>
      <c r="B95" s="220"/>
      <c r="C95" s="1" t="s">
        <v>104</v>
      </c>
      <c r="D95" s="115"/>
      <c r="E95" s="1"/>
      <c r="F95" s="116" t="str">
        <f>IF(エラー判定!$Q$226="11","OK","NG")</f>
        <v>NG</v>
      </c>
      <c r="G95" s="1"/>
      <c r="H95" s="343" t="str">
        <f>IF(F95="NG","担当者の姓、名を入力してください。","")</f>
        <v>担当者の姓、名を入力してください。</v>
      </c>
      <c r="I95" s="343"/>
      <c r="J95" s="343"/>
      <c r="K95" s="343"/>
      <c r="L95" s="343"/>
      <c r="M95" s="343"/>
      <c r="N95" s="220"/>
      <c r="O95" s="220"/>
      <c r="Q95" s="235" t="str">
        <f>F95</f>
        <v>NG</v>
      </c>
    </row>
    <row r="96" spans="1:17" ht="5.0999999999999996" customHeight="1" x14ac:dyDescent="0.15">
      <c r="A96" s="220"/>
      <c r="B96" s="220"/>
      <c r="C96" s="220"/>
      <c r="D96" s="220"/>
      <c r="E96" s="220"/>
      <c r="F96" s="220"/>
      <c r="G96" s="220"/>
      <c r="H96" s="236"/>
      <c r="I96" s="236"/>
      <c r="J96" s="236"/>
      <c r="K96" s="236"/>
      <c r="L96" s="236"/>
      <c r="M96" s="236"/>
      <c r="N96" s="220"/>
      <c r="O96" s="220"/>
    </row>
    <row r="97" spans="1:17" x14ac:dyDescent="0.15">
      <c r="A97" s="220"/>
      <c r="B97" s="220"/>
      <c r="C97" s="1" t="s">
        <v>105</v>
      </c>
      <c r="D97" s="39"/>
      <c r="E97" s="1"/>
      <c r="F97" s="40" t="str">
        <f>IF(OR(エラー判定!$Q$232="161",エラー判定!$Q$232="151"),"OK","NG")</f>
        <v>NG</v>
      </c>
      <c r="G97" s="1"/>
      <c r="H97" s="335" t="s">
        <v>515</v>
      </c>
      <c r="I97" s="335"/>
      <c r="J97" s="335"/>
      <c r="K97" s="335"/>
      <c r="L97" s="335"/>
      <c r="M97" s="335"/>
      <c r="N97" s="220"/>
      <c r="O97" s="220"/>
      <c r="Q97" s="235" t="str">
        <f>F97</f>
        <v>NG</v>
      </c>
    </row>
    <row r="98" spans="1:17" ht="5.0999999999999996" customHeight="1" x14ac:dyDescent="0.15">
      <c r="A98" s="220"/>
      <c r="B98" s="220"/>
      <c r="C98" s="220"/>
      <c r="D98" s="220"/>
      <c r="E98" s="220"/>
      <c r="F98" s="220"/>
      <c r="G98" s="220"/>
      <c r="H98" s="236"/>
      <c r="I98" s="236"/>
      <c r="J98" s="236"/>
      <c r="K98" s="236"/>
      <c r="L98" s="236"/>
      <c r="M98" s="236"/>
      <c r="N98" s="220"/>
      <c r="O98" s="220"/>
    </row>
    <row r="99" spans="1:17" x14ac:dyDescent="0.15">
      <c r="A99" s="220"/>
      <c r="B99" s="220"/>
      <c r="C99" s="37" t="s">
        <v>373</v>
      </c>
      <c r="D99" s="37"/>
      <c r="E99" s="1"/>
      <c r="F99" s="38" t="str">
        <f>IF(反映シート!C76="なし","単独申請",エラー判定!X245)</f>
        <v>単独申請</v>
      </c>
      <c r="G99" s="1"/>
      <c r="H99" s="338" t="str">
        <f>IF(F99="単独申請","",IF(エラー判定!X245="NG","共同申請者の電話番号、E-mailアドレスを入力してください。",IF(AND(エラー判定!X245="OK",COUNTIF(エラー判定!$E$245:$E$251,"SPACE")&gt;=1),"FAX番号やホームページURLがあれば入力してください。ない場合は問題ありません。","")))</f>
        <v/>
      </c>
      <c r="I99" s="338"/>
      <c r="J99" s="338"/>
      <c r="K99" s="338"/>
      <c r="L99" s="338"/>
      <c r="M99" s="338"/>
      <c r="N99" s="220"/>
      <c r="O99" s="220"/>
      <c r="Q99" s="235" t="str">
        <f>F99</f>
        <v>単独申請</v>
      </c>
    </row>
    <row r="100" spans="1:17" ht="5.0999999999999996" customHeight="1" x14ac:dyDescent="0.15">
      <c r="A100" s="220"/>
      <c r="B100" s="220"/>
      <c r="C100" s="220"/>
      <c r="D100" s="220"/>
      <c r="E100" s="220"/>
      <c r="F100" s="220"/>
      <c r="G100" s="220"/>
      <c r="H100" s="236"/>
      <c r="I100" s="236"/>
      <c r="J100" s="236"/>
      <c r="K100" s="236"/>
      <c r="L100" s="236"/>
      <c r="M100" s="236"/>
      <c r="N100" s="220"/>
      <c r="O100" s="220"/>
    </row>
    <row r="101" spans="1:17" x14ac:dyDescent="0.15">
      <c r="A101" s="220"/>
      <c r="B101" s="220"/>
      <c r="C101" s="39" t="s">
        <v>463</v>
      </c>
      <c r="D101" s="39"/>
      <c r="E101" s="1"/>
      <c r="F101" s="40" t="str">
        <f>エラー判定!$E$257</f>
        <v>NG</v>
      </c>
      <c r="G101" s="1"/>
      <c r="H101" s="335" t="str">
        <f>IF(F101="NG","人数をプルダウンから選択してください。","")</f>
        <v>人数をプルダウンから選択してください。</v>
      </c>
      <c r="I101" s="335"/>
      <c r="J101" s="335"/>
      <c r="K101" s="335"/>
      <c r="L101" s="335"/>
      <c r="M101" s="335"/>
      <c r="N101" s="220"/>
      <c r="O101" s="220"/>
      <c r="Q101" s="235" t="str">
        <f>F101</f>
        <v>NG</v>
      </c>
    </row>
    <row r="102" spans="1:17" ht="5.0999999999999996" customHeight="1" x14ac:dyDescent="0.15">
      <c r="A102" s="220"/>
      <c r="B102" s="220"/>
      <c r="C102" s="220"/>
      <c r="D102" s="220"/>
      <c r="E102" s="220"/>
      <c r="F102" s="220"/>
      <c r="G102" s="220"/>
      <c r="H102" s="236"/>
      <c r="I102" s="236"/>
      <c r="J102" s="236"/>
      <c r="K102" s="236"/>
      <c r="L102" s="236"/>
      <c r="M102" s="236"/>
      <c r="N102" s="220"/>
      <c r="O102" s="220"/>
    </row>
    <row r="103" spans="1:17" x14ac:dyDescent="0.15">
      <c r="A103" s="220"/>
      <c r="B103" s="220"/>
      <c r="C103" s="1" t="s">
        <v>517</v>
      </c>
      <c r="D103" s="115"/>
      <c r="E103" s="1"/>
      <c r="F103" s="116" t="str">
        <f>IF(OR(エラー判定!$X$46="NG",エラー判定!$S$263&lt;&gt;"11111111",エラー判定!$S$265&lt;&gt;"11111111",エラー判定!$S$267&lt;&gt;"11111111",エラー判定!$S$269&lt;&gt;"11111111",エラー判定!$S$271&lt;&gt;"11111111",エラー判定!$S$273&lt;&gt;"11111111",エラー判定!$S$275&lt;&gt;"11111111",エラー判定!$S$277&lt;&gt;"11111111",エラー判定!$S$279&lt;&gt;"11111111",エラー判定!$S$281&lt;&gt;"11111111",エラー判定!$S$283&lt;&gt;"11111111",エラー判定!$S$285&lt;&gt;"11111111",エラー判定!$S$287&lt;&gt;"11111111",エラー判定!$S$289&lt;&gt;"11111111"),"NG","OK")</f>
        <v>NG</v>
      </c>
      <c r="G103" s="1"/>
      <c r="H103" s="343" t="str">
        <f>IF(F103="NG","役員の役職、姓、名、セイ、メイ、生年月日、性別を入力してください。","")</f>
        <v>役員の役職、姓、名、セイ、メイ、生年月日、性別を入力してください。</v>
      </c>
      <c r="I103" s="343"/>
      <c r="J103" s="343"/>
      <c r="K103" s="343"/>
      <c r="L103" s="343"/>
      <c r="M103" s="343"/>
      <c r="N103" s="220"/>
      <c r="O103" s="220"/>
      <c r="Q103" s="235" t="str">
        <f>F103</f>
        <v>NG</v>
      </c>
    </row>
    <row r="104" spans="1:17" ht="5.0999999999999996" customHeight="1" x14ac:dyDescent="0.15">
      <c r="A104" s="220"/>
      <c r="B104" s="220"/>
      <c r="C104" s="220"/>
      <c r="D104" s="220"/>
      <c r="E104" s="220"/>
      <c r="F104" s="220"/>
      <c r="G104" s="220"/>
      <c r="H104" s="236"/>
      <c r="I104" s="236"/>
      <c r="J104" s="236"/>
      <c r="K104" s="236"/>
      <c r="L104" s="236"/>
      <c r="M104" s="236"/>
      <c r="N104" s="220"/>
      <c r="O104" s="220"/>
    </row>
    <row r="105" spans="1:17" x14ac:dyDescent="0.15">
      <c r="A105" s="220"/>
      <c r="B105" s="220"/>
      <c r="C105" s="37" t="s">
        <v>464</v>
      </c>
      <c r="D105" s="37"/>
      <c r="E105" s="1"/>
      <c r="F105" s="38" t="str">
        <f>IF(AND(反映シート!M5&lt;&gt;0,反映シート!O5=0),"単独申請",エラー判定!$E$295)</f>
        <v>NG</v>
      </c>
      <c r="G105" s="1"/>
      <c r="H105" s="338" t="str">
        <f>IF(F105="NG","人数をプルダウンから選択してください。","")</f>
        <v>人数をプルダウンから選択してください。</v>
      </c>
      <c r="I105" s="338"/>
      <c r="J105" s="338"/>
      <c r="K105" s="338"/>
      <c r="L105" s="338"/>
      <c r="M105" s="338"/>
      <c r="N105" s="220"/>
      <c r="O105" s="220"/>
      <c r="Q105" s="235" t="str">
        <f>F105</f>
        <v>NG</v>
      </c>
    </row>
    <row r="106" spans="1:17" ht="5.0999999999999996" customHeight="1" x14ac:dyDescent="0.15">
      <c r="A106" s="220"/>
      <c r="B106" s="220"/>
      <c r="C106" s="220"/>
      <c r="D106" s="220"/>
      <c r="E106" s="220"/>
      <c r="F106" s="220"/>
      <c r="G106" s="220"/>
      <c r="H106" s="236"/>
      <c r="I106" s="236"/>
      <c r="J106" s="236"/>
      <c r="K106" s="236"/>
      <c r="L106" s="236"/>
      <c r="M106" s="236"/>
      <c r="N106" s="220"/>
      <c r="O106" s="220"/>
    </row>
    <row r="107" spans="1:17" x14ac:dyDescent="0.15">
      <c r="A107" s="220"/>
      <c r="B107" s="220"/>
      <c r="C107" s="1" t="s">
        <v>518</v>
      </c>
      <c r="D107" s="113"/>
      <c r="E107" s="1"/>
      <c r="F107" s="114" t="str">
        <f>IF(AND(反映シート!M5&lt;&gt;0,反映シート!O5=0),"単独申請",IF(AND(エラー判定!$S$299="11111111",エラー判定!$S$301="11111111",エラー判定!$S$303="11111111",エラー判定!$S$305="11111111",エラー判定!$S$307="11111111",エラー判定!$S$309="11111111",エラー判定!$S$311="11111111",エラー判定!$S$313="11111111",エラー判定!$S$315="11111111",エラー判定!$S$317="11111111",エラー判定!$S$319="11111111",エラー判定!$S$321="11111111",エラー判定!$S$323="11111111",エラー判定!$S$325="11111111",エラー判定!$S$327="11111111"),"OK","NG"))</f>
        <v>OK</v>
      </c>
      <c r="G107" s="1"/>
      <c r="H107" s="342" t="str">
        <f>IF(F107="NG","役員の役職、姓、名、セイ、メイ、生年月日、性別を入力してください。","")</f>
        <v/>
      </c>
      <c r="I107" s="342"/>
      <c r="J107" s="342"/>
      <c r="K107" s="342"/>
      <c r="L107" s="342"/>
      <c r="M107" s="342"/>
      <c r="N107" s="220"/>
      <c r="O107" s="220"/>
      <c r="Q107" s="235" t="str">
        <f>F107</f>
        <v>OK</v>
      </c>
    </row>
    <row r="108" spans="1:17" x14ac:dyDescent="0.15">
      <c r="A108" s="220"/>
      <c r="B108" s="220"/>
      <c r="C108" s="220"/>
      <c r="D108" s="220"/>
      <c r="E108" s="220"/>
      <c r="F108" s="220"/>
      <c r="G108" s="220"/>
      <c r="H108" s="236"/>
      <c r="I108" s="236"/>
      <c r="J108" s="236"/>
      <c r="K108" s="236"/>
      <c r="L108" s="236"/>
      <c r="M108" s="236"/>
      <c r="N108" s="220"/>
      <c r="O108" s="220"/>
    </row>
  </sheetData>
  <sheetProtection algorithmName="SHA-512" hashValue="EWn+BEoGMEEPcGXyivP+O/c9XlMOtY/XKlOuhkG15CnkNhSo26nIkk2q0sYsEInKdcBRheOQtN63+amZcxpA9Q==" saltValue="1TUOFChBgGkVqMuY693RkQ==" spinCount="100000" sheet="1" objects="1" scenarios="1" selectLockedCells="1"/>
  <mergeCells count="53">
    <mergeCell ref="H83:M83"/>
    <mergeCell ref="H85:M85"/>
    <mergeCell ref="H93:M93"/>
    <mergeCell ref="H95:M95"/>
    <mergeCell ref="H51:M51"/>
    <mergeCell ref="H53:M53"/>
    <mergeCell ref="H55:M55"/>
    <mergeCell ref="H57:M57"/>
    <mergeCell ref="H59:M59"/>
    <mergeCell ref="H77:M77"/>
    <mergeCell ref="H87:M87"/>
    <mergeCell ref="H89:M89"/>
    <mergeCell ref="H91:M91"/>
    <mergeCell ref="H69:M69"/>
    <mergeCell ref="H71:M71"/>
    <mergeCell ref="H73:M73"/>
    <mergeCell ref="H97:M97"/>
    <mergeCell ref="H105:M105"/>
    <mergeCell ref="H107:M107"/>
    <mergeCell ref="H101:M101"/>
    <mergeCell ref="H103:M103"/>
    <mergeCell ref="H99:M99"/>
    <mergeCell ref="H75:M75"/>
    <mergeCell ref="H63:M63"/>
    <mergeCell ref="H79:M79"/>
    <mergeCell ref="H81:M81"/>
    <mergeCell ref="H31:M31"/>
    <mergeCell ref="H33:M33"/>
    <mergeCell ref="H47:M47"/>
    <mergeCell ref="H49:M49"/>
    <mergeCell ref="H61:M61"/>
    <mergeCell ref="H65:M65"/>
    <mergeCell ref="H67:M67"/>
    <mergeCell ref="B2:M2"/>
    <mergeCell ref="H17:M17"/>
    <mergeCell ref="H13:M13"/>
    <mergeCell ref="H21:M21"/>
    <mergeCell ref="C5:M5"/>
    <mergeCell ref="H19:M19"/>
    <mergeCell ref="C13:D13"/>
    <mergeCell ref="C9:M9"/>
    <mergeCell ref="C11:M11"/>
    <mergeCell ref="H15:M15"/>
    <mergeCell ref="H23:M23"/>
    <mergeCell ref="H25:M25"/>
    <mergeCell ref="H27:M27"/>
    <mergeCell ref="H29:M29"/>
    <mergeCell ref="H45:M45"/>
    <mergeCell ref="H35:M35"/>
    <mergeCell ref="H37:M37"/>
    <mergeCell ref="H39:M39"/>
    <mergeCell ref="H41:M41"/>
    <mergeCell ref="H43:M43"/>
  </mergeCells>
  <phoneticPr fontId="5"/>
  <conditionalFormatting sqref="F17">
    <cfRule type="expression" dxfId="664" priority="3577">
      <formula>$F$17="空欄"</formula>
    </cfRule>
  </conditionalFormatting>
  <conditionalFormatting sqref="F61 F74:F75 F87 F15 F47 F33 F17 F19 F21 F49 F63 F77 F89 F91 F93 F95 F97 F99 F101 F103 F105 F107">
    <cfRule type="expression" dxfId="663" priority="139">
      <formula>$F15="空欄あり"</formula>
    </cfRule>
    <cfRule type="containsText" dxfId="662" priority="3597" operator="containsText" text="NG">
      <formula>NOT(ISERROR(SEARCH("NG",F15)))</formula>
    </cfRule>
  </conditionalFormatting>
  <conditionalFormatting sqref="C9:M9">
    <cfRule type="expression" dxfId="661" priority="106">
      <formula>$C$9="必須項目に空欄はありませんが、入力内容に誤りがないか再度確認のうえ、提出してください。"</formula>
    </cfRule>
    <cfRule type="expression" dxfId="660" priority="119">
      <formula>$C$9="必須項目に空欄箇所があるため、下の表を参考にすべて入力してください。"</formula>
    </cfRule>
  </conditionalFormatting>
  <conditionalFormatting sqref="F79 F81">
    <cfRule type="expression" dxfId="659" priority="95">
      <formula>$F79="空欄あり"</formula>
    </cfRule>
    <cfRule type="containsText" dxfId="658" priority="96" operator="containsText" text="NG">
      <formula>NOT(ISERROR(SEARCH("NG",F79)))</formula>
    </cfRule>
  </conditionalFormatting>
  <conditionalFormatting sqref="F83 F85">
    <cfRule type="expression" dxfId="657" priority="91">
      <formula>$F83="空欄あり"</formula>
    </cfRule>
    <cfRule type="containsText" dxfId="656" priority="92" operator="containsText" text="NG">
      <formula>NOT(ISERROR(SEARCH("NG",F83)))</formula>
    </cfRule>
  </conditionalFormatting>
  <conditionalFormatting sqref="F51:F52">
    <cfRule type="expression" dxfId="655" priority="57">
      <formula>$F51="空欄あり"</formula>
    </cfRule>
    <cfRule type="containsText" dxfId="654" priority="58" operator="containsText" text="NG">
      <formula>NOT(ISERROR(SEARCH("NG",F51)))</formula>
    </cfRule>
  </conditionalFormatting>
  <conditionalFormatting sqref="F54">
    <cfRule type="expression" dxfId="653" priority="55">
      <formula>$F54="空欄あり"</formula>
    </cfRule>
    <cfRule type="containsText" dxfId="652" priority="56" operator="containsText" text="NG">
      <formula>NOT(ISERROR(SEARCH("NG",F54)))</formula>
    </cfRule>
  </conditionalFormatting>
  <conditionalFormatting sqref="F58">
    <cfRule type="expression" dxfId="651" priority="51">
      <formula>$F58="空欄あり"</formula>
    </cfRule>
    <cfRule type="containsText" dxfId="650" priority="52" operator="containsText" text="NG">
      <formula>NOT(ISERROR(SEARCH("NG",F58)))</formula>
    </cfRule>
  </conditionalFormatting>
  <conditionalFormatting sqref="F56">
    <cfRule type="expression" dxfId="649" priority="53">
      <formula>$F56="空欄あり"</formula>
    </cfRule>
    <cfRule type="containsText" dxfId="648" priority="54" operator="containsText" text="NG">
      <formula>NOT(ISERROR(SEARCH("NG",F56)))</formula>
    </cfRule>
  </conditionalFormatting>
  <conditionalFormatting sqref="F60">
    <cfRule type="expression" dxfId="647" priority="49">
      <formula>$F60="空欄あり"</formula>
    </cfRule>
    <cfRule type="containsText" dxfId="646" priority="50" operator="containsText" text="NG">
      <formula>NOT(ISERROR(SEARCH("NG",F60)))</formula>
    </cfRule>
  </conditionalFormatting>
  <conditionalFormatting sqref="F53">
    <cfRule type="expression" dxfId="645" priority="39">
      <formula>$F53="空欄あり"</formula>
    </cfRule>
    <cfRule type="containsText" dxfId="644" priority="40" operator="containsText" text="NG">
      <formula>NOT(ISERROR(SEARCH("NG",F53)))</formula>
    </cfRule>
  </conditionalFormatting>
  <conditionalFormatting sqref="F55">
    <cfRule type="expression" dxfId="643" priority="37">
      <formula>$F55="空欄あり"</formula>
    </cfRule>
    <cfRule type="containsText" dxfId="642" priority="38" operator="containsText" text="NG">
      <formula>NOT(ISERROR(SEARCH("NG",F55)))</formula>
    </cfRule>
  </conditionalFormatting>
  <conditionalFormatting sqref="F57">
    <cfRule type="expression" dxfId="641" priority="35">
      <formula>$F57="空欄あり"</formula>
    </cfRule>
    <cfRule type="containsText" dxfId="640" priority="36" operator="containsText" text="NG">
      <formula>NOT(ISERROR(SEARCH("NG",F57)))</formula>
    </cfRule>
  </conditionalFormatting>
  <conditionalFormatting sqref="F59">
    <cfRule type="expression" dxfId="639" priority="33">
      <formula>$F59="空欄あり"</formula>
    </cfRule>
    <cfRule type="containsText" dxfId="638" priority="34" operator="containsText" text="NG">
      <formula>NOT(ISERROR(SEARCH("NG",F59)))</formula>
    </cfRule>
  </conditionalFormatting>
  <conditionalFormatting sqref="F65:F73">
    <cfRule type="expression" dxfId="637" priority="31">
      <formula>$F65="空欄あり"</formula>
    </cfRule>
    <cfRule type="containsText" dxfId="636" priority="32" operator="containsText" text="NG">
      <formula>NOT(ISERROR(SEARCH("NG",F65)))</formula>
    </cfRule>
  </conditionalFormatting>
  <conditionalFormatting sqref="F15 H15 F19 H19 F49 H49 F63 H63 F87 H87 F91 H91 F99 H99 F105 H105">
    <cfRule type="expression" dxfId="635" priority="30">
      <formula>$D$6&lt;&gt;"はい"</formula>
    </cfRule>
  </conditionalFormatting>
  <conditionalFormatting sqref="F17 H17 F21 F77 H77 F81 H81 F85 H85 F89 H89 F93 H93 F97 H97 F101 H101">
    <cfRule type="expression" dxfId="634" priority="29">
      <formula>$D$6&lt;&gt;"はい"</formula>
    </cfRule>
  </conditionalFormatting>
  <conditionalFormatting sqref="F33 H33 F47 H47 F79 H79 F83 H83 F95 H95 F103 H103">
    <cfRule type="expression" dxfId="633" priority="28">
      <formula>$D$6&lt;&gt;"はい"</formula>
    </cfRule>
  </conditionalFormatting>
  <conditionalFormatting sqref="D61 F61 H61:M61 H75:M75 F75 D75 D107 F107 H107:M107">
    <cfRule type="expression" dxfId="632" priority="25">
      <formula>$D$6&lt;&gt;"はい"</formula>
    </cfRule>
  </conditionalFormatting>
  <conditionalFormatting sqref="F23:F24">
    <cfRule type="expression" dxfId="631" priority="21">
      <formula>$F23="空欄あり"</formula>
    </cfRule>
    <cfRule type="containsText" dxfId="630" priority="22" operator="containsText" text="NG">
      <formula>NOT(ISERROR(SEARCH("NG",F23)))</formula>
    </cfRule>
  </conditionalFormatting>
  <conditionalFormatting sqref="F26">
    <cfRule type="expression" dxfId="629" priority="19">
      <formula>$F26="空欄あり"</formula>
    </cfRule>
    <cfRule type="containsText" dxfId="628" priority="20" operator="containsText" text="NG">
      <formula>NOT(ISERROR(SEARCH("NG",F26)))</formula>
    </cfRule>
  </conditionalFormatting>
  <conditionalFormatting sqref="F30">
    <cfRule type="expression" dxfId="627" priority="15">
      <formula>$F30="空欄あり"</formula>
    </cfRule>
    <cfRule type="containsText" dxfId="626" priority="16" operator="containsText" text="NG">
      <formula>NOT(ISERROR(SEARCH("NG",F30)))</formula>
    </cfRule>
  </conditionalFormatting>
  <conditionalFormatting sqref="F28">
    <cfRule type="expression" dxfId="625" priority="17">
      <formula>$F28="空欄あり"</formula>
    </cfRule>
    <cfRule type="containsText" dxfId="624" priority="18" operator="containsText" text="NG">
      <formula>NOT(ISERROR(SEARCH("NG",F28)))</formula>
    </cfRule>
  </conditionalFormatting>
  <conditionalFormatting sqref="F32">
    <cfRule type="expression" dxfId="623" priority="13">
      <formula>$F32="空欄あり"</formula>
    </cfRule>
    <cfRule type="containsText" dxfId="622" priority="14" operator="containsText" text="NG">
      <formula>NOT(ISERROR(SEARCH("NG",F32)))</formula>
    </cfRule>
  </conditionalFormatting>
  <conditionalFormatting sqref="F31">
    <cfRule type="expression" dxfId="621" priority="11">
      <formula>$F31="空欄あり"</formula>
    </cfRule>
    <cfRule type="containsText" dxfId="620" priority="12" operator="containsText" text="NG">
      <formula>NOT(ISERROR(SEARCH("NG",F31)))</formula>
    </cfRule>
  </conditionalFormatting>
  <conditionalFormatting sqref="F25">
    <cfRule type="expression" dxfId="619" priority="9">
      <formula>$F25="空欄あり"</formula>
    </cfRule>
    <cfRule type="containsText" dxfId="618" priority="10" operator="containsText" text="NG">
      <formula>NOT(ISERROR(SEARCH("NG",F25)))</formula>
    </cfRule>
  </conditionalFormatting>
  <conditionalFormatting sqref="F27">
    <cfRule type="expression" dxfId="617" priority="7">
      <formula>$F27="空欄あり"</formula>
    </cfRule>
    <cfRule type="containsText" dxfId="616" priority="8" operator="containsText" text="NG">
      <formula>NOT(ISERROR(SEARCH("NG",F27)))</formula>
    </cfRule>
  </conditionalFormatting>
  <conditionalFormatting sqref="F29">
    <cfRule type="expression" dxfId="615" priority="5">
      <formula>$F29="空欄あり"</formula>
    </cfRule>
    <cfRule type="containsText" dxfId="614" priority="6" operator="containsText" text="NG">
      <formula>NOT(ISERROR(SEARCH("NG",F29)))</formula>
    </cfRule>
  </conditionalFormatting>
  <conditionalFormatting sqref="H21">
    <cfRule type="expression" dxfId="613" priority="4">
      <formula>$D$6&lt;&gt;"はい"</formula>
    </cfRule>
  </conditionalFormatting>
  <conditionalFormatting sqref="F35 F37:F46">
    <cfRule type="expression" dxfId="612" priority="2">
      <formula>$F35="空欄あり"</formula>
    </cfRule>
    <cfRule type="containsText" dxfId="611" priority="3" operator="containsText" text="NG">
      <formula>NOT(ISERROR(SEARCH("NG",F35)))</formula>
    </cfRule>
  </conditionalFormatting>
  <conditionalFormatting sqref="F35 H35">
    <cfRule type="expression" dxfId="610" priority="1">
      <formula>$D$6&lt;&gt;"はい"</formula>
    </cfRule>
  </conditionalFormatting>
  <dataValidations count="1">
    <dataValidation type="list" allowBlank="1" showInputMessage="1" showErrorMessage="1" sqref="D6" xr:uid="{00000000-0002-0000-0300-000000000000}">
      <formula1>"はい,いいえ"</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1"/>
  </sheetPr>
  <dimension ref="A1:AE494"/>
  <sheetViews>
    <sheetView workbookViewId="0">
      <selection activeCell="E20" sqref="E20"/>
    </sheetView>
  </sheetViews>
  <sheetFormatPr defaultColWidth="9" defaultRowHeight="13.5" x14ac:dyDescent="0.15"/>
  <cols>
    <col min="1" max="1" width="0.875" style="1" customWidth="1"/>
    <col min="2" max="2" width="2.625" style="1" customWidth="1"/>
    <col min="3" max="3" width="9" style="1"/>
    <col min="4" max="4" width="0.875" style="1" customWidth="1"/>
    <col min="5" max="5" width="9" style="1"/>
    <col min="6" max="6" width="0.875" style="1" customWidth="1"/>
    <col min="7" max="7" width="9" style="1"/>
    <col min="8" max="8" width="0.875" style="1" customWidth="1"/>
    <col min="9" max="9" width="9" style="1"/>
    <col min="10" max="10" width="0.875" style="1" customWidth="1"/>
    <col min="11" max="11" width="9" style="1"/>
    <col min="12" max="12" width="0.875" style="1" customWidth="1"/>
    <col min="13" max="13" width="9" style="1"/>
    <col min="14" max="14" width="0.875" style="1" customWidth="1"/>
    <col min="15" max="15" width="9" style="1"/>
    <col min="16" max="16" width="0.875" style="1" customWidth="1"/>
    <col min="17" max="17" width="9" style="1" customWidth="1"/>
    <col min="18" max="18" width="9" style="1"/>
    <col min="19" max="21" width="0.875" style="1" customWidth="1"/>
    <col min="22" max="25" width="9" style="1"/>
    <col min="26" max="26" width="9.5" style="1" bestFit="1" customWidth="1"/>
    <col min="27" max="27" width="9" style="1"/>
    <col min="28" max="28" width="9.5" style="1" bestFit="1" customWidth="1"/>
    <col min="29" max="16384" width="9" style="1"/>
  </cols>
  <sheetData>
    <row r="1" spans="1:25" x14ac:dyDescent="0.15">
      <c r="A1" s="23"/>
      <c r="B1" s="23"/>
      <c r="C1" s="23"/>
      <c r="D1" s="23"/>
      <c r="E1" s="23"/>
      <c r="F1" s="23"/>
      <c r="G1" s="23"/>
      <c r="H1" s="23"/>
      <c r="I1" s="23"/>
      <c r="J1" s="23"/>
      <c r="K1" s="23"/>
      <c r="L1" s="23"/>
      <c r="M1" s="23"/>
      <c r="N1" s="23"/>
      <c r="O1" s="23"/>
      <c r="P1" s="23"/>
      <c r="Q1" s="23"/>
      <c r="R1" s="23"/>
      <c r="S1" s="23"/>
      <c r="T1" s="23"/>
      <c r="U1" s="23"/>
      <c r="V1" s="23"/>
      <c r="W1" s="23"/>
      <c r="X1" s="23"/>
      <c r="Y1" s="23"/>
    </row>
    <row r="2" spans="1:25" ht="30" customHeight="1" x14ac:dyDescent="0.15">
      <c r="A2" s="23"/>
      <c r="B2" s="375" t="s">
        <v>257</v>
      </c>
      <c r="C2" s="376"/>
      <c r="D2" s="376"/>
      <c r="E2" s="376"/>
      <c r="F2" s="376"/>
      <c r="G2" s="376"/>
      <c r="H2" s="376"/>
      <c r="I2" s="376"/>
      <c r="J2" s="376"/>
      <c r="K2" s="376"/>
      <c r="L2" s="376"/>
      <c r="M2" s="376"/>
      <c r="N2" s="376"/>
      <c r="O2" s="376"/>
      <c r="P2" s="376"/>
      <c r="Q2" s="376"/>
      <c r="R2" s="376"/>
      <c r="S2" s="23"/>
      <c r="T2" s="23"/>
      <c r="U2" s="23"/>
      <c r="V2" s="23"/>
      <c r="W2" s="23"/>
      <c r="X2" s="23"/>
      <c r="Y2" s="23"/>
    </row>
    <row r="3" spans="1:25" x14ac:dyDescent="0.15">
      <c r="A3" s="23"/>
      <c r="B3" s="23"/>
      <c r="C3" s="23"/>
      <c r="D3" s="23"/>
      <c r="E3" s="23"/>
      <c r="F3" s="23"/>
      <c r="G3" s="23"/>
      <c r="H3" s="23"/>
      <c r="I3" s="23"/>
      <c r="J3" s="23"/>
      <c r="K3" s="23"/>
      <c r="L3" s="23"/>
      <c r="M3" s="23"/>
      <c r="N3" s="23"/>
      <c r="O3" s="23"/>
      <c r="P3" s="23"/>
      <c r="Q3" s="23"/>
      <c r="R3" s="23"/>
      <c r="S3" s="23"/>
      <c r="T3" s="23"/>
      <c r="U3" s="23"/>
      <c r="V3" s="23" t="s">
        <v>298</v>
      </c>
      <c r="W3" s="23"/>
      <c r="X3" s="23"/>
      <c r="Y3" s="23"/>
    </row>
    <row r="4" spans="1:25" x14ac:dyDescent="0.15">
      <c r="A4" s="23"/>
      <c r="B4" s="23"/>
      <c r="C4" s="23" t="s">
        <v>106</v>
      </c>
      <c r="D4" s="23"/>
      <c r="E4" s="23" t="s">
        <v>107</v>
      </c>
      <c r="F4" s="23"/>
      <c r="G4" s="23" t="s">
        <v>108</v>
      </c>
      <c r="H4" s="23"/>
      <c r="I4" s="23" t="s">
        <v>109</v>
      </c>
      <c r="J4" s="23"/>
      <c r="K4" s="23" t="s">
        <v>110</v>
      </c>
      <c r="L4" s="23"/>
      <c r="M4" s="23" t="s">
        <v>296</v>
      </c>
      <c r="N4" s="23"/>
      <c r="O4" s="23" t="s">
        <v>297</v>
      </c>
      <c r="P4" s="23"/>
      <c r="Q4" s="23"/>
      <c r="R4" s="23"/>
      <c r="S4" s="23"/>
      <c r="T4" s="23"/>
      <c r="U4" s="23"/>
      <c r="V4" s="23" t="s">
        <v>299</v>
      </c>
      <c r="W4" s="23"/>
      <c r="X4" s="23"/>
      <c r="Y4" s="23"/>
    </row>
    <row r="5" spans="1:25" x14ac:dyDescent="0.15">
      <c r="A5" s="23"/>
      <c r="B5" s="24"/>
      <c r="C5" s="23" t="str">
        <f>IF(入力シート!$C$10="代表申請者が「トラック事業者」、共同申請者が「なし」",1,IF(入力シート!$C$10="代表申請者が「トラック事業者」、共同申請者が「リース事業者」",2,IF(入力シート!$C$10="代表申請者が「荷主」、　　　　　 共同申請者が「なし」",1,IF(入力シート!$C$10="代表申請者が「荷主」、　　　　　 共同申請者が「リース事業者」",2,IF(入力シート!$C$10="代表申請者が「リース事業者」、　共同申請者が「トラック事業者」",2,IF(入力シート!$C$10="代表申請者が「リース事業者」、　共同申請者が「荷主」",2,""))))))</f>
        <v/>
      </c>
      <c r="D5" s="23"/>
      <c r="E5" s="23" t="s">
        <v>111</v>
      </c>
      <c r="F5" s="23"/>
      <c r="G5" s="23">
        <f>IF(エラー確認シート!D6="はい",1,2)</f>
        <v>2</v>
      </c>
      <c r="H5" s="23"/>
      <c r="I5" s="23" t="s">
        <v>112</v>
      </c>
      <c r="J5" s="23"/>
      <c r="K5" s="23">
        <f>COUNTIF(エラー確認シート!$Q$17:$Q$107,"NG")</f>
        <v>12</v>
      </c>
      <c r="L5" s="23"/>
      <c r="M5" s="23">
        <f>IF(OR(C10="代表申請者が「トラック事業者」、共同申請者が「なし」",C10="代表申請者が「トラック事業者」、共同申請者が「リース事業者」"),1,IF(OR(C10="代表申請者が「荷主等」、　　　　　 共同申請者が「なし」",C10="代表申請者が「荷主等」、　　　　　 共同申請者が「リース事業者」"),3,IF(OR(C10="代表申請者が「リース事業者」、　共同申請者が「トラック事業者」",C10="代表申請者が「リース事業者」、　共同申請者が「荷主等」"),2,0)))</f>
        <v>0</v>
      </c>
      <c r="N5" s="23"/>
      <c r="O5" s="23">
        <f>IF(C10="代表申請者が「リース事業者」、　共同申請者が「トラック事業者」",1,IF(OR(C10="代表申請者が「トラック事業者」、共同申請者が「リース事業者」",C10="代表申請者が「荷主等」、　　　　　 共同申請者が「リース事業者」"),2,IF(C10="代表申請者が「リース事業者」、　共同申請者が「荷主等」",3,0)))</f>
        <v>0</v>
      </c>
      <c r="P5" s="23"/>
      <c r="Q5" s="23"/>
      <c r="R5" s="23"/>
      <c r="S5" s="23"/>
      <c r="T5" s="23"/>
      <c r="U5" s="23"/>
      <c r="V5" s="23" t="s">
        <v>300</v>
      </c>
      <c r="W5" s="23"/>
      <c r="X5" s="23"/>
      <c r="Y5" s="23"/>
    </row>
    <row r="6" spans="1:25" x14ac:dyDescent="0.15">
      <c r="A6" s="23"/>
      <c r="B6" s="23"/>
      <c r="C6" s="23"/>
      <c r="D6" s="23"/>
      <c r="E6" s="23"/>
      <c r="F6" s="23"/>
      <c r="G6" s="23"/>
      <c r="H6" s="23"/>
      <c r="I6" s="23"/>
      <c r="J6" s="23"/>
      <c r="K6" s="23"/>
      <c r="L6" s="23"/>
      <c r="M6" s="23"/>
      <c r="N6" s="23"/>
      <c r="O6" s="23"/>
      <c r="P6" s="23"/>
      <c r="Q6" s="23"/>
      <c r="R6" s="23"/>
      <c r="S6" s="23"/>
      <c r="T6" s="23"/>
      <c r="U6" s="23"/>
      <c r="V6" s="23" t="s">
        <v>301</v>
      </c>
      <c r="W6" s="23"/>
      <c r="X6" s="23"/>
      <c r="Y6" s="23"/>
    </row>
    <row r="7" spans="1:25" ht="5.0999999999999996" customHeight="1" x14ac:dyDescent="0.15">
      <c r="A7" s="23"/>
      <c r="B7" s="67"/>
      <c r="C7" s="67"/>
      <c r="D7" s="67"/>
      <c r="E7" s="67"/>
      <c r="F7" s="67"/>
      <c r="G7" s="67"/>
      <c r="H7" s="67"/>
      <c r="I7" s="67"/>
      <c r="J7" s="67"/>
      <c r="K7" s="67"/>
      <c r="L7" s="67"/>
      <c r="M7" s="67"/>
      <c r="N7" s="67"/>
      <c r="O7" s="67"/>
      <c r="P7" s="67"/>
      <c r="Q7" s="67"/>
      <c r="R7" s="67"/>
      <c r="S7" s="23"/>
      <c r="T7" s="23"/>
      <c r="U7" s="23"/>
      <c r="V7" s="23"/>
      <c r="W7" s="23"/>
      <c r="X7" s="23"/>
      <c r="Y7" s="23"/>
    </row>
    <row r="8" spans="1:25" x14ac:dyDescent="0.15">
      <c r="A8" s="23"/>
      <c r="B8" s="67" t="s">
        <v>302</v>
      </c>
      <c r="C8" s="67"/>
      <c r="D8" s="67"/>
      <c r="E8" s="67"/>
      <c r="F8" s="67"/>
      <c r="G8" s="67"/>
      <c r="H8" s="67"/>
      <c r="I8" s="67"/>
      <c r="J8" s="67"/>
      <c r="K8" s="67"/>
      <c r="L8" s="67"/>
      <c r="M8" s="67"/>
      <c r="N8" s="67"/>
      <c r="O8" s="67"/>
      <c r="P8" s="67"/>
      <c r="Q8" s="67"/>
      <c r="R8" s="67"/>
      <c r="S8" s="23"/>
      <c r="T8" s="23"/>
      <c r="U8" s="23"/>
      <c r="V8" s="23"/>
      <c r="W8" s="23"/>
      <c r="X8" s="23"/>
      <c r="Y8" s="23"/>
    </row>
    <row r="9" spans="1:25" ht="5.0999999999999996" customHeight="1" thickBot="1" x14ac:dyDescent="0.2">
      <c r="A9" s="23"/>
      <c r="B9" s="67"/>
      <c r="C9" s="67"/>
      <c r="D9" s="67"/>
      <c r="E9" s="67"/>
      <c r="F9" s="67"/>
      <c r="G9" s="67"/>
      <c r="H9" s="67"/>
      <c r="I9" s="67"/>
      <c r="J9" s="67"/>
      <c r="K9" s="67"/>
      <c r="L9" s="67"/>
      <c r="M9" s="67"/>
      <c r="N9" s="67"/>
      <c r="O9" s="67"/>
      <c r="P9" s="67"/>
      <c r="Q9" s="67"/>
      <c r="R9" s="67"/>
      <c r="S9" s="23"/>
      <c r="T9" s="23"/>
      <c r="U9" s="23"/>
      <c r="V9" s="23"/>
      <c r="W9" s="23"/>
      <c r="X9" s="23"/>
      <c r="Y9" s="23"/>
    </row>
    <row r="10" spans="1:25" ht="14.25" thickBot="1" x14ac:dyDescent="0.2">
      <c r="A10" s="23"/>
      <c r="B10" s="67"/>
      <c r="C10" s="380" t="str">
        <f>入力シート!C10&amp;""</f>
        <v/>
      </c>
      <c r="D10" s="381"/>
      <c r="E10" s="381"/>
      <c r="F10" s="381"/>
      <c r="G10" s="381"/>
      <c r="H10" s="381"/>
      <c r="I10" s="381"/>
      <c r="J10" s="381"/>
      <c r="K10" s="382"/>
      <c r="L10" s="67"/>
      <c r="M10" s="67"/>
      <c r="N10" s="68"/>
      <c r="O10" s="68"/>
      <c r="P10" s="68"/>
      <c r="Q10" s="68"/>
      <c r="R10" s="67"/>
      <c r="S10" s="23"/>
      <c r="T10" s="23"/>
      <c r="U10" s="23"/>
      <c r="V10" s="23"/>
      <c r="W10" s="23"/>
      <c r="X10" s="23"/>
      <c r="Y10" s="23"/>
    </row>
    <row r="11" spans="1:25" ht="5.0999999999999996" customHeight="1" x14ac:dyDescent="0.15">
      <c r="A11" s="23"/>
      <c r="B11" s="67"/>
      <c r="C11" s="67"/>
      <c r="D11" s="67"/>
      <c r="E11" s="67"/>
      <c r="F11" s="67"/>
      <c r="G11" s="67"/>
      <c r="H11" s="67"/>
      <c r="I11" s="67"/>
      <c r="J11" s="67"/>
      <c r="K11" s="67"/>
      <c r="L11" s="67"/>
      <c r="M11" s="67"/>
      <c r="N11" s="67"/>
      <c r="O11" s="67"/>
      <c r="P11" s="67"/>
      <c r="Q11" s="67"/>
      <c r="R11" s="67"/>
      <c r="S11" s="23"/>
      <c r="T11" s="23"/>
      <c r="U11" s="23"/>
      <c r="V11" s="23"/>
      <c r="W11" s="23"/>
      <c r="X11" s="23"/>
      <c r="Y11" s="23"/>
    </row>
    <row r="12" spans="1:25" ht="14.25" thickBot="1" x14ac:dyDescent="0.2">
      <c r="A12" s="23"/>
      <c r="B12" s="67"/>
      <c r="C12" s="67"/>
      <c r="D12" s="67"/>
      <c r="E12" s="67"/>
      <c r="F12" s="67"/>
      <c r="G12" s="67"/>
      <c r="H12" s="67"/>
      <c r="I12" s="67"/>
      <c r="J12" s="67"/>
      <c r="K12" s="67"/>
      <c r="L12" s="67"/>
      <c r="M12" s="67"/>
      <c r="N12" s="67"/>
      <c r="O12" s="67"/>
      <c r="P12" s="67"/>
      <c r="Q12" s="67"/>
      <c r="R12" s="67"/>
      <c r="S12" s="23"/>
      <c r="T12" s="23"/>
      <c r="U12" s="23"/>
      <c r="V12" s="23"/>
      <c r="W12" s="23"/>
      <c r="X12" s="23"/>
      <c r="Y12" s="23"/>
    </row>
    <row r="13" spans="1:25" ht="14.25" thickBot="1" x14ac:dyDescent="0.2">
      <c r="A13" s="23"/>
      <c r="B13" s="67"/>
      <c r="C13" s="67" t="s">
        <v>296</v>
      </c>
      <c r="D13" s="67"/>
      <c r="E13" s="380" t="str">
        <f>IF(M5=1,"トラック事業者",IF(M5=2,"リース事業者",IF(M5=3,"荷主等","なし")))</f>
        <v>なし</v>
      </c>
      <c r="F13" s="381"/>
      <c r="G13" s="382"/>
      <c r="H13" s="67"/>
      <c r="I13" s="67"/>
      <c r="J13" s="67"/>
      <c r="K13" s="67"/>
      <c r="L13" s="67"/>
      <c r="M13" s="67"/>
      <c r="N13" s="68"/>
      <c r="O13" s="68"/>
      <c r="P13" s="68"/>
      <c r="Q13" s="68"/>
      <c r="R13" s="67"/>
      <c r="S13" s="23"/>
      <c r="T13" s="23"/>
      <c r="U13" s="23"/>
      <c r="V13" s="23"/>
      <c r="W13" s="23"/>
      <c r="X13" s="23"/>
      <c r="Y13" s="23"/>
    </row>
    <row r="14" spans="1:25" ht="5.0999999999999996" customHeight="1" thickBot="1" x14ac:dyDescent="0.2">
      <c r="A14" s="23"/>
      <c r="B14" s="67"/>
      <c r="C14" s="67"/>
      <c r="D14" s="67"/>
      <c r="E14" s="67"/>
      <c r="F14" s="67"/>
      <c r="G14" s="67"/>
      <c r="H14" s="67"/>
      <c r="I14" s="67"/>
      <c r="J14" s="67"/>
      <c r="K14" s="67"/>
      <c r="L14" s="67"/>
      <c r="M14" s="67"/>
      <c r="N14" s="67"/>
      <c r="O14" s="67"/>
      <c r="P14" s="67"/>
      <c r="Q14" s="67"/>
      <c r="R14" s="67"/>
      <c r="S14" s="23"/>
      <c r="T14" s="23"/>
      <c r="U14" s="23"/>
      <c r="V14" s="23"/>
      <c r="W14" s="23"/>
      <c r="X14" s="23"/>
      <c r="Y14" s="23"/>
    </row>
    <row r="15" spans="1:25" ht="14.25" thickBot="1" x14ac:dyDescent="0.2">
      <c r="A15" s="23"/>
      <c r="B15" s="67"/>
      <c r="C15" s="67" t="s">
        <v>297</v>
      </c>
      <c r="D15" s="67"/>
      <c r="E15" s="380" t="str">
        <f>IF(O5=1,"トラック事業者",IF(O5=2,"リース事業者",IF(O5=3,"荷主等","なし")))</f>
        <v>なし</v>
      </c>
      <c r="F15" s="381"/>
      <c r="G15" s="382"/>
      <c r="H15" s="67"/>
      <c r="I15" s="67"/>
      <c r="J15" s="67"/>
      <c r="K15" s="67"/>
      <c r="L15" s="67"/>
      <c r="M15" s="67"/>
      <c r="N15" s="68"/>
      <c r="O15" s="68"/>
      <c r="P15" s="68"/>
      <c r="Q15" s="68"/>
      <c r="R15" s="67"/>
      <c r="S15" s="23"/>
      <c r="T15" s="23"/>
      <c r="U15" s="23"/>
      <c r="V15" s="23"/>
      <c r="W15" s="23"/>
      <c r="X15" s="23"/>
      <c r="Y15" s="23"/>
    </row>
    <row r="16" spans="1:25" ht="5.0999999999999996" customHeight="1" x14ac:dyDescent="0.15">
      <c r="A16" s="23"/>
      <c r="B16" s="67"/>
      <c r="C16" s="67"/>
      <c r="D16" s="67"/>
      <c r="E16" s="67"/>
      <c r="F16" s="67"/>
      <c r="G16" s="67"/>
      <c r="H16" s="67"/>
      <c r="I16" s="67"/>
      <c r="J16" s="67"/>
      <c r="K16" s="67"/>
      <c r="L16" s="67"/>
      <c r="M16" s="67"/>
      <c r="N16" s="67"/>
      <c r="O16" s="67"/>
      <c r="P16" s="67"/>
      <c r="Q16" s="67"/>
      <c r="R16" s="67"/>
      <c r="S16" s="23"/>
      <c r="T16" s="23"/>
      <c r="U16" s="23"/>
      <c r="V16" s="23"/>
      <c r="W16" s="23"/>
      <c r="X16" s="23"/>
      <c r="Y16" s="23"/>
    </row>
    <row r="17" spans="1:25" x14ac:dyDescent="0.15">
      <c r="A17" s="23"/>
      <c r="B17" s="23"/>
      <c r="C17" s="25"/>
      <c r="D17" s="25"/>
      <c r="E17" s="25"/>
      <c r="F17" s="25"/>
      <c r="G17" s="23"/>
      <c r="H17" s="23"/>
      <c r="I17" s="23"/>
      <c r="J17" s="23"/>
      <c r="K17" s="23"/>
      <c r="L17" s="23"/>
      <c r="M17" s="23"/>
      <c r="N17" s="23"/>
      <c r="O17" s="23"/>
      <c r="P17" s="23"/>
      <c r="Q17" s="23"/>
      <c r="R17" s="23"/>
      <c r="S17" s="23"/>
      <c r="T17" s="23"/>
      <c r="U17" s="23"/>
      <c r="V17" s="23"/>
      <c r="W17" s="23"/>
      <c r="X17" s="23"/>
      <c r="Y17" s="23"/>
    </row>
    <row r="18" spans="1:25" ht="5.0999999999999996" customHeight="1" x14ac:dyDescent="0.15">
      <c r="A18" s="23"/>
      <c r="B18" s="4"/>
      <c r="C18" s="4"/>
      <c r="D18" s="4"/>
      <c r="E18" s="4"/>
      <c r="F18" s="4"/>
      <c r="G18" s="4"/>
      <c r="H18" s="4"/>
      <c r="I18" s="4"/>
      <c r="J18" s="4"/>
      <c r="K18" s="4"/>
      <c r="L18" s="4"/>
      <c r="M18" s="4"/>
      <c r="N18" s="4"/>
      <c r="O18" s="4"/>
      <c r="P18" s="4"/>
      <c r="Q18" s="4"/>
      <c r="R18" s="4"/>
      <c r="S18" s="23"/>
      <c r="T18" s="23"/>
      <c r="U18" s="23"/>
      <c r="V18" s="23"/>
      <c r="W18" s="23"/>
      <c r="X18" s="23"/>
      <c r="Y18" s="23"/>
    </row>
    <row r="19" spans="1:25" x14ac:dyDescent="0.15">
      <c r="A19" s="23"/>
      <c r="B19" s="4" t="s">
        <v>113</v>
      </c>
      <c r="C19" s="4"/>
      <c r="D19" s="4"/>
      <c r="E19" s="4"/>
      <c r="F19" s="4"/>
      <c r="G19" s="4"/>
      <c r="H19" s="4"/>
      <c r="I19" s="4"/>
      <c r="J19" s="4"/>
      <c r="K19" s="4"/>
      <c r="L19" s="4"/>
      <c r="M19" s="4"/>
      <c r="N19" s="4"/>
      <c r="O19" s="4"/>
      <c r="P19" s="4"/>
      <c r="Q19" s="4"/>
      <c r="R19" s="4"/>
      <c r="S19" s="23"/>
      <c r="T19" s="23"/>
      <c r="U19" s="23"/>
      <c r="V19" s="23"/>
      <c r="W19" s="23"/>
      <c r="X19" s="23"/>
      <c r="Y19" s="23"/>
    </row>
    <row r="20" spans="1:25" ht="5.0999999999999996" customHeight="1" thickBot="1" x14ac:dyDescent="0.2">
      <c r="A20" s="23"/>
      <c r="B20" s="4"/>
      <c r="C20" s="4"/>
      <c r="D20" s="4"/>
      <c r="E20" s="4"/>
      <c r="F20" s="4"/>
      <c r="G20" s="4"/>
      <c r="H20" s="4"/>
      <c r="I20" s="4"/>
      <c r="J20" s="4"/>
      <c r="K20" s="4"/>
      <c r="L20" s="4"/>
      <c r="M20" s="4"/>
      <c r="N20" s="4"/>
      <c r="O20" s="4"/>
      <c r="P20" s="4"/>
      <c r="Q20" s="4"/>
      <c r="R20" s="4"/>
      <c r="S20" s="23"/>
      <c r="T20" s="23"/>
      <c r="U20" s="23"/>
      <c r="V20" s="23"/>
      <c r="W20" s="23"/>
      <c r="X20" s="23"/>
      <c r="Y20" s="23"/>
    </row>
    <row r="21" spans="1:25" ht="14.25" thickBot="1" x14ac:dyDescent="0.2">
      <c r="A21" s="23"/>
      <c r="B21" s="4"/>
      <c r="C21" s="377" t="str">
        <f>IF(入力シート!$C$17="","-",ASC(入力シート!$C$17))</f>
        <v>-</v>
      </c>
      <c r="D21" s="378"/>
      <c r="E21" s="378"/>
      <c r="F21" s="378"/>
      <c r="G21" s="379"/>
      <c r="H21" s="4"/>
      <c r="I21" s="4" t="s">
        <v>114</v>
      </c>
      <c r="J21" s="4"/>
      <c r="K21" s="4"/>
      <c r="L21" s="4"/>
      <c r="M21" s="4"/>
      <c r="N21" s="4"/>
      <c r="O21" s="4"/>
      <c r="P21" s="4"/>
      <c r="Q21" s="4"/>
      <c r="R21" s="4"/>
      <c r="S21" s="23"/>
      <c r="T21" s="23"/>
      <c r="U21" s="23"/>
      <c r="V21" s="23"/>
      <c r="W21" s="23"/>
      <c r="X21" s="23"/>
      <c r="Y21" s="23"/>
    </row>
    <row r="22" spans="1:25" ht="5.0999999999999996" customHeight="1" x14ac:dyDescent="0.15">
      <c r="A22" s="23"/>
      <c r="B22" s="4"/>
      <c r="C22" s="5"/>
      <c r="D22" s="5"/>
      <c r="E22" s="5"/>
      <c r="F22" s="5"/>
      <c r="G22" s="4"/>
      <c r="H22" s="4"/>
      <c r="I22" s="4"/>
      <c r="J22" s="4"/>
      <c r="K22" s="4"/>
      <c r="L22" s="4"/>
      <c r="M22" s="4"/>
      <c r="N22" s="4"/>
      <c r="O22" s="4"/>
      <c r="P22" s="4"/>
      <c r="Q22" s="4"/>
      <c r="R22" s="4"/>
      <c r="S22" s="23"/>
      <c r="T22" s="23"/>
      <c r="U22" s="23"/>
      <c r="V22" s="23"/>
      <c r="W22" s="23"/>
      <c r="X22" s="23"/>
      <c r="Y22" s="23"/>
    </row>
    <row r="23" spans="1:25" x14ac:dyDescent="0.15">
      <c r="A23" s="23"/>
      <c r="B23" s="4"/>
      <c r="C23" s="46"/>
      <c r="D23" s="46"/>
      <c r="E23" s="5"/>
      <c r="F23" s="5"/>
      <c r="G23" s="4"/>
      <c r="H23" s="4"/>
      <c r="I23" s="4"/>
      <c r="J23" s="4"/>
      <c r="K23" s="4"/>
      <c r="L23" s="4"/>
      <c r="M23" s="4"/>
      <c r="N23" s="4"/>
      <c r="O23" s="4"/>
      <c r="P23" s="4"/>
      <c r="Q23" s="4"/>
      <c r="R23" s="4"/>
      <c r="S23" s="23"/>
      <c r="T23" s="23"/>
      <c r="U23" s="23"/>
      <c r="V23" s="23"/>
      <c r="W23" s="23"/>
      <c r="X23" s="23"/>
      <c r="Y23" s="23"/>
    </row>
    <row r="24" spans="1:25" ht="5.0999999999999996" customHeight="1" x14ac:dyDescent="0.15">
      <c r="A24" s="23"/>
      <c r="B24" s="4"/>
      <c r="C24" s="5"/>
      <c r="D24" s="5"/>
      <c r="E24" s="5"/>
      <c r="F24" s="5"/>
      <c r="G24" s="4"/>
      <c r="H24" s="4"/>
      <c r="I24" s="4"/>
      <c r="J24" s="4"/>
      <c r="K24" s="4"/>
      <c r="L24" s="4"/>
      <c r="M24" s="4"/>
      <c r="N24" s="4"/>
      <c r="O24" s="4"/>
      <c r="P24" s="4"/>
      <c r="Q24" s="4"/>
      <c r="R24" s="4"/>
      <c r="S24" s="23"/>
      <c r="T24" s="23"/>
      <c r="U24" s="23"/>
      <c r="V24" s="23"/>
      <c r="W24" s="23"/>
      <c r="X24" s="23"/>
      <c r="Y24" s="23"/>
    </row>
    <row r="25" spans="1:25" x14ac:dyDescent="0.15">
      <c r="A25" s="23"/>
      <c r="B25" s="23"/>
      <c r="C25" s="25"/>
      <c r="D25" s="25"/>
      <c r="E25" s="25"/>
      <c r="F25" s="25"/>
      <c r="G25" s="23"/>
      <c r="H25" s="23"/>
      <c r="I25" s="23"/>
      <c r="J25" s="23"/>
      <c r="K25" s="23"/>
      <c r="L25" s="23"/>
      <c r="M25" s="23"/>
      <c r="N25" s="23"/>
      <c r="O25" s="23"/>
      <c r="P25" s="23"/>
      <c r="Q25" s="23"/>
      <c r="R25" s="23"/>
      <c r="S25" s="23"/>
      <c r="T25" s="23"/>
      <c r="U25" s="23"/>
      <c r="V25" s="23"/>
      <c r="W25" s="23"/>
      <c r="X25" s="23"/>
      <c r="Y25" s="23"/>
    </row>
    <row r="26" spans="1:25" ht="5.0999999999999996" customHeight="1" x14ac:dyDescent="0.15">
      <c r="A26" s="23"/>
      <c r="B26" s="2"/>
      <c r="C26" s="3"/>
      <c r="D26" s="3"/>
      <c r="E26" s="3"/>
      <c r="F26" s="3"/>
      <c r="G26" s="2"/>
      <c r="H26" s="2"/>
      <c r="I26" s="2"/>
      <c r="J26" s="2"/>
      <c r="K26" s="2"/>
      <c r="L26" s="2"/>
      <c r="M26" s="2"/>
      <c r="N26" s="2"/>
      <c r="O26" s="2"/>
      <c r="P26" s="2"/>
      <c r="Q26" s="2"/>
      <c r="R26" s="2"/>
      <c r="S26" s="23"/>
      <c r="T26" s="23"/>
      <c r="U26" s="23"/>
      <c r="V26" s="23"/>
      <c r="W26" s="23"/>
      <c r="X26" s="23"/>
      <c r="Y26" s="23"/>
    </row>
    <row r="27" spans="1:25" x14ac:dyDescent="0.15">
      <c r="A27" s="23"/>
      <c r="B27" s="2" t="s">
        <v>476</v>
      </c>
      <c r="C27" s="2"/>
      <c r="D27" s="2"/>
      <c r="E27" s="2"/>
      <c r="F27" s="2"/>
      <c r="G27" s="2"/>
      <c r="H27" s="2"/>
      <c r="I27" s="2"/>
      <c r="J27" s="2"/>
      <c r="K27" s="2"/>
      <c r="L27" s="2"/>
      <c r="M27" s="2"/>
      <c r="N27" s="2"/>
      <c r="O27" s="2"/>
      <c r="P27" s="2"/>
      <c r="Q27" s="2"/>
      <c r="R27" s="2"/>
      <c r="S27" s="23"/>
      <c r="T27" s="23"/>
      <c r="U27" s="23"/>
      <c r="V27" s="23"/>
      <c r="W27" s="23"/>
      <c r="X27" s="23"/>
      <c r="Y27" s="23"/>
    </row>
    <row r="28" spans="1:25" ht="5.0999999999999996" customHeight="1" thickBot="1" x14ac:dyDescent="0.2">
      <c r="A28" s="23"/>
      <c r="B28" s="2"/>
      <c r="C28" s="2"/>
      <c r="D28" s="2"/>
      <c r="E28" s="2"/>
      <c r="F28" s="2"/>
      <c r="G28" s="2"/>
      <c r="H28" s="2"/>
      <c r="I28" s="2"/>
      <c r="J28" s="2"/>
      <c r="K28" s="2"/>
      <c r="L28" s="2"/>
      <c r="M28" s="2"/>
      <c r="N28" s="2"/>
      <c r="O28" s="2"/>
      <c r="P28" s="2"/>
      <c r="Q28" s="2"/>
      <c r="R28" s="2"/>
      <c r="S28" s="23"/>
      <c r="T28" s="23"/>
      <c r="U28" s="23"/>
      <c r="V28" s="23"/>
      <c r="W28" s="23"/>
      <c r="X28" s="23"/>
      <c r="Y28" s="23"/>
    </row>
    <row r="29" spans="1:25" ht="14.25" thickBot="1" x14ac:dyDescent="0.2">
      <c r="A29" s="23"/>
      <c r="B29" s="2"/>
      <c r="C29" s="63" t="s">
        <v>115</v>
      </c>
      <c r="D29" s="2"/>
      <c r="E29" s="8" t="str">
        <f>IF(入力シート!$C$25="","",TEXT(入力シート!$C$25,"e")*1)</f>
        <v/>
      </c>
      <c r="F29" s="2"/>
      <c r="G29" s="2" t="s">
        <v>116</v>
      </c>
      <c r="H29" s="2"/>
      <c r="I29" s="8" t="str">
        <f>IF(入力シート!$C$25="","",MONTH(入力シート!$C$25))</f>
        <v/>
      </c>
      <c r="J29" s="2"/>
      <c r="K29" s="2" t="s">
        <v>117</v>
      </c>
      <c r="L29" s="2"/>
      <c r="M29" s="8" t="str">
        <f>IF(入力シート!$C$25="","",DAY(入力シート!$C$25))</f>
        <v/>
      </c>
      <c r="N29" s="2"/>
      <c r="O29" s="2" t="s">
        <v>118</v>
      </c>
      <c r="P29" s="2"/>
      <c r="Q29" s="2"/>
      <c r="R29" s="2"/>
      <c r="S29" s="23"/>
      <c r="T29" s="26"/>
      <c r="U29" s="26"/>
      <c r="V29" s="23"/>
      <c r="W29" s="23"/>
      <c r="X29" s="23"/>
      <c r="Y29" s="23"/>
    </row>
    <row r="30" spans="1:25" ht="5.0999999999999996" customHeight="1" x14ac:dyDescent="0.15">
      <c r="A30" s="23"/>
      <c r="B30" s="2"/>
      <c r="C30" s="2"/>
      <c r="D30" s="2"/>
      <c r="E30" s="2"/>
      <c r="F30" s="2"/>
      <c r="G30" s="2"/>
      <c r="H30" s="2"/>
      <c r="I30" s="2"/>
      <c r="J30" s="2"/>
      <c r="K30" s="2"/>
      <c r="L30" s="2"/>
      <c r="M30" s="2"/>
      <c r="N30" s="2"/>
      <c r="O30" s="2"/>
      <c r="P30" s="2"/>
      <c r="Q30" s="2"/>
      <c r="R30" s="2"/>
      <c r="S30" s="23"/>
      <c r="T30" s="23"/>
      <c r="U30" s="23"/>
      <c r="V30" s="23"/>
      <c r="W30" s="23"/>
      <c r="X30" s="23"/>
      <c r="Y30" s="23"/>
    </row>
    <row r="31" spans="1:25" x14ac:dyDescent="0.15">
      <c r="A31" s="23"/>
      <c r="B31" s="2"/>
      <c r="C31" s="2"/>
      <c r="D31" s="2"/>
      <c r="E31" s="2" t="s">
        <v>119</v>
      </c>
      <c r="F31" s="2"/>
      <c r="G31" s="2"/>
      <c r="H31" s="2"/>
      <c r="I31" s="2"/>
      <c r="J31" s="2"/>
      <c r="K31" s="2"/>
      <c r="L31" s="2"/>
      <c r="M31" s="2"/>
      <c r="N31" s="2"/>
      <c r="O31" s="2"/>
      <c r="P31" s="2"/>
      <c r="Q31" s="2"/>
      <c r="R31" s="2"/>
      <c r="S31" s="23"/>
      <c r="T31" s="23"/>
      <c r="U31" s="23"/>
      <c r="V31" s="23"/>
      <c r="W31" s="23"/>
      <c r="X31" s="23"/>
      <c r="Y31" s="23"/>
    </row>
    <row r="32" spans="1:25" ht="5.0999999999999996" customHeight="1" x14ac:dyDescent="0.15">
      <c r="A32" s="23"/>
      <c r="B32" s="2"/>
      <c r="C32" s="2"/>
      <c r="D32" s="2"/>
      <c r="E32" s="2"/>
      <c r="F32" s="2"/>
      <c r="G32" s="2"/>
      <c r="H32" s="2"/>
      <c r="I32" s="2"/>
      <c r="J32" s="2"/>
      <c r="K32" s="2"/>
      <c r="L32" s="2"/>
      <c r="M32" s="2"/>
      <c r="N32" s="2"/>
      <c r="O32" s="2"/>
      <c r="P32" s="2"/>
      <c r="Q32" s="2"/>
      <c r="R32" s="2"/>
      <c r="S32" s="23"/>
      <c r="T32" s="23"/>
      <c r="U32" s="23"/>
      <c r="V32" s="23"/>
      <c r="W32" s="23"/>
      <c r="X32" s="23"/>
      <c r="Y32" s="23"/>
    </row>
    <row r="33" spans="1:29" x14ac:dyDescent="0.15">
      <c r="A33" s="23"/>
      <c r="B33" s="23"/>
      <c r="C33" s="23"/>
      <c r="D33" s="23"/>
      <c r="E33" s="23"/>
      <c r="F33" s="23"/>
      <c r="G33" s="23"/>
      <c r="H33" s="23"/>
      <c r="I33" s="23"/>
      <c r="J33" s="23"/>
      <c r="K33" s="23"/>
      <c r="L33" s="23"/>
      <c r="M33" s="23"/>
      <c r="N33" s="23"/>
      <c r="O33" s="23"/>
      <c r="P33" s="23"/>
      <c r="Q33" s="23"/>
      <c r="R33" s="23"/>
      <c r="S33" s="23"/>
      <c r="T33" s="23"/>
      <c r="U33" s="23"/>
      <c r="V33" s="23"/>
      <c r="W33" s="23"/>
      <c r="X33" s="23"/>
      <c r="Y33" s="23"/>
    </row>
    <row r="34" spans="1:29" ht="5.0999999999999996" customHeight="1" x14ac:dyDescent="0.15">
      <c r="A34" s="23"/>
      <c r="B34" s="4"/>
      <c r="C34" s="4"/>
      <c r="D34" s="4"/>
      <c r="E34" s="4"/>
      <c r="F34" s="4"/>
      <c r="G34" s="4"/>
      <c r="H34" s="4"/>
      <c r="I34" s="4"/>
      <c r="J34" s="4"/>
      <c r="K34" s="4"/>
      <c r="L34" s="4"/>
      <c r="M34" s="4"/>
      <c r="N34" s="4"/>
      <c r="O34" s="4"/>
      <c r="P34" s="4"/>
      <c r="Q34" s="4"/>
      <c r="R34" s="4"/>
      <c r="S34" s="4"/>
      <c r="T34" s="4"/>
      <c r="U34" s="4"/>
      <c r="V34" s="4"/>
      <c r="W34" s="23"/>
      <c r="X34" s="23"/>
      <c r="Y34" s="23"/>
    </row>
    <row r="35" spans="1:29" x14ac:dyDescent="0.15">
      <c r="A35" s="23"/>
      <c r="B35" s="4" t="s">
        <v>120</v>
      </c>
      <c r="C35" s="4"/>
      <c r="D35" s="4"/>
      <c r="E35" s="4"/>
      <c r="F35" s="4"/>
      <c r="G35" s="4"/>
      <c r="H35" s="4"/>
      <c r="I35" s="4"/>
      <c r="J35" s="4"/>
      <c r="K35" s="4"/>
      <c r="L35" s="4"/>
      <c r="M35" s="4"/>
      <c r="N35" s="4"/>
      <c r="O35" s="4"/>
      <c r="P35" s="4"/>
      <c r="Q35" s="4"/>
      <c r="R35" s="4"/>
      <c r="S35" s="4"/>
      <c r="T35" s="4"/>
      <c r="U35" s="4"/>
      <c r="V35" s="4"/>
      <c r="W35" s="23"/>
      <c r="X35" s="23"/>
      <c r="Y35" s="23"/>
    </row>
    <row r="36" spans="1:29" ht="5.0999999999999996" customHeight="1" x14ac:dyDescent="0.15">
      <c r="A36" s="23"/>
      <c r="B36" s="4"/>
      <c r="C36" s="4"/>
      <c r="D36" s="4"/>
      <c r="E36" s="4"/>
      <c r="F36" s="4"/>
      <c r="G36" s="4"/>
      <c r="H36" s="4"/>
      <c r="I36" s="4"/>
      <c r="J36" s="4"/>
      <c r="K36" s="4"/>
      <c r="L36" s="4"/>
      <c r="M36" s="4"/>
      <c r="N36" s="4"/>
      <c r="O36" s="4"/>
      <c r="P36" s="4"/>
      <c r="Q36" s="4"/>
      <c r="R36" s="4"/>
      <c r="S36" s="4"/>
      <c r="T36" s="4"/>
      <c r="U36" s="4"/>
      <c r="V36" s="4"/>
      <c r="W36" s="23"/>
      <c r="X36" s="23"/>
      <c r="Y36" s="23"/>
    </row>
    <row r="37" spans="1:29" x14ac:dyDescent="0.15">
      <c r="A37" s="23"/>
      <c r="B37" s="4"/>
      <c r="C37" s="9" t="str">
        <f>E13</f>
        <v>なし</v>
      </c>
      <c r="D37" s="9"/>
      <c r="E37" s="4"/>
      <c r="F37" s="4"/>
      <c r="G37" s="4"/>
      <c r="H37" s="4"/>
      <c r="I37" s="4"/>
      <c r="J37" s="4"/>
      <c r="K37" s="4"/>
      <c r="L37" s="4"/>
      <c r="M37" s="4"/>
      <c r="N37" s="4"/>
      <c r="O37" s="4"/>
      <c r="P37" s="4"/>
      <c r="Q37" s="4"/>
      <c r="R37" s="4"/>
      <c r="S37" s="4"/>
      <c r="T37" s="4"/>
      <c r="U37" s="4"/>
      <c r="V37" s="4"/>
      <c r="W37" s="23"/>
      <c r="X37" s="23"/>
      <c r="Y37" s="23"/>
    </row>
    <row r="38" spans="1:29" ht="5.0999999999999996" customHeight="1" x14ac:dyDescent="0.15">
      <c r="A38" s="23"/>
      <c r="B38" s="4"/>
      <c r="C38" s="4"/>
      <c r="D38" s="4"/>
      <c r="E38" s="4"/>
      <c r="F38" s="4"/>
      <c r="G38" s="4"/>
      <c r="H38" s="4"/>
      <c r="I38" s="4"/>
      <c r="J38" s="4"/>
      <c r="K38" s="4"/>
      <c r="L38" s="4"/>
      <c r="M38" s="4"/>
      <c r="N38" s="4"/>
      <c r="O38" s="4"/>
      <c r="P38" s="4"/>
      <c r="Q38" s="4"/>
      <c r="R38" s="4"/>
      <c r="S38" s="4"/>
      <c r="T38" s="4"/>
      <c r="U38" s="4"/>
      <c r="V38" s="4"/>
      <c r="W38" s="23"/>
      <c r="X38" s="23"/>
      <c r="Y38" s="23"/>
    </row>
    <row r="39" spans="1:29" x14ac:dyDescent="0.15">
      <c r="A39" s="23"/>
      <c r="B39" s="4"/>
      <c r="C39" s="66" t="s">
        <v>7</v>
      </c>
      <c r="D39" s="66"/>
      <c r="E39" s="4"/>
      <c r="F39" s="4"/>
      <c r="G39" s="4"/>
      <c r="H39" s="4"/>
      <c r="I39" s="4"/>
      <c r="J39" s="4"/>
      <c r="K39" s="4"/>
      <c r="L39" s="4"/>
      <c r="M39" s="4"/>
      <c r="N39" s="4"/>
      <c r="O39" s="4"/>
      <c r="P39" s="4"/>
      <c r="Q39" s="4"/>
      <c r="R39" s="4"/>
      <c r="S39" s="4"/>
      <c r="T39" s="4"/>
      <c r="U39" s="4"/>
      <c r="V39" s="4"/>
      <c r="W39" s="23"/>
      <c r="X39" s="23"/>
      <c r="Y39" s="23"/>
    </row>
    <row r="40" spans="1:29" ht="5.0999999999999996" customHeight="1" thickBot="1" x14ac:dyDescent="0.2">
      <c r="A40" s="23"/>
      <c r="B40" s="4"/>
      <c r="C40" s="4"/>
      <c r="D40" s="4"/>
      <c r="E40" s="4"/>
      <c r="F40" s="4"/>
      <c r="G40" s="4"/>
      <c r="H40" s="4"/>
      <c r="I40" s="4"/>
      <c r="J40" s="4"/>
      <c r="K40" s="4"/>
      <c r="L40" s="4"/>
      <c r="M40" s="4"/>
      <c r="N40" s="4"/>
      <c r="O40" s="4"/>
      <c r="P40" s="4"/>
      <c r="Q40" s="4"/>
      <c r="R40" s="4"/>
      <c r="S40" s="4"/>
      <c r="T40" s="4"/>
      <c r="U40" s="4"/>
      <c r="V40" s="4"/>
      <c r="W40" s="23"/>
      <c r="X40" s="23"/>
      <c r="Y40" s="23"/>
    </row>
    <row r="41" spans="1:29" ht="14.25" thickBot="1" x14ac:dyDescent="0.2">
      <c r="A41" s="23"/>
      <c r="B41" s="4"/>
      <c r="C41" s="58" t="s">
        <v>78</v>
      </c>
      <c r="D41" s="58"/>
      <c r="E41" s="311" t="str">
        <f>IF(AND(O41&lt;&gt;"",Q41&lt;&gt;""),O41&amp;Q41,"")</f>
        <v/>
      </c>
      <c r="F41" s="344"/>
      <c r="G41" s="312"/>
      <c r="H41" s="13"/>
      <c r="I41" s="13"/>
      <c r="J41" s="4"/>
      <c r="K41" s="4"/>
      <c r="L41" s="4"/>
      <c r="M41" s="4"/>
      <c r="N41" s="4"/>
      <c r="O41" s="146" t="str">
        <f>IF(LEN(入力シート!G37)=3,ASC(入力シート!G37),"")</f>
        <v/>
      </c>
      <c r="P41" s="4"/>
      <c r="Q41" s="146" t="str">
        <f>IF(LEN(入力シート!I37)=4,ASC(入力シート!I37),"")</f>
        <v/>
      </c>
      <c r="R41" s="4"/>
      <c r="S41" s="4"/>
      <c r="T41" s="4"/>
      <c r="U41" s="4"/>
      <c r="V41" s="4"/>
      <c r="W41" s="23"/>
      <c r="X41" s="23"/>
      <c r="Y41" s="23"/>
    </row>
    <row r="42" spans="1:29" ht="5.0999999999999996" customHeight="1" thickBot="1" x14ac:dyDescent="0.2">
      <c r="A42" s="23"/>
      <c r="B42" s="4"/>
      <c r="C42" s="4"/>
      <c r="D42" s="4"/>
      <c r="E42" s="4"/>
      <c r="F42" s="4"/>
      <c r="G42" s="4"/>
      <c r="H42" s="4"/>
      <c r="I42" s="4"/>
      <c r="J42" s="4"/>
      <c r="K42" s="4"/>
      <c r="L42" s="4"/>
      <c r="M42" s="4"/>
      <c r="N42" s="4"/>
      <c r="O42" s="4"/>
      <c r="P42" s="4"/>
      <c r="Q42" s="4"/>
      <c r="R42" s="4"/>
      <c r="S42" s="4"/>
      <c r="T42" s="4"/>
      <c r="U42" s="4"/>
      <c r="V42" s="4"/>
      <c r="W42" s="23"/>
      <c r="X42" s="23"/>
      <c r="Y42" s="23"/>
    </row>
    <row r="43" spans="1:29" ht="14.25" thickBot="1" x14ac:dyDescent="0.2">
      <c r="A43" s="23"/>
      <c r="B43" s="4"/>
      <c r="C43" s="58" t="s">
        <v>79</v>
      </c>
      <c r="D43" s="58"/>
      <c r="E43" s="8" t="str">
        <f>IF(入力シート!$G$39&lt;&gt;"",入力シート!$G$39,"")</f>
        <v/>
      </c>
      <c r="F43" s="4"/>
      <c r="G43" s="4" t="b">
        <f>OR(COUNTIF(反映シート!E45,"*市"),COUNTIF(反映シート!E45,"*区"),COUNTIF(反映シート!E45,"*町"),COUNTIF(反映シート!E45,"*村"),COUNTIF(反映シート!E45,"*イ"),COUNTIF(反映シート!E45,"*ロ"),COUNTIF(反映シート!E45,"*甲"),COUNTIF(反映シート!E45,"*乙"),COUNTIF(反映シート!E45,"*子"),COUNTIF(反映シート!E45,"*丑"),COUNTIF(反映シート!E45,"*ホ"),COUNTIF(反映シート!E45,"*の"),COUNTIF(反映シート!E45,"*割"))</f>
        <v>0</v>
      </c>
      <c r="H43" s="4"/>
      <c r="I43" s="4" t="s">
        <v>121</v>
      </c>
      <c r="J43" s="4"/>
      <c r="K43" s="4"/>
      <c r="L43" s="4"/>
      <c r="M43" s="4"/>
      <c r="N43" s="4"/>
      <c r="O43" s="4"/>
      <c r="P43" s="4"/>
      <c r="Q43" s="4"/>
      <c r="R43" s="4"/>
      <c r="S43" s="4"/>
      <c r="T43" s="4"/>
      <c r="U43" s="4"/>
      <c r="V43" s="4"/>
      <c r="W43" s="23"/>
      <c r="X43" s="23"/>
      <c r="Y43" s="23"/>
      <c r="AC43" s="151"/>
    </row>
    <row r="44" spans="1:29" ht="5.0999999999999996" customHeight="1" thickBot="1" x14ac:dyDescent="0.2">
      <c r="A44" s="23"/>
      <c r="B44" s="4"/>
      <c r="C44" s="4"/>
      <c r="D44" s="4"/>
      <c r="E44" s="4"/>
      <c r="F44" s="4"/>
      <c r="G44" s="4"/>
      <c r="H44" s="4"/>
      <c r="I44" s="4"/>
      <c r="J44" s="4"/>
      <c r="K44" s="4"/>
      <c r="L44" s="4"/>
      <c r="M44" s="4"/>
      <c r="N44" s="4"/>
      <c r="O44" s="4"/>
      <c r="P44" s="4"/>
      <c r="Q44" s="4"/>
      <c r="R44" s="4"/>
      <c r="S44" s="4"/>
      <c r="T44" s="4"/>
      <c r="U44" s="4"/>
      <c r="V44" s="4"/>
      <c r="W44" s="23"/>
      <c r="X44" s="23"/>
      <c r="Y44" s="23"/>
    </row>
    <row r="45" spans="1:29" ht="14.25" thickBot="1" x14ac:dyDescent="0.2">
      <c r="A45" s="23"/>
      <c r="B45" s="4"/>
      <c r="C45" s="58" t="s">
        <v>81</v>
      </c>
      <c r="D45" s="58"/>
      <c r="E45" s="345" t="str">
        <f>IF(入力シート!$G$41&lt;&gt;"",DBCS(入力シート!$G$41),"")</f>
        <v/>
      </c>
      <c r="F45" s="346"/>
      <c r="G45" s="346"/>
      <c r="H45" s="346"/>
      <c r="I45" s="346"/>
      <c r="J45" s="346"/>
      <c r="K45" s="346"/>
      <c r="L45" s="347"/>
      <c r="M45" s="4" t="s">
        <v>122</v>
      </c>
      <c r="N45" s="4"/>
      <c r="O45" s="348" t="str">
        <f>IF(入力シート!$G$41&lt;&gt;"",SUBSTITUTE(反映シート!$E$45,"　",""),"")</f>
        <v/>
      </c>
      <c r="P45" s="349"/>
      <c r="Q45" s="349"/>
      <c r="R45" s="349"/>
      <c r="S45" s="349"/>
      <c r="T45" s="349"/>
      <c r="U45" s="349"/>
      <c r="V45" s="4" t="s">
        <v>123</v>
      </c>
      <c r="W45" s="23"/>
      <c r="X45" s="23"/>
      <c r="Y45" s="23"/>
    </row>
    <row r="46" spans="1:29" ht="5.0999999999999996" customHeight="1" thickBot="1" x14ac:dyDescent="0.2">
      <c r="A46" s="23"/>
      <c r="B46" s="4"/>
      <c r="C46" s="4"/>
      <c r="D46" s="4"/>
      <c r="E46" s="4"/>
      <c r="F46" s="4"/>
      <c r="G46" s="4"/>
      <c r="H46" s="4"/>
      <c r="I46" s="4"/>
      <c r="J46" s="4"/>
      <c r="K46" s="4"/>
      <c r="L46" s="4"/>
      <c r="M46" s="4"/>
      <c r="N46" s="4"/>
      <c r="O46" s="4"/>
      <c r="P46" s="4"/>
      <c r="Q46" s="4"/>
      <c r="R46" s="4"/>
      <c r="S46" s="4"/>
      <c r="T46" s="4"/>
      <c r="U46" s="4"/>
      <c r="V46" s="4"/>
      <c r="W46" s="23"/>
      <c r="X46" s="23"/>
      <c r="Y46" s="23"/>
    </row>
    <row r="47" spans="1:29" ht="14.25" thickBot="1" x14ac:dyDescent="0.2">
      <c r="A47" s="23"/>
      <c r="B47" s="4"/>
      <c r="C47" s="58" t="s">
        <v>82</v>
      </c>
      <c r="D47" s="58"/>
      <c r="E47" s="345" t="str">
        <f>IF(入力シート!$G$43&lt;&gt;"",DBCS(入力シート!$G$43),"")</f>
        <v/>
      </c>
      <c r="F47" s="346"/>
      <c r="G47" s="346"/>
      <c r="H47" s="346"/>
      <c r="I47" s="346"/>
      <c r="J47" s="346"/>
      <c r="K47" s="346"/>
      <c r="L47" s="347"/>
      <c r="M47" s="4" t="s">
        <v>122</v>
      </c>
      <c r="N47" s="4"/>
      <c r="O47" s="348" t="str">
        <f>IF(入力シート!$G$43&lt;&gt;"",SUBSTITUTE(反映シート!$E$47,"　",""),"")</f>
        <v/>
      </c>
      <c r="P47" s="349"/>
      <c r="Q47" s="349"/>
      <c r="R47" s="349"/>
      <c r="S47" s="349"/>
      <c r="T47" s="349"/>
      <c r="U47" s="349"/>
      <c r="V47" s="4" t="s">
        <v>123</v>
      </c>
      <c r="W47" s="23" t="s">
        <v>482</v>
      </c>
      <c r="X47" s="23"/>
      <c r="Y47" s="23"/>
    </row>
    <row r="48" spans="1:29" ht="5.0999999999999996" customHeight="1" thickBot="1" x14ac:dyDescent="0.2">
      <c r="A48" s="23"/>
      <c r="B48" s="4"/>
      <c r="C48" s="58"/>
      <c r="D48" s="58"/>
      <c r="E48" s="14"/>
      <c r="F48" s="14"/>
      <c r="G48" s="14"/>
      <c r="H48" s="14"/>
      <c r="I48" s="14"/>
      <c r="J48" s="14"/>
      <c r="K48" s="14"/>
      <c r="L48" s="14"/>
      <c r="M48" s="4"/>
      <c r="N48" s="4"/>
      <c r="O48" s="4"/>
      <c r="P48" s="4"/>
      <c r="Q48" s="4"/>
      <c r="R48" s="4"/>
      <c r="S48" s="4"/>
      <c r="T48" s="4"/>
      <c r="U48" s="4"/>
      <c r="V48" s="4"/>
      <c r="W48" s="23"/>
      <c r="X48" s="23"/>
      <c r="Y48" s="23"/>
    </row>
    <row r="49" spans="1:25" ht="14.25" thickBot="1" x14ac:dyDescent="0.2">
      <c r="A49" s="23"/>
      <c r="B49" s="4"/>
      <c r="C49" s="58" t="s">
        <v>83</v>
      </c>
      <c r="D49" s="58"/>
      <c r="E49" s="345" t="str">
        <f>IF(入力シート!$G$45&lt;&gt;"",DBCS(入力シート!$G$45),"")</f>
        <v/>
      </c>
      <c r="F49" s="346"/>
      <c r="G49" s="346"/>
      <c r="H49" s="346"/>
      <c r="I49" s="346"/>
      <c r="J49" s="346"/>
      <c r="K49" s="346"/>
      <c r="L49" s="347"/>
      <c r="M49" s="4" t="s">
        <v>122</v>
      </c>
      <c r="N49" s="4"/>
      <c r="O49" s="348" t="str">
        <f>IF(W49&lt;&gt;"",SUBSTITUTE(W49,"　","")&amp;"Ｆ",SUBSTITUTE(E49,"　",""))</f>
        <v/>
      </c>
      <c r="P49" s="349"/>
      <c r="Q49" s="349"/>
      <c r="R49" s="349"/>
      <c r="S49" s="349"/>
      <c r="T49" s="349"/>
      <c r="U49" s="349"/>
      <c r="V49" s="4" t="s">
        <v>123</v>
      </c>
      <c r="W49" s="372" t="str">
        <f>IF(AND(E49&lt;&gt;"",COUNTIF(E49,"*階")=1),LEFT(E49,LEN(E49)-1),"")</f>
        <v/>
      </c>
      <c r="X49" s="373"/>
      <c r="Y49" s="374"/>
    </row>
    <row r="50" spans="1:25" ht="5.0999999999999996" customHeight="1" thickBot="1" x14ac:dyDescent="0.2">
      <c r="A50" s="23"/>
      <c r="B50" s="4"/>
      <c r="C50" s="4"/>
      <c r="D50" s="4"/>
      <c r="E50" s="4"/>
      <c r="F50" s="4"/>
      <c r="G50" s="4"/>
      <c r="H50" s="4"/>
      <c r="I50" s="4"/>
      <c r="J50" s="4"/>
      <c r="K50" s="4"/>
      <c r="L50" s="4"/>
      <c r="M50" s="4"/>
      <c r="N50" s="4"/>
      <c r="O50" s="4"/>
      <c r="P50" s="4"/>
      <c r="Q50" s="4"/>
      <c r="R50" s="4"/>
      <c r="S50" s="4"/>
      <c r="T50" s="4"/>
      <c r="U50" s="4"/>
      <c r="V50" s="4"/>
      <c r="W50" s="23"/>
      <c r="X50" s="23"/>
      <c r="Y50" s="23"/>
    </row>
    <row r="51" spans="1:25" ht="14.25" thickBot="1" x14ac:dyDescent="0.2">
      <c r="A51" s="23"/>
      <c r="B51" s="4"/>
      <c r="C51" s="66" t="s">
        <v>64</v>
      </c>
      <c r="D51" s="66"/>
      <c r="E51" s="345" t="str">
        <f>IF(入力シート!$G$47&lt;&gt;"",DBCS(入力シート!$G$47),"")</f>
        <v/>
      </c>
      <c r="F51" s="346"/>
      <c r="G51" s="346"/>
      <c r="H51" s="346"/>
      <c r="I51" s="346"/>
      <c r="J51" s="346"/>
      <c r="K51" s="346"/>
      <c r="L51" s="347"/>
      <c r="M51" s="4" t="s">
        <v>122</v>
      </c>
      <c r="N51" s="4"/>
      <c r="O51" s="348" t="str">
        <f>IF(入力シート!$G47&lt;&gt;"",SUBSTITUTE(反映シート!$E51,"　",""),"")</f>
        <v/>
      </c>
      <c r="P51" s="349"/>
      <c r="Q51" s="349"/>
      <c r="R51" s="349"/>
      <c r="S51" s="349"/>
      <c r="T51" s="349"/>
      <c r="U51" s="349"/>
      <c r="V51" s="4" t="s">
        <v>123</v>
      </c>
      <c r="W51" s="23"/>
      <c r="X51" s="23"/>
      <c r="Y51" s="23"/>
    </row>
    <row r="52" spans="1:25" ht="5.0999999999999996" customHeight="1" thickBot="1" x14ac:dyDescent="0.2">
      <c r="A52" s="23"/>
      <c r="B52" s="4"/>
      <c r="C52" s="4"/>
      <c r="D52" s="4"/>
      <c r="E52" s="4"/>
      <c r="F52" s="4"/>
      <c r="G52" s="4"/>
      <c r="H52" s="4"/>
      <c r="I52" s="4"/>
      <c r="J52" s="4"/>
      <c r="K52" s="4"/>
      <c r="L52" s="4"/>
      <c r="M52" s="4"/>
      <c r="N52" s="4"/>
      <c r="O52" s="4"/>
      <c r="P52" s="4"/>
      <c r="Q52" s="4"/>
      <c r="R52" s="4"/>
      <c r="S52" s="4"/>
      <c r="T52" s="4"/>
      <c r="U52" s="4"/>
      <c r="V52" s="4"/>
      <c r="W52" s="23"/>
      <c r="X52" s="23"/>
      <c r="Y52" s="23"/>
    </row>
    <row r="53" spans="1:25" ht="14.25" thickBot="1" x14ac:dyDescent="0.2">
      <c r="A53" s="23"/>
      <c r="B53" s="4"/>
      <c r="C53" s="66" t="s">
        <v>456</v>
      </c>
      <c r="D53" s="66"/>
      <c r="E53" s="345" t="str">
        <f>IF(入力シート!$G$49&lt;&gt;"",DBCS(入力シート!$G$49),"")</f>
        <v/>
      </c>
      <c r="F53" s="346"/>
      <c r="G53" s="346"/>
      <c r="H53" s="346"/>
      <c r="I53" s="346"/>
      <c r="J53" s="346"/>
      <c r="K53" s="346"/>
      <c r="L53" s="347"/>
      <c r="M53" s="4" t="s">
        <v>122</v>
      </c>
      <c r="N53" s="4"/>
      <c r="O53" s="348" t="str">
        <f>IF(入力シート!$G49&lt;&gt;"",SUBSTITUTE(反映シート!$E53,"　",""),"")</f>
        <v/>
      </c>
      <c r="P53" s="349"/>
      <c r="Q53" s="349"/>
      <c r="R53" s="349"/>
      <c r="S53" s="349"/>
      <c r="T53" s="349"/>
      <c r="U53" s="349"/>
      <c r="V53" s="4" t="s">
        <v>123</v>
      </c>
      <c r="W53" s="23"/>
      <c r="X53" s="23"/>
      <c r="Y53" s="23"/>
    </row>
    <row r="54" spans="1:25" ht="5.0999999999999996" customHeight="1" x14ac:dyDescent="0.15">
      <c r="A54" s="23"/>
      <c r="B54" s="4"/>
      <c r="C54" s="4"/>
      <c r="D54" s="4"/>
      <c r="E54" s="4"/>
      <c r="F54" s="4"/>
      <c r="G54" s="4"/>
      <c r="H54" s="4"/>
      <c r="I54" s="4"/>
      <c r="J54" s="4"/>
      <c r="K54" s="4"/>
      <c r="L54" s="4"/>
      <c r="M54" s="4"/>
      <c r="N54" s="4"/>
      <c r="O54" s="4"/>
      <c r="P54" s="4"/>
      <c r="Q54" s="4"/>
      <c r="R54" s="4"/>
      <c r="S54" s="4"/>
      <c r="T54" s="4"/>
      <c r="U54" s="4"/>
      <c r="V54" s="4"/>
      <c r="W54" s="23"/>
      <c r="X54" s="23"/>
      <c r="Y54" s="23"/>
    </row>
    <row r="55" spans="1:25" x14ac:dyDescent="0.15">
      <c r="A55" s="23"/>
      <c r="B55" s="4"/>
      <c r="C55" s="4" t="s">
        <v>20</v>
      </c>
      <c r="D55" s="4"/>
      <c r="E55" s="4"/>
      <c r="F55" s="4"/>
      <c r="G55" s="4"/>
      <c r="H55" s="4"/>
      <c r="I55" s="4"/>
      <c r="J55" s="4"/>
      <c r="K55" s="4"/>
      <c r="L55" s="4"/>
      <c r="M55" s="4"/>
      <c r="N55" s="4"/>
      <c r="O55" s="4"/>
      <c r="P55" s="4"/>
      <c r="Q55" s="4"/>
      <c r="R55" s="4"/>
      <c r="S55" s="4"/>
      <c r="T55" s="4"/>
      <c r="U55" s="4"/>
      <c r="V55" s="4"/>
      <c r="W55" s="23"/>
      <c r="X55" s="23"/>
      <c r="Y55" s="23"/>
    </row>
    <row r="56" spans="1:25" ht="5.0999999999999996" customHeight="1" thickBot="1" x14ac:dyDescent="0.2">
      <c r="A56" s="23"/>
      <c r="B56" s="4"/>
      <c r="C56" s="4"/>
      <c r="D56" s="4"/>
      <c r="E56" s="4"/>
      <c r="F56" s="4"/>
      <c r="G56" s="4"/>
      <c r="H56" s="4"/>
      <c r="I56" s="4"/>
      <c r="J56" s="4"/>
      <c r="K56" s="4"/>
      <c r="L56" s="4"/>
      <c r="M56" s="4"/>
      <c r="N56" s="4"/>
      <c r="O56" s="4"/>
      <c r="P56" s="4"/>
      <c r="Q56" s="4"/>
      <c r="R56" s="4"/>
      <c r="S56" s="4"/>
      <c r="T56" s="4"/>
      <c r="U56" s="4"/>
      <c r="V56" s="4"/>
      <c r="W56" s="23"/>
      <c r="X56" s="23"/>
      <c r="Y56" s="23"/>
    </row>
    <row r="57" spans="1:25" ht="14.25" thickBot="1" x14ac:dyDescent="0.2">
      <c r="A57" s="23"/>
      <c r="B57" s="4"/>
      <c r="C57" s="58" t="s">
        <v>67</v>
      </c>
      <c r="D57" s="58"/>
      <c r="E57" s="345" t="str">
        <f>IF(入力シート!$G$54&lt;&gt;"",DBCS(入力シート!$G$54),"")</f>
        <v/>
      </c>
      <c r="F57" s="346"/>
      <c r="G57" s="346"/>
      <c r="H57" s="346"/>
      <c r="I57" s="346"/>
      <c r="J57" s="346"/>
      <c r="K57" s="346"/>
      <c r="L57" s="347"/>
      <c r="M57" s="4" t="s">
        <v>122</v>
      </c>
      <c r="N57" s="4"/>
      <c r="O57" s="348" t="str">
        <f>IF(入力シート!$G$54&lt;&gt;"",SUBSTITUTE(反映シート!$E$57,"　",""),"")</f>
        <v/>
      </c>
      <c r="P57" s="349"/>
      <c r="Q57" s="349"/>
      <c r="R57" s="349"/>
      <c r="S57" s="349"/>
      <c r="T57" s="349"/>
      <c r="U57" s="349"/>
      <c r="V57" s="4" t="s">
        <v>123</v>
      </c>
      <c r="W57" s="23"/>
      <c r="X57" s="23"/>
      <c r="Y57" s="23"/>
    </row>
    <row r="58" spans="1:25" ht="5.0999999999999996" customHeight="1" thickBot="1" x14ac:dyDescent="0.2">
      <c r="A58" s="23"/>
      <c r="B58" s="4"/>
      <c r="C58" s="4"/>
      <c r="D58" s="4"/>
      <c r="E58" s="4"/>
      <c r="F58" s="4"/>
      <c r="G58" s="4"/>
      <c r="H58" s="4"/>
      <c r="I58" s="4"/>
      <c r="J58" s="4"/>
      <c r="K58" s="4"/>
      <c r="L58" s="4"/>
      <c r="M58" s="4"/>
      <c r="N58" s="4"/>
      <c r="O58" s="4"/>
      <c r="P58" s="4"/>
      <c r="Q58" s="4"/>
      <c r="R58" s="4"/>
      <c r="S58" s="4"/>
      <c r="T58" s="4"/>
      <c r="U58" s="4"/>
      <c r="V58" s="4"/>
      <c r="W58" s="23"/>
      <c r="X58" s="23"/>
      <c r="Y58" s="23"/>
    </row>
    <row r="59" spans="1:25" ht="14.25" thickBot="1" x14ac:dyDescent="0.2">
      <c r="A59" s="23"/>
      <c r="B59" s="4"/>
      <c r="C59" s="58" t="s">
        <v>69</v>
      </c>
      <c r="D59" s="58"/>
      <c r="E59" s="345" t="str">
        <f>IF(入力シート!$G$56&lt;&gt;"",DBCS(入力シート!$G$56),"")</f>
        <v/>
      </c>
      <c r="F59" s="346"/>
      <c r="G59" s="346"/>
      <c r="H59" s="346"/>
      <c r="I59" s="346"/>
      <c r="J59" s="346"/>
      <c r="K59" s="346"/>
      <c r="L59" s="347"/>
      <c r="M59" s="4" t="s">
        <v>122</v>
      </c>
      <c r="N59" s="4"/>
      <c r="O59" s="348" t="str">
        <f>IF(入力シート!$G$56&lt;&gt;"",SUBSTITUTE(反映シート!$E$59,"　",""),"")</f>
        <v/>
      </c>
      <c r="P59" s="349"/>
      <c r="Q59" s="349"/>
      <c r="R59" s="349"/>
      <c r="S59" s="349"/>
      <c r="T59" s="349"/>
      <c r="U59" s="349"/>
      <c r="V59" s="4" t="s">
        <v>123</v>
      </c>
      <c r="W59" s="23"/>
      <c r="X59" s="23"/>
      <c r="Y59" s="23"/>
    </row>
    <row r="60" spans="1:25" ht="5.0999999999999996" customHeight="1" thickBot="1" x14ac:dyDescent="0.2">
      <c r="A60" s="23"/>
      <c r="B60" s="4"/>
      <c r="C60" s="4"/>
      <c r="D60" s="4"/>
      <c r="E60" s="4"/>
      <c r="F60" s="4"/>
      <c r="G60" s="4"/>
      <c r="H60" s="4"/>
      <c r="I60" s="4"/>
      <c r="J60" s="4"/>
      <c r="K60" s="4"/>
      <c r="L60" s="4"/>
      <c r="M60" s="4"/>
      <c r="N60" s="4"/>
      <c r="O60" s="4"/>
      <c r="P60" s="4"/>
      <c r="Q60" s="4"/>
      <c r="R60" s="4"/>
      <c r="S60" s="4"/>
      <c r="T60" s="4"/>
      <c r="U60" s="4"/>
      <c r="V60" s="4"/>
      <c r="W60" s="23"/>
      <c r="X60" s="23"/>
      <c r="Y60" s="23"/>
    </row>
    <row r="61" spans="1:25" ht="14.25" thickBot="1" x14ac:dyDescent="0.2">
      <c r="A61" s="23"/>
      <c r="B61" s="4"/>
      <c r="C61" s="58" t="s">
        <v>70</v>
      </c>
      <c r="D61" s="58"/>
      <c r="E61" s="345" t="str">
        <f>IF(入力シート!$G$58&lt;&gt;"",DBCS(入力シート!$G$58),"")</f>
        <v/>
      </c>
      <c r="F61" s="346"/>
      <c r="G61" s="346"/>
      <c r="H61" s="346"/>
      <c r="I61" s="346"/>
      <c r="J61" s="346"/>
      <c r="K61" s="346"/>
      <c r="L61" s="347"/>
      <c r="M61" s="4" t="s">
        <v>122</v>
      </c>
      <c r="N61" s="4"/>
      <c r="O61" s="348" t="str">
        <f>IF(入力シート!$G$58&lt;&gt;"",SUBSTITUTE(反映シート!$E$61,"　",""),"")</f>
        <v/>
      </c>
      <c r="P61" s="349"/>
      <c r="Q61" s="349"/>
      <c r="R61" s="349"/>
      <c r="S61" s="349"/>
      <c r="T61" s="349"/>
      <c r="U61" s="349"/>
      <c r="V61" s="4" t="s">
        <v>123</v>
      </c>
      <c r="W61" s="23"/>
      <c r="X61" s="23"/>
      <c r="Y61" s="23"/>
    </row>
    <row r="62" spans="1:25" ht="5.0999999999999996" customHeight="1" thickBot="1" x14ac:dyDescent="0.2">
      <c r="A62" s="23"/>
      <c r="B62" s="4"/>
      <c r="C62" s="4"/>
      <c r="D62" s="4"/>
      <c r="E62" s="4"/>
      <c r="F62" s="4"/>
      <c r="G62" s="4"/>
      <c r="H62" s="4"/>
      <c r="I62" s="4"/>
      <c r="J62" s="4"/>
      <c r="K62" s="4"/>
      <c r="L62" s="4"/>
      <c r="M62" s="4"/>
      <c r="N62" s="4"/>
      <c r="O62" s="4"/>
      <c r="P62" s="4"/>
      <c r="Q62" s="4"/>
      <c r="R62" s="4"/>
      <c r="S62" s="4"/>
      <c r="T62" s="4"/>
      <c r="U62" s="4"/>
      <c r="V62" s="4"/>
      <c r="W62" s="23"/>
      <c r="X62" s="23"/>
      <c r="Y62" s="23"/>
    </row>
    <row r="63" spans="1:25" ht="14.25" thickBot="1" x14ac:dyDescent="0.2">
      <c r="A63" s="23"/>
      <c r="B63" s="4"/>
      <c r="C63" s="58" t="s">
        <v>88</v>
      </c>
      <c r="D63" s="58"/>
      <c r="E63" s="345" t="str">
        <f>IF(入力シート!$G$60&lt;&gt;"",DBCS(入力シート!$G$60),"")</f>
        <v/>
      </c>
      <c r="F63" s="346"/>
      <c r="G63" s="346"/>
      <c r="H63" s="346"/>
      <c r="I63" s="346"/>
      <c r="J63" s="346"/>
      <c r="K63" s="346"/>
      <c r="L63" s="347"/>
      <c r="M63" s="4" t="s">
        <v>122</v>
      </c>
      <c r="N63" s="4"/>
      <c r="O63" s="348" t="str">
        <f>IF(入力シート!$G$60&lt;&gt;"",SUBSTITUTE(反映シート!$E$63,"　",""),"")</f>
        <v/>
      </c>
      <c r="P63" s="349"/>
      <c r="Q63" s="349"/>
      <c r="R63" s="349"/>
      <c r="S63" s="349"/>
      <c r="T63" s="349"/>
      <c r="U63" s="349"/>
      <c r="V63" s="4" t="s">
        <v>123</v>
      </c>
      <c r="W63" s="23"/>
      <c r="X63" s="23"/>
      <c r="Y63" s="23"/>
    </row>
    <row r="64" spans="1:25" ht="5.0999999999999996" customHeight="1" thickBot="1" x14ac:dyDescent="0.2">
      <c r="A64" s="23"/>
      <c r="B64" s="4"/>
      <c r="C64" s="4"/>
      <c r="D64" s="4"/>
      <c r="E64" s="4"/>
      <c r="F64" s="4"/>
      <c r="G64" s="4"/>
      <c r="H64" s="4"/>
      <c r="I64" s="4"/>
      <c r="J64" s="4"/>
      <c r="K64" s="4"/>
      <c r="L64" s="4"/>
      <c r="M64" s="4"/>
      <c r="N64" s="4"/>
      <c r="O64" s="4"/>
      <c r="P64" s="4"/>
      <c r="Q64" s="4"/>
      <c r="R64" s="4"/>
      <c r="S64" s="4"/>
      <c r="T64" s="4"/>
      <c r="U64" s="4"/>
      <c r="V64" s="4"/>
      <c r="W64" s="23"/>
      <c r="X64" s="23"/>
      <c r="Y64" s="23"/>
    </row>
    <row r="65" spans="1:25" ht="14.25" thickBot="1" x14ac:dyDescent="0.2">
      <c r="A65" s="23"/>
      <c r="B65" s="4"/>
      <c r="C65" s="58" t="s">
        <v>124</v>
      </c>
      <c r="D65" s="58"/>
      <c r="E65" s="345" t="str">
        <f>IF(入力シート!$G$62&lt;&gt;"",DBCS(入力シート!$G$62),"")</f>
        <v/>
      </c>
      <c r="F65" s="346"/>
      <c r="G65" s="346"/>
      <c r="H65" s="346"/>
      <c r="I65" s="346"/>
      <c r="J65" s="346"/>
      <c r="K65" s="346"/>
      <c r="L65" s="347"/>
      <c r="M65" s="4" t="s">
        <v>122</v>
      </c>
      <c r="N65" s="4"/>
      <c r="O65" s="348" t="str">
        <f>IF(入力シート!$G$62&lt;&gt;"",SUBSTITUTE(反映シート!$E$65,"　",""),"")</f>
        <v/>
      </c>
      <c r="P65" s="349"/>
      <c r="Q65" s="349"/>
      <c r="R65" s="349"/>
      <c r="S65" s="349"/>
      <c r="T65" s="349"/>
      <c r="U65" s="349"/>
      <c r="V65" s="4" t="s">
        <v>123</v>
      </c>
      <c r="W65" s="23"/>
      <c r="X65" s="23"/>
      <c r="Y65" s="23"/>
    </row>
    <row r="66" spans="1:25" ht="5.0999999999999996" customHeight="1" thickBot="1" x14ac:dyDescent="0.2">
      <c r="A66" s="23"/>
      <c r="B66" s="4"/>
      <c r="C66" s="4"/>
      <c r="D66" s="4"/>
      <c r="E66" s="4"/>
      <c r="F66" s="4"/>
      <c r="G66" s="4"/>
      <c r="H66" s="4"/>
      <c r="I66" s="4"/>
      <c r="J66" s="4"/>
      <c r="K66" s="4"/>
      <c r="L66" s="4"/>
      <c r="M66" s="4"/>
      <c r="N66" s="4"/>
      <c r="O66" s="4"/>
      <c r="P66" s="4"/>
      <c r="Q66" s="4"/>
      <c r="R66" s="4"/>
      <c r="S66" s="4"/>
      <c r="T66" s="4"/>
      <c r="U66" s="4"/>
      <c r="V66" s="4"/>
      <c r="W66" s="23"/>
      <c r="X66" s="23"/>
      <c r="Y66" s="23"/>
    </row>
    <row r="67" spans="1:25" ht="14.25" thickBot="1" x14ac:dyDescent="0.2">
      <c r="A67" s="23"/>
      <c r="B67" s="4"/>
      <c r="C67" s="58" t="s">
        <v>90</v>
      </c>
      <c r="D67" s="58"/>
      <c r="E67" s="370" t="str">
        <f>IF(入力シート!$G$64&lt;&gt;"",入力シート!$G$64,"")</f>
        <v/>
      </c>
      <c r="F67" s="371"/>
      <c r="G67" s="288"/>
      <c r="H67" s="4"/>
      <c r="I67" s="4"/>
      <c r="J67" s="4"/>
      <c r="K67" s="4"/>
      <c r="L67" s="4"/>
      <c r="M67" s="4"/>
      <c r="N67" s="4"/>
      <c r="O67" s="4"/>
      <c r="P67" s="4"/>
      <c r="Q67" s="4"/>
      <c r="R67" s="4"/>
      <c r="S67" s="4"/>
      <c r="T67" s="4"/>
      <c r="U67" s="4"/>
      <c r="V67" s="4"/>
      <c r="W67" s="23"/>
      <c r="X67" s="23"/>
      <c r="Y67" s="23"/>
    </row>
    <row r="68" spans="1:25" ht="5.0999999999999996" customHeight="1" thickBot="1" x14ac:dyDescent="0.2">
      <c r="A68" s="23"/>
      <c r="B68" s="4"/>
      <c r="C68" s="4"/>
      <c r="D68" s="4"/>
      <c r="E68" s="4"/>
      <c r="F68" s="4"/>
      <c r="G68" s="4"/>
      <c r="H68" s="4"/>
      <c r="I68" s="4"/>
      <c r="J68" s="4"/>
      <c r="K68" s="4"/>
      <c r="L68" s="4"/>
      <c r="M68" s="4"/>
      <c r="N68" s="4"/>
      <c r="O68" s="4"/>
      <c r="P68" s="4"/>
      <c r="Q68" s="4"/>
      <c r="R68" s="4"/>
      <c r="S68" s="4"/>
      <c r="T68" s="4"/>
      <c r="U68" s="4"/>
      <c r="V68" s="4"/>
      <c r="W68" s="23"/>
      <c r="X68" s="23"/>
      <c r="Y68" s="23"/>
    </row>
    <row r="69" spans="1:25" ht="14.25" thickBot="1" x14ac:dyDescent="0.2">
      <c r="A69" s="23"/>
      <c r="B69" s="4"/>
      <c r="C69" s="58" t="s">
        <v>91</v>
      </c>
      <c r="D69" s="58"/>
      <c r="E69" s="41" t="str">
        <f>IF(入力シート!$G$66&lt;&gt;"",入力シート!$G$66,"")</f>
        <v/>
      </c>
      <c r="F69" s="4"/>
      <c r="G69" s="4"/>
      <c r="H69" s="4"/>
      <c r="I69" s="4"/>
      <c r="J69" s="4"/>
      <c r="K69" s="4"/>
      <c r="L69" s="4"/>
      <c r="M69" s="4"/>
      <c r="N69" s="4"/>
      <c r="O69" s="4"/>
      <c r="P69" s="4"/>
      <c r="Q69" s="4"/>
      <c r="R69" s="4"/>
      <c r="S69" s="4"/>
      <c r="T69" s="4"/>
      <c r="U69" s="4"/>
      <c r="V69" s="4"/>
      <c r="W69" s="23"/>
      <c r="X69" s="23"/>
      <c r="Y69" s="23"/>
    </row>
    <row r="70" spans="1:25" ht="5.0999999999999996" customHeight="1" thickBot="1" x14ac:dyDescent="0.2">
      <c r="A70" s="23"/>
      <c r="B70" s="4"/>
      <c r="C70" s="4"/>
      <c r="D70" s="4"/>
      <c r="E70" s="4"/>
      <c r="F70" s="4"/>
      <c r="G70" s="4"/>
      <c r="H70" s="4"/>
      <c r="I70" s="4"/>
      <c r="J70" s="4"/>
      <c r="K70" s="4"/>
      <c r="L70" s="4"/>
      <c r="M70" s="4"/>
      <c r="N70" s="4"/>
      <c r="O70" s="4"/>
      <c r="P70" s="4"/>
      <c r="Q70" s="4"/>
      <c r="R70" s="4"/>
      <c r="S70" s="4"/>
      <c r="T70" s="4"/>
      <c r="U70" s="4"/>
      <c r="V70" s="4"/>
      <c r="W70" s="23"/>
      <c r="X70" s="23"/>
      <c r="Y70" s="23"/>
    </row>
    <row r="71" spans="1:25" ht="14.25" thickBot="1" x14ac:dyDescent="0.2">
      <c r="A71" s="23"/>
      <c r="B71" s="244" t="s">
        <v>292</v>
      </c>
      <c r="C71" s="363"/>
      <c r="D71" s="58"/>
      <c r="E71" s="364" t="str">
        <f>IF(E13="荷主等","【オ】　荷主等",IF(E13="リース事業者","【カ】　リース事業者",入力シート!G71))&amp;""</f>
        <v/>
      </c>
      <c r="F71" s="365"/>
      <c r="G71" s="365"/>
      <c r="H71" s="365"/>
      <c r="I71" s="366"/>
      <c r="J71" s="4"/>
      <c r="K71" s="4"/>
      <c r="L71" s="4"/>
      <c r="M71" s="27" t="str">
        <f>MID(E71,2,1)</f>
        <v/>
      </c>
      <c r="N71" s="4"/>
      <c r="O71" s="367" t="str">
        <f>MID(E71,5,100)</f>
        <v/>
      </c>
      <c r="P71" s="368"/>
      <c r="Q71" s="368"/>
      <c r="R71" s="368"/>
      <c r="S71" s="368"/>
      <c r="T71" s="369"/>
      <c r="U71" s="4"/>
      <c r="V71" s="4"/>
      <c r="W71" s="23"/>
      <c r="X71" s="23"/>
      <c r="Y71" s="23"/>
    </row>
    <row r="72" spans="1:25" x14ac:dyDescent="0.15">
      <c r="A72" s="23"/>
      <c r="B72" s="23"/>
      <c r="C72" s="23"/>
      <c r="D72" s="23"/>
      <c r="E72" s="23"/>
      <c r="F72" s="23"/>
      <c r="G72" s="23"/>
      <c r="H72" s="23"/>
      <c r="I72" s="23"/>
      <c r="J72" s="23"/>
      <c r="K72" s="23"/>
      <c r="L72" s="23"/>
      <c r="M72" s="23"/>
      <c r="N72" s="23"/>
      <c r="O72" s="23"/>
      <c r="P72" s="23"/>
      <c r="Q72" s="23"/>
      <c r="R72" s="23"/>
      <c r="S72" s="23"/>
      <c r="T72" s="23"/>
      <c r="U72" s="23"/>
      <c r="V72" s="23"/>
      <c r="W72" s="23"/>
      <c r="X72" s="23"/>
      <c r="Y72" s="23"/>
    </row>
    <row r="73" spans="1:25" ht="5.0999999999999996" customHeight="1" x14ac:dyDescent="0.15">
      <c r="A73" s="23"/>
      <c r="B73" s="2"/>
      <c r="C73" s="2"/>
      <c r="D73" s="2"/>
      <c r="E73" s="2"/>
      <c r="F73" s="2"/>
      <c r="G73" s="2"/>
      <c r="H73" s="2"/>
      <c r="I73" s="2"/>
      <c r="J73" s="2"/>
      <c r="K73" s="2"/>
      <c r="L73" s="2"/>
      <c r="M73" s="2"/>
      <c r="N73" s="2"/>
      <c r="O73" s="2"/>
      <c r="P73" s="2"/>
      <c r="Q73" s="2"/>
      <c r="R73" s="2"/>
      <c r="S73" s="2"/>
      <c r="T73" s="2"/>
      <c r="U73" s="2"/>
      <c r="V73" s="2"/>
      <c r="W73" s="23"/>
      <c r="X73" s="23"/>
      <c r="Y73" s="23"/>
    </row>
    <row r="74" spans="1:25" x14ac:dyDescent="0.15">
      <c r="A74" s="23"/>
      <c r="B74" s="2" t="s">
        <v>304</v>
      </c>
      <c r="C74" s="2"/>
      <c r="D74" s="2"/>
      <c r="E74" s="2"/>
      <c r="F74" s="2"/>
      <c r="G74" s="2"/>
      <c r="H74" s="2"/>
      <c r="I74" s="2"/>
      <c r="J74" s="2"/>
      <c r="K74" s="2"/>
      <c r="L74" s="2"/>
      <c r="M74" s="2"/>
      <c r="N74" s="2"/>
      <c r="O74" s="2"/>
      <c r="P74" s="2"/>
      <c r="Q74" s="2"/>
      <c r="R74" s="2"/>
      <c r="S74" s="2"/>
      <c r="T74" s="2"/>
      <c r="U74" s="2"/>
      <c r="V74" s="2"/>
      <c r="W74" s="23"/>
      <c r="X74" s="23"/>
      <c r="Y74" s="23"/>
    </row>
    <row r="75" spans="1:25" ht="5.0999999999999996" customHeight="1" x14ac:dyDescent="0.15">
      <c r="A75" s="23"/>
      <c r="B75" s="2"/>
      <c r="C75" s="2"/>
      <c r="D75" s="2"/>
      <c r="E75" s="2"/>
      <c r="F75" s="2"/>
      <c r="G75" s="2"/>
      <c r="H75" s="2"/>
      <c r="I75" s="2"/>
      <c r="J75" s="2"/>
      <c r="K75" s="2"/>
      <c r="L75" s="2"/>
      <c r="M75" s="2"/>
      <c r="N75" s="2"/>
      <c r="O75" s="2"/>
      <c r="P75" s="2"/>
      <c r="Q75" s="2"/>
      <c r="R75" s="2"/>
      <c r="S75" s="2"/>
      <c r="T75" s="2"/>
      <c r="U75" s="2"/>
      <c r="V75" s="2"/>
      <c r="W75" s="23"/>
      <c r="X75" s="23"/>
      <c r="Y75" s="23"/>
    </row>
    <row r="76" spans="1:25" x14ac:dyDescent="0.15">
      <c r="A76" s="23"/>
      <c r="B76" s="2"/>
      <c r="C76" s="6" t="str">
        <f>E15</f>
        <v>なし</v>
      </c>
      <c r="D76" s="6"/>
      <c r="E76" s="2"/>
      <c r="F76" s="2"/>
      <c r="G76" s="2"/>
      <c r="H76" s="2"/>
      <c r="I76" s="2"/>
      <c r="J76" s="2"/>
      <c r="K76" s="2"/>
      <c r="L76" s="2"/>
      <c r="M76" s="2"/>
      <c r="N76" s="2"/>
      <c r="O76" s="2"/>
      <c r="P76" s="2"/>
      <c r="Q76" s="2"/>
      <c r="R76" s="2"/>
      <c r="S76" s="2"/>
      <c r="T76" s="2"/>
      <c r="U76" s="2"/>
      <c r="V76" s="2"/>
      <c r="W76" s="23"/>
      <c r="X76" s="23"/>
      <c r="Y76" s="23"/>
    </row>
    <row r="77" spans="1:25" ht="5.0999999999999996" customHeight="1" x14ac:dyDescent="0.15">
      <c r="A77" s="23"/>
      <c r="B77" s="2"/>
      <c r="C77" s="2"/>
      <c r="D77" s="2"/>
      <c r="E77" s="2"/>
      <c r="F77" s="2"/>
      <c r="G77" s="2"/>
      <c r="H77" s="2"/>
      <c r="I77" s="2"/>
      <c r="J77" s="2"/>
      <c r="K77" s="2"/>
      <c r="L77" s="2"/>
      <c r="M77" s="2"/>
      <c r="N77" s="2"/>
      <c r="O77" s="2"/>
      <c r="P77" s="2"/>
      <c r="Q77" s="2"/>
      <c r="R77" s="2"/>
      <c r="S77" s="2"/>
      <c r="T77" s="2"/>
      <c r="U77" s="2"/>
      <c r="V77" s="2"/>
      <c r="W77" s="23"/>
      <c r="X77" s="23"/>
      <c r="Y77" s="23"/>
    </row>
    <row r="78" spans="1:25" x14ac:dyDescent="0.15">
      <c r="A78" s="23"/>
      <c r="B78" s="2"/>
      <c r="C78" s="65" t="s">
        <v>7</v>
      </c>
      <c r="D78" s="65"/>
      <c r="E78" s="2"/>
      <c r="F78" s="2"/>
      <c r="G78" s="2"/>
      <c r="H78" s="2"/>
      <c r="I78" s="2"/>
      <c r="J78" s="2"/>
      <c r="K78" s="2"/>
      <c r="L78" s="2"/>
      <c r="M78" s="2"/>
      <c r="N78" s="2"/>
      <c r="O78" s="2"/>
      <c r="P78" s="2"/>
      <c r="Q78" s="2"/>
      <c r="R78" s="2"/>
      <c r="S78" s="2"/>
      <c r="T78" s="2"/>
      <c r="U78" s="2"/>
      <c r="V78" s="2"/>
      <c r="W78" s="23"/>
      <c r="X78" s="23"/>
      <c r="Y78" s="23"/>
    </row>
    <row r="79" spans="1:25" ht="5.0999999999999996" customHeight="1" thickBot="1" x14ac:dyDescent="0.2">
      <c r="A79" s="23"/>
      <c r="B79" s="2"/>
      <c r="C79" s="2"/>
      <c r="D79" s="2"/>
      <c r="E79" s="2"/>
      <c r="F79" s="2"/>
      <c r="G79" s="2"/>
      <c r="H79" s="2"/>
      <c r="I79" s="2"/>
      <c r="J79" s="2"/>
      <c r="K79" s="2"/>
      <c r="L79" s="2"/>
      <c r="M79" s="2"/>
      <c r="N79" s="2"/>
      <c r="O79" s="2"/>
      <c r="P79" s="2"/>
      <c r="Q79" s="2"/>
      <c r="R79" s="2"/>
      <c r="S79" s="2"/>
      <c r="T79" s="2"/>
      <c r="U79" s="2"/>
      <c r="V79" s="2"/>
      <c r="W79" s="23"/>
      <c r="X79" s="23"/>
      <c r="Y79" s="23"/>
    </row>
    <row r="80" spans="1:25" ht="14.25" thickBot="1" x14ac:dyDescent="0.2">
      <c r="A80" s="23"/>
      <c r="B80" s="2"/>
      <c r="C80" s="63" t="s">
        <v>78</v>
      </c>
      <c r="D80" s="63"/>
      <c r="E80" s="311" t="str">
        <f>IF(AND(O80&lt;&gt;"",Q80&lt;&gt;""),O80&amp;Q80,"")</f>
        <v/>
      </c>
      <c r="F80" s="344"/>
      <c r="G80" s="312"/>
      <c r="H80" s="64"/>
      <c r="I80" s="64"/>
      <c r="J80" s="2"/>
      <c r="K80" s="2"/>
      <c r="L80" s="2"/>
      <c r="M80" s="2"/>
      <c r="N80" s="2"/>
      <c r="O80" s="146" t="str">
        <f>IF(LEN(入力シート!G80)=3,ASC(入力シート!G80),"")</f>
        <v/>
      </c>
      <c r="P80" s="2"/>
      <c r="Q80" s="146" t="str">
        <f>IF(LEN(入力シート!I80)=4,ASC(入力シート!I80),"")</f>
        <v/>
      </c>
      <c r="R80" s="2"/>
      <c r="S80" s="2"/>
      <c r="T80" s="2"/>
      <c r="U80" s="2"/>
      <c r="V80" s="2"/>
      <c r="W80" s="23"/>
      <c r="X80" s="23"/>
      <c r="Y80" s="23"/>
    </row>
    <row r="81" spans="1:25" ht="5.0999999999999996" customHeight="1" thickBot="1" x14ac:dyDescent="0.2">
      <c r="A81" s="23"/>
      <c r="B81" s="2"/>
      <c r="C81" s="2"/>
      <c r="D81" s="2"/>
      <c r="E81" s="2"/>
      <c r="F81" s="2"/>
      <c r="G81" s="2"/>
      <c r="H81" s="2"/>
      <c r="I81" s="2"/>
      <c r="J81" s="2"/>
      <c r="K81" s="2"/>
      <c r="L81" s="2"/>
      <c r="M81" s="2"/>
      <c r="N81" s="2"/>
      <c r="O81" s="2"/>
      <c r="P81" s="2"/>
      <c r="Q81" s="2"/>
      <c r="R81" s="2"/>
      <c r="S81" s="2"/>
      <c r="T81" s="2"/>
      <c r="U81" s="2"/>
      <c r="V81" s="2"/>
      <c r="W81" s="23"/>
      <c r="X81" s="23"/>
      <c r="Y81" s="23"/>
    </row>
    <row r="82" spans="1:25" ht="14.25" thickBot="1" x14ac:dyDescent="0.2">
      <c r="A82" s="23"/>
      <c r="B82" s="2"/>
      <c r="C82" s="63" t="s">
        <v>79</v>
      </c>
      <c r="D82" s="63"/>
      <c r="E82" s="8" t="str">
        <f>IF(AND($C$76&lt;&gt;"なし",入力シート!$G$82&lt;&gt;""),入力シート!$G$82,"")</f>
        <v/>
      </c>
      <c r="F82" s="2"/>
      <c r="G82" s="2" t="b">
        <f>OR(COUNTIF(反映シート!E84,"*市"),COUNTIF(反映シート!E84,"*区"),COUNTIF(反映シート!E84,"*町"),COUNTIF(反映シート!E84,"*村"),COUNTIF(反映シート!E84,"*イ"),COUNTIF(反映シート!E84,"*ロ"),COUNTIF(反映シート!E84,"*甲"),COUNTIF(反映シート!E84,"*乙"),COUNTIF(反映シート!E84,"*子"),COUNTIF(反映シート!E84,"*丑"),COUNTIF(反映シート!E84,"*ホ"),COUNTIF(反映シート!E84,"*の"),COUNTIF(反映シート!E84,"*割"))</f>
        <v>0</v>
      </c>
      <c r="H82" s="2"/>
      <c r="I82" s="2" t="s">
        <v>121</v>
      </c>
      <c r="J82" s="2"/>
      <c r="K82" s="2"/>
      <c r="L82" s="2"/>
      <c r="M82" s="2"/>
      <c r="N82" s="2"/>
      <c r="O82" s="2"/>
      <c r="P82" s="2"/>
      <c r="Q82" s="2"/>
      <c r="R82" s="2"/>
      <c r="S82" s="2"/>
      <c r="T82" s="2"/>
      <c r="U82" s="2"/>
      <c r="V82" s="2"/>
      <c r="W82" s="23"/>
      <c r="X82" s="23"/>
      <c r="Y82" s="23"/>
    </row>
    <row r="83" spans="1:25" ht="5.0999999999999996" customHeight="1" thickBot="1" x14ac:dyDescent="0.2">
      <c r="A83" s="23"/>
      <c r="B83" s="2"/>
      <c r="C83" s="2"/>
      <c r="D83" s="2"/>
      <c r="E83" s="2"/>
      <c r="F83" s="2"/>
      <c r="G83" s="2"/>
      <c r="H83" s="2"/>
      <c r="I83" s="2"/>
      <c r="J83" s="2"/>
      <c r="K83" s="2"/>
      <c r="L83" s="2"/>
      <c r="M83" s="2"/>
      <c r="N83" s="2"/>
      <c r="O83" s="2"/>
      <c r="P83" s="2"/>
      <c r="Q83" s="2"/>
      <c r="R83" s="2"/>
      <c r="S83" s="2"/>
      <c r="T83" s="2"/>
      <c r="U83" s="2"/>
      <c r="V83" s="2"/>
      <c r="W83" s="23"/>
      <c r="X83" s="23"/>
      <c r="Y83" s="23"/>
    </row>
    <row r="84" spans="1:25" ht="14.25" thickBot="1" x14ac:dyDescent="0.2">
      <c r="A84" s="23"/>
      <c r="B84" s="2"/>
      <c r="C84" s="63" t="s">
        <v>81</v>
      </c>
      <c r="D84" s="63"/>
      <c r="E84" s="345" t="str">
        <f>IF(AND($C$76&lt;&gt;"なし",入力シート!$G$84&lt;&gt;""),DBCS(入力シート!$G$84),"")</f>
        <v/>
      </c>
      <c r="F84" s="346"/>
      <c r="G84" s="346"/>
      <c r="H84" s="346"/>
      <c r="I84" s="346"/>
      <c r="J84" s="346"/>
      <c r="K84" s="346"/>
      <c r="L84" s="347"/>
      <c r="M84" s="2" t="s">
        <v>122</v>
      </c>
      <c r="N84" s="2"/>
      <c r="O84" s="348" t="str">
        <f>IF(入力シート!$G$84&lt;&gt;"",SUBSTITUTE(反映シート!$E$84,"　",""),"")</f>
        <v/>
      </c>
      <c r="P84" s="349"/>
      <c r="Q84" s="349"/>
      <c r="R84" s="349"/>
      <c r="S84" s="349"/>
      <c r="T84" s="349"/>
      <c r="U84" s="349"/>
      <c r="V84" s="2" t="s">
        <v>123</v>
      </c>
      <c r="W84" s="23"/>
      <c r="X84" s="23"/>
      <c r="Y84" s="23"/>
    </row>
    <row r="85" spans="1:25" ht="5.0999999999999996" customHeight="1" thickBot="1" x14ac:dyDescent="0.2">
      <c r="A85" s="23"/>
      <c r="B85" s="2"/>
      <c r="C85" s="2"/>
      <c r="D85" s="2"/>
      <c r="E85" s="2"/>
      <c r="F85" s="2"/>
      <c r="G85" s="2"/>
      <c r="H85" s="2"/>
      <c r="I85" s="2"/>
      <c r="J85" s="2"/>
      <c r="K85" s="2"/>
      <c r="L85" s="2"/>
      <c r="M85" s="2"/>
      <c r="N85" s="2"/>
      <c r="O85" s="2"/>
      <c r="P85" s="2"/>
      <c r="Q85" s="2"/>
      <c r="R85" s="2"/>
      <c r="S85" s="2"/>
      <c r="T85" s="2"/>
      <c r="U85" s="2"/>
      <c r="V85" s="2"/>
      <c r="W85" s="23"/>
      <c r="X85" s="23"/>
      <c r="Y85" s="23"/>
    </row>
    <row r="86" spans="1:25" ht="14.25" thickBot="1" x14ac:dyDescent="0.2">
      <c r="A86" s="23"/>
      <c r="B86" s="2"/>
      <c r="C86" s="63" t="s">
        <v>82</v>
      </c>
      <c r="D86" s="63"/>
      <c r="E86" s="345" t="str">
        <f>IF(AND($C$76&lt;&gt;"なし",入力シート!$G$86&lt;&gt;""),DBCS(入力シート!$G$86),"")</f>
        <v/>
      </c>
      <c r="F86" s="346"/>
      <c r="G86" s="346"/>
      <c r="H86" s="346"/>
      <c r="I86" s="346"/>
      <c r="J86" s="346"/>
      <c r="K86" s="346"/>
      <c r="L86" s="347"/>
      <c r="M86" s="2" t="s">
        <v>122</v>
      </c>
      <c r="N86" s="2"/>
      <c r="O86" s="348" t="str">
        <f>IF(入力シート!$G$86&lt;&gt;"",SUBSTITUTE(反映シート!$E$86,"　",""),"")</f>
        <v/>
      </c>
      <c r="P86" s="349"/>
      <c r="Q86" s="349"/>
      <c r="R86" s="349"/>
      <c r="S86" s="349"/>
      <c r="T86" s="349"/>
      <c r="U86" s="349"/>
      <c r="V86" s="2" t="s">
        <v>123</v>
      </c>
      <c r="W86" s="23" t="s">
        <v>482</v>
      </c>
      <c r="X86" s="23"/>
      <c r="Y86" s="23"/>
    </row>
    <row r="87" spans="1:25" ht="5.0999999999999996" customHeight="1" thickBot="1" x14ac:dyDescent="0.2">
      <c r="A87" s="23"/>
      <c r="B87" s="2"/>
      <c r="C87" s="63"/>
      <c r="D87" s="63"/>
      <c r="E87" s="7"/>
      <c r="F87" s="7"/>
      <c r="G87" s="7"/>
      <c r="H87" s="7"/>
      <c r="I87" s="7"/>
      <c r="J87" s="7"/>
      <c r="K87" s="7"/>
      <c r="L87" s="7"/>
      <c r="M87" s="2"/>
      <c r="N87" s="2"/>
      <c r="O87" s="2"/>
      <c r="P87" s="2"/>
      <c r="Q87" s="2"/>
      <c r="R87" s="2"/>
      <c r="S87" s="2"/>
      <c r="T87" s="2"/>
      <c r="U87" s="2"/>
      <c r="V87" s="2"/>
      <c r="W87" s="23"/>
      <c r="X87" s="23"/>
      <c r="Y87" s="23"/>
    </row>
    <row r="88" spans="1:25" ht="14.25" thickBot="1" x14ac:dyDescent="0.2">
      <c r="A88" s="23"/>
      <c r="B88" s="2"/>
      <c r="C88" s="63" t="s">
        <v>83</v>
      </c>
      <c r="D88" s="63"/>
      <c r="E88" s="345" t="str">
        <f>IF(AND($C$76&lt;&gt;"なし",入力シート!$G$88&lt;&gt;""),DBCS(入力シート!$G$88),"")</f>
        <v/>
      </c>
      <c r="F88" s="346"/>
      <c r="G88" s="346"/>
      <c r="H88" s="346"/>
      <c r="I88" s="346"/>
      <c r="J88" s="346"/>
      <c r="K88" s="346"/>
      <c r="L88" s="347"/>
      <c r="M88" s="2" t="s">
        <v>122</v>
      </c>
      <c r="N88" s="2"/>
      <c r="O88" s="348" t="str">
        <f>IF(W88&lt;&gt;"",SUBSTITUTE(W88,"　","")&amp;"Ｆ",SUBSTITUTE(E88,"　",""))</f>
        <v/>
      </c>
      <c r="P88" s="349"/>
      <c r="Q88" s="349"/>
      <c r="R88" s="349"/>
      <c r="S88" s="349"/>
      <c r="T88" s="349"/>
      <c r="U88" s="349"/>
      <c r="V88" s="2" t="s">
        <v>123</v>
      </c>
      <c r="W88" s="372" t="str">
        <f>IF(AND(E88&lt;&gt;"",COUNTIF(E88,"*階")=1),LEFT(E88,LEN(E88)-1),"")</f>
        <v/>
      </c>
      <c r="X88" s="373"/>
      <c r="Y88" s="374"/>
    </row>
    <row r="89" spans="1:25" ht="5.0999999999999996" customHeight="1" thickBot="1" x14ac:dyDescent="0.2">
      <c r="A89" s="23"/>
      <c r="B89" s="2"/>
      <c r="C89" s="2"/>
      <c r="D89" s="2"/>
      <c r="E89" s="2"/>
      <c r="F89" s="2"/>
      <c r="G89" s="2"/>
      <c r="H89" s="2"/>
      <c r="I89" s="2"/>
      <c r="J89" s="2"/>
      <c r="K89" s="2"/>
      <c r="L89" s="2"/>
      <c r="M89" s="2"/>
      <c r="N89" s="2"/>
      <c r="O89" s="2"/>
      <c r="P89" s="2"/>
      <c r="Q89" s="2"/>
      <c r="R89" s="2"/>
      <c r="S89" s="2"/>
      <c r="T89" s="2"/>
      <c r="U89" s="2"/>
      <c r="V89" s="2"/>
      <c r="W89" s="23"/>
      <c r="X89" s="23"/>
      <c r="Y89" s="23"/>
    </row>
    <row r="90" spans="1:25" ht="14.25" thickBot="1" x14ac:dyDescent="0.2">
      <c r="A90" s="23"/>
      <c r="B90" s="2"/>
      <c r="C90" s="65" t="s">
        <v>64</v>
      </c>
      <c r="D90" s="65"/>
      <c r="E90" s="345" t="str">
        <f>IF(AND($C$76&lt;&gt;"なし",入力シート!$G$90&lt;&gt;""),DBCS(入力シート!$G$90),"")</f>
        <v/>
      </c>
      <c r="F90" s="346"/>
      <c r="G90" s="346"/>
      <c r="H90" s="346"/>
      <c r="I90" s="346"/>
      <c r="J90" s="346"/>
      <c r="K90" s="346"/>
      <c r="L90" s="347"/>
      <c r="M90" s="2" t="s">
        <v>122</v>
      </c>
      <c r="N90" s="2"/>
      <c r="O90" s="348" t="str">
        <f>IF(反映シート!$E90&lt;&gt;"",SUBSTITUTE(反映シート!$E90,"　",""),"")</f>
        <v/>
      </c>
      <c r="P90" s="349"/>
      <c r="Q90" s="349"/>
      <c r="R90" s="349"/>
      <c r="S90" s="349"/>
      <c r="T90" s="349"/>
      <c r="U90" s="349"/>
      <c r="V90" s="2" t="s">
        <v>123</v>
      </c>
      <c r="W90" s="23"/>
      <c r="X90" s="23"/>
      <c r="Y90" s="23"/>
    </row>
    <row r="91" spans="1:25" ht="5.0999999999999996" customHeight="1" thickBot="1" x14ac:dyDescent="0.2">
      <c r="A91" s="23"/>
      <c r="B91" s="2"/>
      <c r="C91" s="2"/>
      <c r="D91" s="2"/>
      <c r="E91" s="2"/>
      <c r="F91" s="2"/>
      <c r="G91" s="2"/>
      <c r="H91" s="2"/>
      <c r="I91" s="2"/>
      <c r="J91" s="2"/>
      <c r="K91" s="2"/>
      <c r="L91" s="2"/>
      <c r="M91" s="2"/>
      <c r="N91" s="2"/>
      <c r="O91" s="2"/>
      <c r="P91" s="2"/>
      <c r="Q91" s="2"/>
      <c r="R91" s="2"/>
      <c r="S91" s="2"/>
      <c r="T91" s="2"/>
      <c r="U91" s="2"/>
      <c r="V91" s="2"/>
      <c r="W91" s="23"/>
      <c r="X91" s="23"/>
      <c r="Y91" s="23"/>
    </row>
    <row r="92" spans="1:25" ht="14.25" thickBot="1" x14ac:dyDescent="0.2">
      <c r="A92" s="23"/>
      <c r="B92" s="2"/>
      <c r="C92" s="65" t="s">
        <v>456</v>
      </c>
      <c r="D92" s="65"/>
      <c r="E92" s="345" t="str">
        <f>IF(AND($C$76&lt;&gt;"なし",入力シート!$G$92&lt;&gt;""),DBCS(入力シート!$G$92),"")</f>
        <v/>
      </c>
      <c r="F92" s="346"/>
      <c r="G92" s="346"/>
      <c r="H92" s="346"/>
      <c r="I92" s="346"/>
      <c r="J92" s="346"/>
      <c r="K92" s="346"/>
      <c r="L92" s="347"/>
      <c r="M92" s="2" t="s">
        <v>122</v>
      </c>
      <c r="N92" s="2"/>
      <c r="O92" s="348" t="str">
        <f>IF(入力シート!$G88&lt;&gt;"",SUBSTITUTE(反映シート!$E92,"　",""),"")</f>
        <v/>
      </c>
      <c r="P92" s="349"/>
      <c r="Q92" s="349"/>
      <c r="R92" s="349"/>
      <c r="S92" s="349"/>
      <c r="T92" s="349"/>
      <c r="U92" s="349"/>
      <c r="V92" s="2" t="s">
        <v>123</v>
      </c>
      <c r="W92" s="23"/>
      <c r="X92" s="23"/>
      <c r="Y92" s="23"/>
    </row>
    <row r="93" spans="1:25" ht="5.0999999999999996" customHeight="1" x14ac:dyDescent="0.15">
      <c r="A93" s="23"/>
      <c r="B93" s="2"/>
      <c r="C93" s="2"/>
      <c r="D93" s="2"/>
      <c r="E93" s="2"/>
      <c r="F93" s="2"/>
      <c r="G93" s="2"/>
      <c r="H93" s="2"/>
      <c r="I93" s="2"/>
      <c r="J93" s="2"/>
      <c r="K93" s="2"/>
      <c r="L93" s="2"/>
      <c r="M93" s="2"/>
      <c r="N93" s="2"/>
      <c r="O93" s="2"/>
      <c r="P93" s="2"/>
      <c r="Q93" s="2"/>
      <c r="R93" s="2"/>
      <c r="S93" s="2"/>
      <c r="T93" s="2"/>
      <c r="U93" s="2"/>
      <c r="V93" s="2"/>
      <c r="W93" s="23"/>
      <c r="X93" s="23"/>
      <c r="Y93" s="23"/>
    </row>
    <row r="94" spans="1:25" x14ac:dyDescent="0.15">
      <c r="A94" s="23"/>
      <c r="B94" s="2"/>
      <c r="C94" s="2" t="s">
        <v>20</v>
      </c>
      <c r="D94" s="2"/>
      <c r="E94" s="2"/>
      <c r="F94" s="2"/>
      <c r="G94" s="2"/>
      <c r="H94" s="2"/>
      <c r="I94" s="2"/>
      <c r="J94" s="2"/>
      <c r="K94" s="2"/>
      <c r="L94" s="2"/>
      <c r="M94" s="2"/>
      <c r="N94" s="2"/>
      <c r="O94" s="2"/>
      <c r="P94" s="2"/>
      <c r="Q94" s="2"/>
      <c r="R94" s="2"/>
      <c r="S94" s="2"/>
      <c r="T94" s="2"/>
      <c r="U94" s="2"/>
      <c r="V94" s="2"/>
      <c r="W94" s="23"/>
      <c r="X94" s="23"/>
      <c r="Y94" s="23"/>
    </row>
    <row r="95" spans="1:25" ht="5.0999999999999996" customHeight="1" thickBot="1" x14ac:dyDescent="0.2">
      <c r="A95" s="23"/>
      <c r="B95" s="2"/>
      <c r="C95" s="2"/>
      <c r="D95" s="2"/>
      <c r="E95" s="2"/>
      <c r="F95" s="2"/>
      <c r="G95" s="2"/>
      <c r="H95" s="2"/>
      <c r="I95" s="2"/>
      <c r="J95" s="2"/>
      <c r="K95" s="2"/>
      <c r="L95" s="2"/>
      <c r="M95" s="2"/>
      <c r="N95" s="2"/>
      <c r="O95" s="2"/>
      <c r="P95" s="2"/>
      <c r="Q95" s="2"/>
      <c r="R95" s="2"/>
      <c r="S95" s="2"/>
      <c r="T95" s="2"/>
      <c r="U95" s="2"/>
      <c r="V95" s="2"/>
      <c r="W95" s="23"/>
      <c r="X95" s="23"/>
      <c r="Y95" s="23"/>
    </row>
    <row r="96" spans="1:25" ht="14.25" thickBot="1" x14ac:dyDescent="0.2">
      <c r="A96" s="23"/>
      <c r="B96" s="2"/>
      <c r="C96" s="63" t="s">
        <v>67</v>
      </c>
      <c r="D96" s="63"/>
      <c r="E96" s="345" t="str">
        <f>IF(AND($C$76&lt;&gt;"なし",入力シート!$G$97&lt;&gt;""),DBCS(入力シート!$G$97),"")</f>
        <v/>
      </c>
      <c r="F96" s="346"/>
      <c r="G96" s="346"/>
      <c r="H96" s="346"/>
      <c r="I96" s="346"/>
      <c r="J96" s="346"/>
      <c r="K96" s="346"/>
      <c r="L96" s="347"/>
      <c r="M96" s="2" t="s">
        <v>122</v>
      </c>
      <c r="N96" s="2"/>
      <c r="O96" s="348" t="str">
        <f>IF(入力シート!$G97&lt;&gt;"",SUBSTITUTE(反映シート!$E96,"　",""),"")</f>
        <v/>
      </c>
      <c r="P96" s="349"/>
      <c r="Q96" s="349"/>
      <c r="R96" s="349"/>
      <c r="S96" s="349"/>
      <c r="T96" s="349"/>
      <c r="U96" s="349"/>
      <c r="V96" s="2" t="s">
        <v>123</v>
      </c>
      <c r="W96" s="23"/>
      <c r="X96" s="23"/>
      <c r="Y96" s="23"/>
    </row>
    <row r="97" spans="1:25" ht="5.0999999999999996" customHeight="1" thickBot="1" x14ac:dyDescent="0.2">
      <c r="A97" s="23"/>
      <c r="B97" s="2"/>
      <c r="C97" s="2"/>
      <c r="D97" s="2"/>
      <c r="E97" s="2"/>
      <c r="F97" s="2"/>
      <c r="G97" s="2"/>
      <c r="H97" s="2"/>
      <c r="I97" s="2"/>
      <c r="J97" s="2"/>
      <c r="K97" s="2"/>
      <c r="L97" s="2"/>
      <c r="M97" s="2"/>
      <c r="N97" s="2"/>
      <c r="O97" s="2"/>
      <c r="P97" s="2"/>
      <c r="Q97" s="2"/>
      <c r="R97" s="2"/>
      <c r="S97" s="2"/>
      <c r="T97" s="2"/>
      <c r="U97" s="2"/>
      <c r="V97" s="2"/>
      <c r="W97" s="23"/>
      <c r="X97" s="23"/>
      <c r="Y97" s="23"/>
    </row>
    <row r="98" spans="1:25" ht="14.25" thickBot="1" x14ac:dyDescent="0.2">
      <c r="A98" s="23"/>
      <c r="B98" s="2"/>
      <c r="C98" s="63" t="s">
        <v>69</v>
      </c>
      <c r="D98" s="63"/>
      <c r="E98" s="345" t="str">
        <f>IF(AND($C$76&lt;&gt;"なし",入力シート!$G$99&lt;&gt;""),DBCS(入力シート!$G$99),"")</f>
        <v/>
      </c>
      <c r="F98" s="346"/>
      <c r="G98" s="346"/>
      <c r="H98" s="346"/>
      <c r="I98" s="346"/>
      <c r="J98" s="346"/>
      <c r="K98" s="346"/>
      <c r="L98" s="347"/>
      <c r="M98" s="2" t="s">
        <v>122</v>
      </c>
      <c r="N98" s="2"/>
      <c r="O98" s="348" t="str">
        <f>IF(入力シート!$G99&lt;&gt;"",SUBSTITUTE(反映シート!$E98,"　",""),"")</f>
        <v/>
      </c>
      <c r="P98" s="349"/>
      <c r="Q98" s="349"/>
      <c r="R98" s="349"/>
      <c r="S98" s="349"/>
      <c r="T98" s="349"/>
      <c r="U98" s="349"/>
      <c r="V98" s="2" t="s">
        <v>123</v>
      </c>
      <c r="W98" s="23"/>
      <c r="X98" s="23"/>
      <c r="Y98" s="23"/>
    </row>
    <row r="99" spans="1:25" ht="5.0999999999999996" customHeight="1" thickBot="1" x14ac:dyDescent="0.2">
      <c r="A99" s="23"/>
      <c r="B99" s="2"/>
      <c r="C99" s="2"/>
      <c r="D99" s="2"/>
      <c r="E99" s="2"/>
      <c r="F99" s="2"/>
      <c r="G99" s="2"/>
      <c r="H99" s="2"/>
      <c r="I99" s="2"/>
      <c r="J99" s="2"/>
      <c r="K99" s="2"/>
      <c r="L99" s="2"/>
      <c r="M99" s="2"/>
      <c r="N99" s="2"/>
      <c r="O99" s="2"/>
      <c r="P99" s="2"/>
      <c r="Q99" s="2"/>
      <c r="R99" s="2"/>
      <c r="S99" s="2"/>
      <c r="T99" s="2"/>
      <c r="U99" s="2"/>
      <c r="V99" s="2"/>
      <c r="W99" s="23"/>
      <c r="X99" s="23"/>
      <c r="Y99" s="23"/>
    </row>
    <row r="100" spans="1:25" ht="14.25" thickBot="1" x14ac:dyDescent="0.2">
      <c r="A100" s="23"/>
      <c r="B100" s="2"/>
      <c r="C100" s="63" t="s">
        <v>70</v>
      </c>
      <c r="D100" s="63"/>
      <c r="E100" s="345" t="str">
        <f>IF(AND($C$76&lt;&gt;"なし",入力シート!$G$101&lt;&gt;""),DBCS(入力シート!$G$101),"")</f>
        <v/>
      </c>
      <c r="F100" s="346"/>
      <c r="G100" s="346"/>
      <c r="H100" s="346"/>
      <c r="I100" s="346"/>
      <c r="J100" s="346"/>
      <c r="K100" s="346"/>
      <c r="L100" s="347"/>
      <c r="M100" s="2" t="s">
        <v>122</v>
      </c>
      <c r="N100" s="2"/>
      <c r="O100" s="348" t="str">
        <f>IF(入力シート!$G101&lt;&gt;"",SUBSTITUTE(反映シート!$E100,"　",""),"")</f>
        <v/>
      </c>
      <c r="P100" s="349"/>
      <c r="Q100" s="349"/>
      <c r="R100" s="349"/>
      <c r="S100" s="349"/>
      <c r="T100" s="349"/>
      <c r="U100" s="349"/>
      <c r="V100" s="2" t="s">
        <v>123</v>
      </c>
      <c r="W100" s="23"/>
      <c r="X100" s="23"/>
      <c r="Y100" s="23"/>
    </row>
    <row r="101" spans="1:25" ht="5.0999999999999996" customHeight="1" thickBot="1" x14ac:dyDescent="0.2">
      <c r="A101" s="23"/>
      <c r="B101" s="2"/>
      <c r="C101" s="2"/>
      <c r="D101" s="2"/>
      <c r="E101" s="2"/>
      <c r="F101" s="2"/>
      <c r="G101" s="2"/>
      <c r="H101" s="2"/>
      <c r="I101" s="2"/>
      <c r="J101" s="2"/>
      <c r="K101" s="2"/>
      <c r="L101" s="2"/>
      <c r="M101" s="2"/>
      <c r="N101" s="2"/>
      <c r="O101" s="2"/>
      <c r="P101" s="2"/>
      <c r="Q101" s="2"/>
      <c r="R101" s="2"/>
      <c r="S101" s="2"/>
      <c r="T101" s="2"/>
      <c r="U101" s="2"/>
      <c r="V101" s="2"/>
      <c r="W101" s="23"/>
      <c r="X101" s="23"/>
      <c r="Y101" s="23"/>
    </row>
    <row r="102" spans="1:25" ht="14.25" thickBot="1" x14ac:dyDescent="0.2">
      <c r="A102" s="23"/>
      <c r="B102" s="2"/>
      <c r="C102" s="63" t="s">
        <v>88</v>
      </c>
      <c r="D102" s="63"/>
      <c r="E102" s="345" t="str">
        <f>IF(AND($C$76&lt;&gt;"なし",入力シート!$G$103&lt;&gt;""),DBCS(入力シート!$G$103),"")</f>
        <v/>
      </c>
      <c r="F102" s="346"/>
      <c r="G102" s="346"/>
      <c r="H102" s="346"/>
      <c r="I102" s="346"/>
      <c r="J102" s="346"/>
      <c r="K102" s="346"/>
      <c r="L102" s="347"/>
      <c r="M102" s="2" t="s">
        <v>122</v>
      </c>
      <c r="N102" s="2"/>
      <c r="O102" s="348" t="str">
        <f>IF(入力シート!$G103&lt;&gt;"",SUBSTITUTE(反映シート!$E102,"　",""),"")</f>
        <v/>
      </c>
      <c r="P102" s="349"/>
      <c r="Q102" s="349"/>
      <c r="R102" s="349"/>
      <c r="S102" s="349"/>
      <c r="T102" s="349"/>
      <c r="U102" s="349"/>
      <c r="V102" s="2" t="s">
        <v>123</v>
      </c>
      <c r="W102" s="23"/>
      <c r="X102" s="23"/>
      <c r="Y102" s="23"/>
    </row>
    <row r="103" spans="1:25" ht="5.0999999999999996" customHeight="1" thickBot="1" x14ac:dyDescent="0.2">
      <c r="A103" s="23"/>
      <c r="B103" s="2"/>
      <c r="C103" s="2"/>
      <c r="D103" s="2"/>
      <c r="E103" s="2"/>
      <c r="F103" s="2"/>
      <c r="G103" s="2"/>
      <c r="H103" s="2"/>
      <c r="I103" s="2"/>
      <c r="J103" s="2"/>
      <c r="K103" s="2"/>
      <c r="L103" s="2"/>
      <c r="M103" s="2"/>
      <c r="N103" s="2"/>
      <c r="O103" s="2"/>
      <c r="P103" s="2"/>
      <c r="Q103" s="2"/>
      <c r="R103" s="2"/>
      <c r="S103" s="2"/>
      <c r="T103" s="2"/>
      <c r="U103" s="2"/>
      <c r="V103" s="2"/>
      <c r="W103" s="23"/>
      <c r="X103" s="23"/>
      <c r="Y103" s="23"/>
    </row>
    <row r="104" spans="1:25" ht="14.25" thickBot="1" x14ac:dyDescent="0.2">
      <c r="A104" s="23"/>
      <c r="B104" s="2"/>
      <c r="C104" s="63" t="s">
        <v>124</v>
      </c>
      <c r="D104" s="63"/>
      <c r="E104" s="345" t="str">
        <f>IF(AND($C$76&lt;&gt;"なし",入力シート!$G$105&lt;&gt;""),DBCS(入力シート!$G$105),"")</f>
        <v/>
      </c>
      <c r="F104" s="346"/>
      <c r="G104" s="346"/>
      <c r="H104" s="346"/>
      <c r="I104" s="346"/>
      <c r="J104" s="346"/>
      <c r="K104" s="346"/>
      <c r="L104" s="347"/>
      <c r="M104" s="2" t="s">
        <v>122</v>
      </c>
      <c r="N104" s="2"/>
      <c r="O104" s="348" t="str">
        <f>IF(入力シート!$G105&lt;&gt;"",SUBSTITUTE(反映シート!$E104,"　",""),"")</f>
        <v/>
      </c>
      <c r="P104" s="349"/>
      <c r="Q104" s="349"/>
      <c r="R104" s="349"/>
      <c r="S104" s="349"/>
      <c r="T104" s="349"/>
      <c r="U104" s="349"/>
      <c r="V104" s="2" t="s">
        <v>123</v>
      </c>
      <c r="W104" s="23"/>
      <c r="X104" s="23"/>
      <c r="Y104" s="23"/>
    </row>
    <row r="105" spans="1:25" ht="5.0999999999999996" customHeight="1" thickBot="1" x14ac:dyDescent="0.2">
      <c r="A105" s="23"/>
      <c r="B105" s="2"/>
      <c r="C105" s="2"/>
      <c r="D105" s="2"/>
      <c r="E105" s="2"/>
      <c r="F105" s="2"/>
      <c r="G105" s="2"/>
      <c r="H105" s="2"/>
      <c r="I105" s="2"/>
      <c r="J105" s="2"/>
      <c r="K105" s="2"/>
      <c r="L105" s="2"/>
      <c r="M105" s="2"/>
      <c r="N105" s="2"/>
      <c r="O105" s="2"/>
      <c r="P105" s="2"/>
      <c r="Q105" s="2"/>
      <c r="R105" s="2"/>
      <c r="S105" s="2"/>
      <c r="T105" s="2"/>
      <c r="U105" s="2"/>
      <c r="V105" s="2"/>
      <c r="W105" s="23"/>
      <c r="X105" s="23"/>
      <c r="Y105" s="23"/>
    </row>
    <row r="106" spans="1:25" ht="14.25" thickBot="1" x14ac:dyDescent="0.2">
      <c r="A106" s="23"/>
      <c r="B106" s="2"/>
      <c r="C106" s="63" t="s">
        <v>90</v>
      </c>
      <c r="D106" s="63"/>
      <c r="E106" s="370" t="str">
        <f>IF(AND($C$76&lt;&gt;"なし",入力シート!$G$107&lt;&gt;""),入力シート!$G$107,"")</f>
        <v/>
      </c>
      <c r="F106" s="371"/>
      <c r="G106" s="288"/>
      <c r="H106" s="2"/>
      <c r="I106" s="2"/>
      <c r="J106" s="2"/>
      <c r="K106" s="2"/>
      <c r="L106" s="2"/>
      <c r="M106" s="2"/>
      <c r="N106" s="2"/>
      <c r="O106" s="2"/>
      <c r="P106" s="2"/>
      <c r="Q106" s="2"/>
      <c r="R106" s="2"/>
      <c r="S106" s="2"/>
      <c r="T106" s="2"/>
      <c r="U106" s="2"/>
      <c r="V106" s="2"/>
      <c r="W106" s="23"/>
      <c r="X106" s="23"/>
      <c r="Y106" s="23"/>
    </row>
    <row r="107" spans="1:25" ht="5.0999999999999996" customHeight="1" thickBot="1" x14ac:dyDescent="0.2">
      <c r="A107" s="23"/>
      <c r="B107" s="2"/>
      <c r="C107" s="2"/>
      <c r="D107" s="2"/>
      <c r="E107" s="2"/>
      <c r="F107" s="2"/>
      <c r="G107" s="2"/>
      <c r="H107" s="2"/>
      <c r="I107" s="2"/>
      <c r="J107" s="2"/>
      <c r="K107" s="2"/>
      <c r="L107" s="2"/>
      <c r="M107" s="2"/>
      <c r="N107" s="2"/>
      <c r="O107" s="2"/>
      <c r="P107" s="2"/>
      <c r="Q107" s="2"/>
      <c r="R107" s="2"/>
      <c r="S107" s="2"/>
      <c r="T107" s="2"/>
      <c r="U107" s="2"/>
      <c r="V107" s="2"/>
      <c r="W107" s="23"/>
      <c r="X107" s="23"/>
      <c r="Y107" s="23"/>
    </row>
    <row r="108" spans="1:25" ht="14.25" thickBot="1" x14ac:dyDescent="0.2">
      <c r="A108" s="23"/>
      <c r="B108" s="2"/>
      <c r="C108" s="63" t="s">
        <v>91</v>
      </c>
      <c r="D108" s="63"/>
      <c r="E108" s="41" t="str">
        <f>IF(AND($C$76&lt;&gt;"なし",入力シート!$G$109&lt;&gt;""),入力シート!$G$109,"")</f>
        <v/>
      </c>
      <c r="F108" s="2"/>
      <c r="G108" s="2"/>
      <c r="H108" s="2"/>
      <c r="I108" s="2"/>
      <c r="J108" s="2"/>
      <c r="K108" s="2"/>
      <c r="L108" s="2"/>
      <c r="M108" s="2"/>
      <c r="N108" s="2"/>
      <c r="O108" s="2"/>
      <c r="P108" s="2"/>
      <c r="Q108" s="2"/>
      <c r="R108" s="2"/>
      <c r="S108" s="2"/>
      <c r="T108" s="2"/>
      <c r="U108" s="2"/>
      <c r="V108" s="2"/>
      <c r="W108" s="23"/>
      <c r="X108" s="23"/>
      <c r="Y108" s="23"/>
    </row>
    <row r="109" spans="1:25" ht="5.0999999999999996" customHeight="1" thickBot="1" x14ac:dyDescent="0.2">
      <c r="A109" s="23"/>
      <c r="B109" s="2"/>
      <c r="C109" s="2"/>
      <c r="D109" s="2"/>
      <c r="E109" s="2"/>
      <c r="F109" s="2"/>
      <c r="G109" s="2"/>
      <c r="H109" s="2"/>
      <c r="I109" s="2"/>
      <c r="J109" s="2"/>
      <c r="K109" s="2"/>
      <c r="L109" s="2"/>
      <c r="M109" s="2"/>
      <c r="N109" s="2"/>
      <c r="O109" s="2"/>
      <c r="P109" s="2"/>
      <c r="Q109" s="2"/>
      <c r="R109" s="2"/>
      <c r="S109" s="2"/>
      <c r="T109" s="2"/>
      <c r="U109" s="2"/>
      <c r="V109" s="2"/>
      <c r="W109" s="23"/>
      <c r="X109" s="23"/>
      <c r="Y109" s="23"/>
    </row>
    <row r="110" spans="1:25" ht="14.25" thickBot="1" x14ac:dyDescent="0.2">
      <c r="A110" s="23"/>
      <c r="B110" s="363" t="s">
        <v>292</v>
      </c>
      <c r="C110" s="363"/>
      <c r="D110" s="63"/>
      <c r="E110" s="364" t="str">
        <f>IF($C$76="なし","",IF(E15="荷主等","【オ】　荷主等",IF(E15="リース事業者","【カ】　リース事業者",入力シート!G115))&amp;"")</f>
        <v/>
      </c>
      <c r="F110" s="365"/>
      <c r="G110" s="365"/>
      <c r="H110" s="365"/>
      <c r="I110" s="366"/>
      <c r="J110" s="2"/>
      <c r="K110" s="2"/>
      <c r="L110" s="2"/>
      <c r="M110" s="27" t="str">
        <f>MID(E110,2,1)</f>
        <v/>
      </c>
      <c r="N110" s="2"/>
      <c r="O110" s="367" t="str">
        <f>MID(E110,5,100)</f>
        <v/>
      </c>
      <c r="P110" s="368"/>
      <c r="Q110" s="368"/>
      <c r="R110" s="368"/>
      <c r="S110" s="368"/>
      <c r="T110" s="369"/>
      <c r="U110" s="2"/>
      <c r="V110" s="2"/>
      <c r="W110" s="23"/>
      <c r="X110" s="23"/>
      <c r="Y110" s="23"/>
    </row>
    <row r="111" spans="1:25" ht="5.0999999999999996" customHeight="1" x14ac:dyDescent="0.15">
      <c r="A111" s="23"/>
      <c r="B111" s="2"/>
      <c r="C111" s="2"/>
      <c r="D111" s="2"/>
      <c r="E111" s="2"/>
      <c r="F111" s="2"/>
      <c r="G111" s="2"/>
      <c r="H111" s="2"/>
      <c r="I111" s="2"/>
      <c r="J111" s="2"/>
      <c r="K111" s="2"/>
      <c r="L111" s="2"/>
      <c r="M111" s="2"/>
      <c r="N111" s="2"/>
      <c r="O111" s="2"/>
      <c r="P111" s="2"/>
      <c r="Q111" s="2"/>
      <c r="R111" s="2"/>
      <c r="S111" s="2"/>
      <c r="T111" s="2"/>
      <c r="U111" s="2"/>
      <c r="V111" s="2"/>
      <c r="W111" s="23"/>
      <c r="X111" s="23"/>
      <c r="Y111" s="23"/>
    </row>
    <row r="112" spans="1:25" x14ac:dyDescent="0.1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row>
    <row r="113" spans="1:28" ht="5.0999999999999996" customHeight="1" x14ac:dyDescent="0.15">
      <c r="A113" s="23"/>
      <c r="B113" s="4"/>
      <c r="C113" s="4"/>
      <c r="D113" s="4"/>
      <c r="E113" s="4"/>
      <c r="F113" s="4"/>
      <c r="G113" s="4"/>
      <c r="H113" s="4"/>
      <c r="I113" s="4"/>
      <c r="J113" s="4"/>
      <c r="K113" s="4"/>
      <c r="L113" s="4"/>
      <c r="M113" s="4"/>
      <c r="N113" s="4"/>
      <c r="O113" s="4"/>
      <c r="P113" s="4"/>
      <c r="Q113" s="4"/>
      <c r="R113" s="4"/>
      <c r="S113" s="4"/>
      <c r="T113" s="4"/>
      <c r="U113" s="4"/>
      <c r="V113" s="4"/>
      <c r="W113" s="23"/>
      <c r="X113" s="23"/>
      <c r="Y113" s="23"/>
    </row>
    <row r="114" spans="1:28" x14ac:dyDescent="0.15">
      <c r="A114" s="23"/>
      <c r="B114" s="4" t="s">
        <v>341</v>
      </c>
      <c r="C114" s="4"/>
      <c r="D114" s="4"/>
      <c r="E114" s="4"/>
      <c r="F114" s="4"/>
      <c r="G114" s="4"/>
      <c r="H114" s="4"/>
      <c r="I114" s="4"/>
      <c r="J114" s="4"/>
      <c r="K114" s="4"/>
      <c r="L114" s="4"/>
      <c r="M114" s="4"/>
      <c r="N114" s="4"/>
      <c r="O114" s="4"/>
      <c r="P114" s="4"/>
      <c r="Q114" s="4"/>
      <c r="R114" s="4"/>
      <c r="S114" s="4"/>
      <c r="T114" s="4"/>
      <c r="U114" s="4"/>
      <c r="V114" s="4"/>
      <c r="W114" s="23"/>
      <c r="X114" s="23"/>
      <c r="Y114" s="23"/>
    </row>
    <row r="115" spans="1:28" ht="5.0999999999999996" customHeight="1" thickBot="1" x14ac:dyDescent="0.2">
      <c r="A115" s="23"/>
      <c r="B115" s="4"/>
      <c r="C115" s="4"/>
      <c r="D115" s="4"/>
      <c r="E115" s="4"/>
      <c r="F115" s="4"/>
      <c r="G115" s="4"/>
      <c r="H115" s="4"/>
      <c r="I115" s="4"/>
      <c r="J115" s="4"/>
      <c r="K115" s="4"/>
      <c r="L115" s="4"/>
      <c r="M115" s="4"/>
      <c r="N115" s="4"/>
      <c r="O115" s="4"/>
      <c r="P115" s="4"/>
      <c r="Q115" s="4"/>
      <c r="R115" s="4"/>
      <c r="S115" s="4"/>
      <c r="T115" s="4"/>
      <c r="U115" s="4"/>
      <c r="V115" s="4"/>
      <c r="W115" s="23"/>
      <c r="X115" s="23"/>
      <c r="Y115" s="23"/>
    </row>
    <row r="116" spans="1:28" ht="14.25" thickBot="1" x14ac:dyDescent="0.2">
      <c r="A116" s="23"/>
      <c r="B116" s="4"/>
      <c r="C116" s="27" t="b">
        <f>IF(AND(OR($C$37="トラック事業者",$C$76="トラック事業者"),入力シート!$D$124="✓"),TRUE,FALSE)</f>
        <v>0</v>
      </c>
      <c r="D116" s="4"/>
      <c r="E116" s="4" t="s">
        <v>125</v>
      </c>
      <c r="F116" s="4"/>
      <c r="G116" s="4"/>
      <c r="H116" s="4"/>
      <c r="I116" s="4"/>
      <c r="J116" s="4"/>
      <c r="K116" s="4"/>
      <c r="L116" s="4"/>
      <c r="M116" s="4"/>
      <c r="N116" s="4"/>
      <c r="O116" s="4"/>
      <c r="P116" s="4"/>
      <c r="Q116" s="4"/>
      <c r="R116" s="357" t="str">
        <f>IF(C116=TRUE,"トラック輸送","")</f>
        <v/>
      </c>
      <c r="S116" s="358"/>
      <c r="T116" s="358"/>
      <c r="U116" s="358"/>
      <c r="V116" s="359"/>
      <c r="W116" s="23"/>
      <c r="X116" s="23"/>
      <c r="Y116" s="23"/>
    </row>
    <row r="117" spans="1:28" ht="5.0999999999999996" customHeight="1" thickBot="1" x14ac:dyDescent="0.2">
      <c r="A117" s="23"/>
      <c r="B117" s="4"/>
      <c r="C117" s="4"/>
      <c r="D117" s="4"/>
      <c r="E117" s="4"/>
      <c r="F117" s="4"/>
      <c r="G117" s="4"/>
      <c r="H117" s="4"/>
      <c r="I117" s="4"/>
      <c r="J117" s="4"/>
      <c r="K117" s="4"/>
      <c r="L117" s="4"/>
      <c r="M117" s="4"/>
      <c r="N117" s="4"/>
      <c r="O117" s="4"/>
      <c r="P117" s="4"/>
      <c r="Q117" s="4"/>
      <c r="R117" s="4"/>
      <c r="S117" s="4"/>
      <c r="T117" s="4"/>
      <c r="U117" s="4"/>
      <c r="V117" s="4"/>
      <c r="W117" s="23"/>
      <c r="X117" s="23"/>
      <c r="Y117" s="23"/>
    </row>
    <row r="118" spans="1:28" ht="14.25" thickBot="1" x14ac:dyDescent="0.2">
      <c r="A118" s="23"/>
      <c r="B118" s="4"/>
      <c r="C118" s="4"/>
      <c r="D118" s="4"/>
      <c r="E118" s="4"/>
      <c r="F118" s="4"/>
      <c r="G118" s="4"/>
      <c r="H118" s="4"/>
      <c r="I118" s="4"/>
      <c r="J118" s="4"/>
      <c r="K118" s="4" t="s">
        <v>126</v>
      </c>
      <c r="L118" s="4"/>
      <c r="M118" s="4"/>
      <c r="N118" s="4"/>
      <c r="O118" s="4"/>
      <c r="P118" s="4"/>
      <c r="Q118" s="4"/>
      <c r="R118" s="47" t="str">
        <f>IF(AND(R116&lt;&gt;"",OR(C120=TRUE,C122=TRUE,C124=TRUE,C126=TRUE,C128=TRUE,C130=TRUE)),"、","")</f>
        <v/>
      </c>
      <c r="S118" s="4"/>
      <c r="T118" s="4"/>
      <c r="U118" s="4"/>
      <c r="V118" s="4"/>
      <c r="W118" s="23"/>
      <c r="X118" s="23"/>
      <c r="Y118" s="23"/>
      <c r="Z118" s="154" t="s">
        <v>639</v>
      </c>
      <c r="AB118" s="1" t="s">
        <v>640</v>
      </c>
    </row>
    <row r="119" spans="1:28" ht="5.0999999999999996" customHeight="1" thickBot="1" x14ac:dyDescent="0.2">
      <c r="A119" s="23"/>
      <c r="B119" s="4"/>
      <c r="C119" s="4"/>
      <c r="D119" s="4"/>
      <c r="E119" s="4"/>
      <c r="F119" s="4"/>
      <c r="G119" s="4"/>
      <c r="H119" s="4"/>
      <c r="I119" s="4"/>
      <c r="J119" s="4"/>
      <c r="K119" s="4"/>
      <c r="L119" s="4"/>
      <c r="M119" s="4"/>
      <c r="N119" s="4"/>
      <c r="O119" s="4"/>
      <c r="P119" s="4"/>
      <c r="Q119" s="4"/>
      <c r="R119" s="4"/>
      <c r="S119" s="4"/>
      <c r="T119" s="4"/>
      <c r="U119" s="4"/>
      <c r="V119" s="4"/>
      <c r="W119" s="23"/>
      <c r="X119" s="23"/>
      <c r="Y119" s="23"/>
    </row>
    <row r="120" spans="1:28" ht="14.25" thickBot="1" x14ac:dyDescent="0.2">
      <c r="A120" s="23"/>
      <c r="B120" s="4"/>
      <c r="C120" s="27" t="b">
        <f>IF(AND(OR($C$37="荷主等",$C$76="荷主等"),入力シート!$D$128="✓"),TRUE,FALSE)</f>
        <v>0</v>
      </c>
      <c r="D120" s="4"/>
      <c r="E120" s="4" t="s">
        <v>33</v>
      </c>
      <c r="F120" s="4"/>
      <c r="G120" s="4"/>
      <c r="H120" s="4"/>
      <c r="I120" s="4"/>
      <c r="J120" s="4"/>
      <c r="K120" s="29" t="str">
        <f>IF($C$120=TRUE,ASC(MID($E$120,2,8)),"")</f>
        <v/>
      </c>
      <c r="L120" s="29"/>
      <c r="M120" s="29"/>
      <c r="N120" s="29"/>
      <c r="O120" s="29"/>
      <c r="P120" s="29"/>
      <c r="Q120" s="29" t="str">
        <f>IF(AND($C$120=TRUE,OR($C$122=TRUE,$C$124=TRUE,$C$126=TRUE,$C$128=TRUE)),"、","")</f>
        <v/>
      </c>
      <c r="R120" s="357" t="str">
        <f>IF(OR(C120=TRUE,C122=TRUE,C124=TRUE,C126=TRUE,C128=TRUE),"予約受付システム等","")</f>
        <v/>
      </c>
      <c r="S120" s="358"/>
      <c r="T120" s="358"/>
      <c r="U120" s="358"/>
      <c r="V120" s="359"/>
      <c r="W120" s="23"/>
      <c r="X120" s="23"/>
      <c r="Y120" s="23"/>
      <c r="Z120" s="155">
        <f>IF(C120=TRUE,25000000,0)</f>
        <v>0</v>
      </c>
      <c r="AA120" s="89"/>
      <c r="AB120" s="155">
        <f>Z120+Z122+Z124+Z126+Z128</f>
        <v>0</v>
      </c>
    </row>
    <row r="121" spans="1:28" ht="5.0999999999999996" customHeight="1" thickBot="1" x14ac:dyDescent="0.2">
      <c r="A121" s="23"/>
      <c r="B121" s="4"/>
      <c r="C121" s="4"/>
      <c r="D121" s="4"/>
      <c r="E121" s="4"/>
      <c r="F121" s="4"/>
      <c r="G121" s="4"/>
      <c r="H121" s="4"/>
      <c r="I121" s="4"/>
      <c r="J121" s="4"/>
      <c r="K121" s="29"/>
      <c r="L121" s="29"/>
      <c r="M121" s="29"/>
      <c r="N121" s="29"/>
      <c r="O121" s="29"/>
      <c r="P121" s="29"/>
      <c r="Q121" s="29"/>
      <c r="R121" s="4"/>
      <c r="S121" s="4"/>
      <c r="T121" s="4"/>
      <c r="U121" s="4"/>
      <c r="V121" s="4"/>
      <c r="W121" s="23"/>
      <c r="X121" s="23"/>
      <c r="Y121" s="23"/>
      <c r="Z121" s="89"/>
      <c r="AA121" s="89"/>
      <c r="AB121" s="89"/>
    </row>
    <row r="122" spans="1:28" ht="14.25" thickBot="1" x14ac:dyDescent="0.2">
      <c r="A122" s="23"/>
      <c r="B122" s="4"/>
      <c r="C122" s="27" t="b">
        <f>IF(AND(OR($C$37="荷主等",$C$76="荷主等"),入力シート!$D$130="✓"),TRUE,FALSE)</f>
        <v>0</v>
      </c>
      <c r="D122" s="4"/>
      <c r="E122" s="4" t="s">
        <v>34</v>
      </c>
      <c r="F122" s="4"/>
      <c r="G122" s="4"/>
      <c r="H122" s="4"/>
      <c r="I122" s="4"/>
      <c r="J122" s="4"/>
      <c r="K122" s="29" t="str">
        <f>IF($C$122=TRUE,ASC(MID($E$122,2,7)),"")</f>
        <v/>
      </c>
      <c r="L122" s="29"/>
      <c r="M122" s="29"/>
      <c r="N122" s="29"/>
      <c r="O122" s="29"/>
      <c r="P122" s="29"/>
      <c r="Q122" s="29" t="str">
        <f>IF(AND($C$122=TRUE,OR($C$124=TRUE,$C$126=TRUE,$C$128=TRUE)),"、","")</f>
        <v/>
      </c>
      <c r="R122" s="47" t="str">
        <f>IF(AND(R120&lt;&gt;"",C130=TRUE),"、","")</f>
        <v/>
      </c>
      <c r="S122" s="4"/>
      <c r="T122" s="4"/>
      <c r="U122" s="4"/>
      <c r="V122" s="4"/>
      <c r="W122" s="23"/>
      <c r="X122" s="23"/>
      <c r="Y122" s="23"/>
      <c r="Z122" s="155">
        <f>IF(C122=TRUE,25000000,0)</f>
        <v>0</v>
      </c>
      <c r="AA122" s="89"/>
      <c r="AB122" s="89"/>
    </row>
    <row r="123" spans="1:28" ht="5.0999999999999996" customHeight="1" thickBot="1" x14ac:dyDescent="0.2">
      <c r="A123" s="23"/>
      <c r="B123" s="4"/>
      <c r="C123" s="4"/>
      <c r="D123" s="4"/>
      <c r="E123" s="4"/>
      <c r="F123" s="4"/>
      <c r="G123" s="4"/>
      <c r="H123" s="4"/>
      <c r="I123" s="4"/>
      <c r="J123" s="4"/>
      <c r="K123" s="29"/>
      <c r="L123" s="29"/>
      <c r="M123" s="29"/>
      <c r="N123" s="29"/>
      <c r="O123" s="29"/>
      <c r="P123" s="29"/>
      <c r="Q123" s="29"/>
      <c r="R123" s="4"/>
      <c r="S123" s="4"/>
      <c r="T123" s="4"/>
      <c r="U123" s="4"/>
      <c r="V123" s="4"/>
      <c r="W123" s="23"/>
      <c r="X123" s="23"/>
      <c r="Y123" s="23"/>
      <c r="Z123" s="89"/>
      <c r="AA123" s="89"/>
      <c r="AB123" s="89"/>
    </row>
    <row r="124" spans="1:28" ht="14.25" thickBot="1" x14ac:dyDescent="0.2">
      <c r="A124" s="23"/>
      <c r="B124" s="4"/>
      <c r="C124" s="27" t="b">
        <f>IF(AND(OR($C$37="荷主等",$C$76="荷主等"),入力シート!$D$132="✓"),TRUE,FALSE)</f>
        <v>0</v>
      </c>
      <c r="D124" s="4"/>
      <c r="E124" s="4" t="s">
        <v>35</v>
      </c>
      <c r="F124" s="4"/>
      <c r="G124" s="4"/>
      <c r="H124" s="4"/>
      <c r="I124" s="4"/>
      <c r="J124" s="4"/>
      <c r="K124" s="29" t="str">
        <f>IF($C$124=TRUE,ASC(MID($E$124,2,12)),"")</f>
        <v/>
      </c>
      <c r="L124" s="29"/>
      <c r="M124" s="29"/>
      <c r="N124" s="29"/>
      <c r="O124" s="29"/>
      <c r="P124" s="29"/>
      <c r="Q124" s="29" t="str">
        <f>IF(AND($C$124=TRUE,OR($C$126=TRUE,$C$128=TRUE,)),"、","")</f>
        <v/>
      </c>
      <c r="R124" s="4"/>
      <c r="S124" s="4"/>
      <c r="T124" s="4"/>
      <c r="U124" s="4"/>
      <c r="V124" s="4"/>
      <c r="W124" s="23"/>
      <c r="X124" s="23"/>
      <c r="Y124" s="23"/>
      <c r="Z124" s="155">
        <f>IF(C124=TRUE,25000000,0)</f>
        <v>0</v>
      </c>
      <c r="AA124" s="89"/>
      <c r="AB124" s="89"/>
    </row>
    <row r="125" spans="1:28" ht="5.0999999999999996" customHeight="1" thickBot="1" x14ac:dyDescent="0.2">
      <c r="A125" s="23"/>
      <c r="B125" s="4"/>
      <c r="C125" s="4"/>
      <c r="D125" s="4"/>
      <c r="E125" s="4"/>
      <c r="F125" s="4"/>
      <c r="G125" s="4"/>
      <c r="H125" s="4"/>
      <c r="I125" s="4"/>
      <c r="J125" s="4"/>
      <c r="K125" s="29"/>
      <c r="L125" s="29"/>
      <c r="M125" s="29"/>
      <c r="N125" s="29"/>
      <c r="O125" s="29"/>
      <c r="P125" s="29"/>
      <c r="Q125" s="29"/>
      <c r="R125" s="4"/>
      <c r="S125" s="4"/>
      <c r="T125" s="4"/>
      <c r="U125" s="4"/>
      <c r="V125" s="4"/>
      <c r="W125" s="23"/>
      <c r="X125" s="23"/>
      <c r="Y125" s="23"/>
      <c r="Z125" s="89"/>
      <c r="AA125" s="89"/>
      <c r="AB125" s="89"/>
    </row>
    <row r="126" spans="1:28" ht="14.25" thickBot="1" x14ac:dyDescent="0.2">
      <c r="A126" s="23"/>
      <c r="B126" s="4"/>
      <c r="C126" s="27" t="b">
        <f>IF(AND(OR($C$37="荷主等",$C$76="荷主等"),入力シート!$D$134="✓"),TRUE,FALSE)</f>
        <v>0</v>
      </c>
      <c r="D126" s="4"/>
      <c r="E126" s="4" t="s">
        <v>36</v>
      </c>
      <c r="F126" s="4"/>
      <c r="G126" s="4"/>
      <c r="H126" s="4"/>
      <c r="I126" s="4"/>
      <c r="J126" s="4"/>
      <c r="K126" s="29" t="str">
        <f>IF($C$126=TRUE,ASC(MID($E$126,2,11)),"")</f>
        <v/>
      </c>
      <c r="L126" s="29"/>
      <c r="M126" s="29"/>
      <c r="N126" s="29"/>
      <c r="O126" s="29"/>
      <c r="P126" s="29"/>
      <c r="Q126" s="29" t="str">
        <f>IF(AND($C$126=TRUE,$C$128=TRUE),"、","")</f>
        <v/>
      </c>
      <c r="R126" s="4"/>
      <c r="S126" s="4"/>
      <c r="T126" s="4"/>
      <c r="U126" s="4"/>
      <c r="V126" s="4"/>
      <c r="W126" s="23"/>
      <c r="X126" s="23"/>
      <c r="Y126" s="23"/>
      <c r="Z126" s="155">
        <f>IF(C126=TRUE,25000000,0)</f>
        <v>0</v>
      </c>
      <c r="AA126" s="89"/>
      <c r="AB126" s="89"/>
    </row>
    <row r="127" spans="1:28" ht="5.0999999999999996" customHeight="1" thickBot="1" x14ac:dyDescent="0.2">
      <c r="A127" s="23"/>
      <c r="B127" s="4"/>
      <c r="C127" s="4"/>
      <c r="D127" s="4"/>
      <c r="E127" s="4"/>
      <c r="F127" s="4"/>
      <c r="G127" s="4"/>
      <c r="H127" s="4"/>
      <c r="I127" s="4"/>
      <c r="J127" s="4"/>
      <c r="K127" s="29"/>
      <c r="L127" s="29"/>
      <c r="M127" s="29"/>
      <c r="N127" s="29"/>
      <c r="O127" s="29"/>
      <c r="P127" s="29"/>
      <c r="Q127" s="29"/>
      <c r="R127" s="4"/>
      <c r="S127" s="4"/>
      <c r="T127" s="4"/>
      <c r="U127" s="4"/>
      <c r="V127" s="4"/>
      <c r="W127" s="23"/>
      <c r="X127" s="23"/>
      <c r="Y127" s="23"/>
      <c r="Z127" s="89"/>
      <c r="AA127" s="89"/>
      <c r="AB127" s="89"/>
    </row>
    <row r="128" spans="1:28" ht="14.25" thickBot="1" x14ac:dyDescent="0.2">
      <c r="A128" s="23"/>
      <c r="B128" s="4"/>
      <c r="C128" s="27" t="b">
        <f>IF(AND(OR($C$37="荷主等",$C$76="荷主等"),入力シート!$D$136="✓"),TRUE,FALSE)</f>
        <v>0</v>
      </c>
      <c r="D128" s="4"/>
      <c r="E128" s="4" t="s">
        <v>37</v>
      </c>
      <c r="F128" s="4"/>
      <c r="G128" s="4"/>
      <c r="H128" s="4"/>
      <c r="I128" s="4"/>
      <c r="J128" s="4"/>
      <c r="K128" s="29" t="str">
        <f>IF($C$128=TRUE,ASC(MID($E$128,2,9)),"")</f>
        <v/>
      </c>
      <c r="L128" s="29"/>
      <c r="M128" s="29"/>
      <c r="N128" s="29"/>
      <c r="O128" s="29"/>
      <c r="P128" s="29"/>
      <c r="Q128" s="29"/>
      <c r="R128" s="4"/>
      <c r="S128" s="4"/>
      <c r="T128" s="4"/>
      <c r="U128" s="4"/>
      <c r="V128" s="4"/>
      <c r="W128" s="23"/>
      <c r="X128" s="23"/>
      <c r="Y128" s="23"/>
      <c r="Z128" s="155">
        <f>IF(C128=TRUE,50000000,0)</f>
        <v>0</v>
      </c>
      <c r="AA128" s="89"/>
      <c r="AB128" s="89"/>
    </row>
    <row r="129" spans="1:26" ht="5.0999999999999996" customHeight="1" thickBot="1" x14ac:dyDescent="0.2">
      <c r="A129" s="23"/>
      <c r="B129" s="4"/>
      <c r="C129" s="4"/>
      <c r="D129" s="4"/>
      <c r="E129" s="4"/>
      <c r="F129" s="4"/>
      <c r="G129" s="4"/>
      <c r="H129" s="4"/>
      <c r="I129" s="4"/>
      <c r="J129" s="4"/>
      <c r="K129" s="29"/>
      <c r="L129" s="29"/>
      <c r="M129" s="29"/>
      <c r="N129" s="29"/>
      <c r="O129" s="29"/>
      <c r="P129" s="29"/>
      <c r="Q129" s="29"/>
      <c r="R129" s="4"/>
      <c r="S129" s="4"/>
      <c r="T129" s="4"/>
      <c r="U129" s="4"/>
      <c r="V129" s="4"/>
      <c r="W129" s="23"/>
      <c r="X129" s="23"/>
      <c r="Y129" s="23"/>
    </row>
    <row r="130" spans="1:26" ht="14.25" thickBot="1" x14ac:dyDescent="0.2">
      <c r="A130" s="23"/>
      <c r="B130" s="4"/>
      <c r="C130" s="27" t="b">
        <f>IF(AND(OR($C$37="荷主等",$C$37="トラック事業者",$C$76="荷主等",$C$76="トラック事業者"),入力シート!$D$138="✓"),TRUE,FALSE)</f>
        <v>0</v>
      </c>
      <c r="D130" s="4"/>
      <c r="E130" s="4" t="s">
        <v>127</v>
      </c>
      <c r="F130" s="4"/>
      <c r="G130" s="4"/>
      <c r="H130" s="4"/>
      <c r="I130" s="4"/>
      <c r="J130" s="4"/>
      <c r="K130" s="29" t="str">
        <f>$K$120&amp;$Q$120&amp;$K$122&amp;$Q$122&amp;$K$124&amp;$Q$124&amp;$K$126&amp;$Q$126&amp;$K$128</f>
        <v/>
      </c>
      <c r="L130" s="29"/>
      <c r="M130" s="29"/>
      <c r="N130" s="29"/>
      <c r="O130" s="29"/>
      <c r="P130" s="29"/>
      <c r="Q130" s="29"/>
      <c r="R130" s="357" t="str">
        <f>IF(C130=TRUE,"配車計画システム","")</f>
        <v/>
      </c>
      <c r="S130" s="358"/>
      <c r="T130" s="358"/>
      <c r="U130" s="358"/>
      <c r="V130" s="359"/>
      <c r="W130" s="23"/>
      <c r="X130" s="23"/>
      <c r="Y130" s="23"/>
    </row>
    <row r="131" spans="1:26" ht="5.0999999999999996" customHeight="1" thickBot="1" x14ac:dyDescent="0.2">
      <c r="A131" s="23"/>
      <c r="B131" s="4"/>
      <c r="C131" s="4"/>
      <c r="D131" s="4"/>
      <c r="E131" s="4"/>
      <c r="F131" s="4"/>
      <c r="G131" s="4"/>
      <c r="H131" s="4"/>
      <c r="I131" s="4"/>
      <c r="J131" s="4"/>
      <c r="K131" s="4"/>
      <c r="L131" s="4"/>
      <c r="M131" s="4"/>
      <c r="N131" s="4"/>
      <c r="O131" s="4"/>
      <c r="P131" s="4"/>
      <c r="Q131" s="4"/>
      <c r="R131" s="4"/>
      <c r="S131" s="4"/>
      <c r="T131" s="4"/>
      <c r="U131" s="4"/>
      <c r="V131" s="4"/>
      <c r="W131" s="23"/>
      <c r="X131" s="23"/>
      <c r="Y131" s="23"/>
    </row>
    <row r="132" spans="1:26" ht="14.25" thickBot="1" x14ac:dyDescent="0.2">
      <c r="A132" s="23"/>
      <c r="B132" s="4"/>
      <c r="C132" s="27" t="b">
        <f>IF(AND(COUNTIF(C116:C130,TRUE)&gt;=1,入力シート!$D$140="✓"),TRUE,FALSE)</f>
        <v>0</v>
      </c>
      <c r="D132" s="4"/>
      <c r="E132" s="4" t="s">
        <v>39</v>
      </c>
      <c r="F132" s="4"/>
      <c r="G132" s="4"/>
      <c r="H132" s="4"/>
      <c r="I132" s="4"/>
      <c r="J132" s="4"/>
      <c r="K132" s="10" t="str">
        <f>IF(AND(反映シート!C116=FALSE,反映シート!C120=FALSE,反映シート!C122=FALSE,反映シート!C124=FALSE,反映シート!C126=FALSE,反映シート!C128=FALSE,反映シート!C130=FALSE,反映シート!C132=TRUE),"※AI・IoTによるシステム連係ツールのみの申請はできません","")</f>
        <v/>
      </c>
      <c r="L132" s="4"/>
      <c r="M132" s="4"/>
      <c r="N132" s="4"/>
      <c r="O132" s="4"/>
      <c r="P132" s="4"/>
      <c r="Q132" s="4"/>
      <c r="R132" s="47" t="str">
        <f>IF(AND(R116&amp;R120&amp;R130&lt;&gt;"",C132=TRUE),"、","")</f>
        <v/>
      </c>
      <c r="S132" s="4"/>
      <c r="T132" s="4"/>
      <c r="U132" s="4"/>
      <c r="V132" s="4"/>
      <c r="W132" s="23"/>
      <c r="X132" s="23"/>
      <c r="Y132" s="23"/>
    </row>
    <row r="133" spans="1:26" ht="14.25" thickBot="1" x14ac:dyDescent="0.2">
      <c r="A133" s="23"/>
      <c r="B133" s="4"/>
      <c r="C133" s="4"/>
      <c r="D133" s="4"/>
      <c r="E133" s="4"/>
      <c r="F133" s="4"/>
      <c r="G133" s="4"/>
      <c r="H133" s="4"/>
      <c r="I133" s="4"/>
      <c r="J133" s="4"/>
      <c r="K133" s="4"/>
      <c r="L133" s="4"/>
      <c r="M133" s="4"/>
      <c r="N133" s="4"/>
      <c r="O133" s="4"/>
      <c r="P133" s="4"/>
      <c r="Q133" s="4"/>
      <c r="R133" s="4"/>
      <c r="S133" s="4"/>
      <c r="T133" s="4"/>
      <c r="U133" s="4"/>
      <c r="V133" s="4"/>
      <c r="W133" s="23"/>
      <c r="X133" s="23"/>
      <c r="Y133" s="23"/>
      <c r="Z133" s="1" t="s">
        <v>654</v>
      </c>
    </row>
    <row r="134" spans="1:26" ht="14.25" thickBot="1" x14ac:dyDescent="0.2">
      <c r="A134" s="23"/>
      <c r="B134" s="4"/>
      <c r="C134" s="4"/>
      <c r="D134" s="4"/>
      <c r="E134" s="4"/>
      <c r="F134" s="4"/>
      <c r="G134" s="4"/>
      <c r="H134" s="4"/>
      <c r="I134" s="4"/>
      <c r="J134" s="4"/>
      <c r="K134" s="4"/>
      <c r="L134" s="4"/>
      <c r="M134" s="4"/>
      <c r="N134" s="4"/>
      <c r="O134" s="4"/>
      <c r="P134" s="4"/>
      <c r="Q134" s="4"/>
      <c r="R134" s="360" t="str">
        <f>IF(R116&amp;R120&amp;R130="","",IF(C132=TRUE,"ＡＩ・ＩоＴによるシステム連係ツール",""))</f>
        <v/>
      </c>
      <c r="S134" s="361"/>
      <c r="T134" s="361"/>
      <c r="U134" s="361"/>
      <c r="V134" s="361"/>
      <c r="W134" s="362"/>
      <c r="X134" s="23"/>
      <c r="Y134" s="23"/>
      <c r="Z134" s="155" t="str">
        <f>IF($C$10="","",IF($C$37="リース事業者",$O$90,$O$51))</f>
        <v/>
      </c>
    </row>
    <row r="135" spans="1:26" ht="5.0999999999999996" customHeight="1" x14ac:dyDescent="0.15">
      <c r="A135" s="23"/>
      <c r="B135" s="4"/>
      <c r="C135" s="4"/>
      <c r="D135" s="4"/>
      <c r="E135" s="4"/>
      <c r="F135" s="4"/>
      <c r="G135" s="4"/>
      <c r="H135" s="4"/>
      <c r="I135" s="4"/>
      <c r="J135" s="4"/>
      <c r="K135" s="4"/>
      <c r="L135" s="4"/>
      <c r="M135" s="4"/>
      <c r="N135" s="4"/>
      <c r="O135" s="4"/>
      <c r="P135" s="4"/>
      <c r="Q135" s="4"/>
      <c r="R135" s="4"/>
      <c r="S135" s="4"/>
      <c r="T135" s="4"/>
      <c r="U135" s="4"/>
      <c r="V135" s="4"/>
      <c r="W135" s="23"/>
      <c r="X135" s="23"/>
      <c r="Y135" s="23"/>
    </row>
    <row r="136" spans="1:26" ht="5.0999999999999996" customHeight="1" thickBot="1" x14ac:dyDescent="0.2">
      <c r="A136" s="23"/>
      <c r="B136" s="4"/>
      <c r="C136" s="4"/>
      <c r="D136" s="4"/>
      <c r="E136" s="4"/>
      <c r="F136" s="4"/>
      <c r="G136" s="4"/>
      <c r="H136" s="4"/>
      <c r="I136" s="4"/>
      <c r="J136" s="4"/>
      <c r="K136" s="4"/>
      <c r="L136" s="4"/>
      <c r="M136" s="4"/>
      <c r="N136" s="4"/>
      <c r="O136" s="4"/>
      <c r="P136" s="4"/>
      <c r="Q136" s="4"/>
      <c r="R136" s="4"/>
      <c r="S136" s="4"/>
      <c r="T136" s="4"/>
      <c r="U136" s="4"/>
      <c r="V136" s="4"/>
      <c r="W136" s="23"/>
      <c r="X136" s="23"/>
      <c r="Y136" s="23"/>
    </row>
    <row r="137" spans="1:26" ht="14.25" thickBot="1" x14ac:dyDescent="0.2">
      <c r="A137" s="23"/>
      <c r="B137" s="4"/>
      <c r="C137" s="250" t="str">
        <f>IF($Z$134&lt;&gt;"",Z134&amp;"　"&amp;R116&amp;R118&amp;R120&amp;R122&amp;R130&amp;R132&amp;R134&amp;"の省エネ化推進事業","")</f>
        <v/>
      </c>
      <c r="D137" s="251"/>
      <c r="E137" s="251"/>
      <c r="F137" s="251"/>
      <c r="G137" s="251"/>
      <c r="H137" s="251"/>
      <c r="I137" s="251"/>
      <c r="J137" s="251"/>
      <c r="K137" s="251"/>
      <c r="L137" s="251"/>
      <c r="M137" s="251"/>
      <c r="N137" s="251"/>
      <c r="O137" s="251"/>
      <c r="P137" s="251"/>
      <c r="Q137" s="251"/>
      <c r="R137" s="252"/>
      <c r="S137" s="4" t="s">
        <v>122</v>
      </c>
      <c r="T137" s="4"/>
      <c r="U137" s="4"/>
      <c r="V137" s="4"/>
      <c r="W137" s="23"/>
      <c r="X137" s="23"/>
      <c r="Y137" s="23"/>
    </row>
    <row r="138" spans="1:26" ht="5.0999999999999996" customHeight="1" x14ac:dyDescent="0.15">
      <c r="A138" s="23"/>
      <c r="B138" s="4"/>
      <c r="C138" s="4"/>
      <c r="D138" s="4"/>
      <c r="E138" s="4"/>
      <c r="F138" s="4"/>
      <c r="G138" s="4"/>
      <c r="H138" s="4"/>
      <c r="I138" s="4"/>
      <c r="J138" s="4"/>
      <c r="K138" s="4"/>
      <c r="L138" s="4"/>
      <c r="M138" s="4"/>
      <c r="N138" s="4"/>
      <c r="O138" s="4"/>
      <c r="P138" s="4"/>
      <c r="Q138" s="4"/>
      <c r="R138" s="4"/>
      <c r="S138" s="4"/>
      <c r="T138" s="4"/>
      <c r="U138" s="4"/>
      <c r="V138" s="4"/>
      <c r="W138" s="23"/>
      <c r="X138" s="23"/>
      <c r="Y138" s="23"/>
    </row>
    <row r="139" spans="1:26" ht="19.5" customHeight="1" x14ac:dyDescent="0.15">
      <c r="B139" s="4"/>
      <c r="C139" s="53" t="s">
        <v>31</v>
      </c>
      <c r="D139" s="54"/>
      <c r="E139" s="54"/>
      <c r="F139" s="54"/>
      <c r="G139" s="54"/>
      <c r="H139" s="54"/>
      <c r="I139" s="54"/>
      <c r="J139" s="54"/>
      <c r="K139" s="54"/>
      <c r="L139" s="54"/>
      <c r="M139" s="54"/>
      <c r="N139" s="54"/>
      <c r="O139" s="54"/>
      <c r="P139" s="54"/>
      <c r="Q139" s="54"/>
      <c r="R139" s="54"/>
      <c r="S139" s="55"/>
      <c r="T139" s="4"/>
      <c r="U139" s="4"/>
      <c r="V139" s="4"/>
      <c r="W139" s="4"/>
      <c r="X139" s="4"/>
      <c r="Y139" s="4"/>
    </row>
    <row r="140" spans="1:26" ht="5.0999999999999996" customHeight="1" x14ac:dyDescent="0.15">
      <c r="B140" s="4"/>
      <c r="C140" s="56"/>
      <c r="D140" s="72"/>
      <c r="E140" s="4"/>
      <c r="F140" s="4"/>
      <c r="G140" s="4"/>
      <c r="H140" s="4"/>
      <c r="I140" s="4"/>
      <c r="J140" s="4"/>
      <c r="K140" s="4"/>
      <c r="L140" s="4"/>
      <c r="M140" s="4"/>
      <c r="N140" s="4"/>
      <c r="O140" s="4"/>
      <c r="P140" s="4"/>
      <c r="Q140" s="4"/>
      <c r="R140" s="4"/>
      <c r="S140" s="57"/>
      <c r="T140" s="4"/>
      <c r="U140" s="4"/>
      <c r="V140" s="4"/>
      <c r="W140" s="4"/>
      <c r="X140" s="4"/>
      <c r="Y140" s="4"/>
    </row>
    <row r="141" spans="1:26" ht="14.25" customHeight="1" x14ac:dyDescent="0.15">
      <c r="B141" s="4"/>
      <c r="C141" s="56"/>
      <c r="D141" s="66" t="s">
        <v>325</v>
      </c>
      <c r="E141" s="4"/>
      <c r="F141" s="4"/>
      <c r="G141" s="4"/>
      <c r="H141" s="4"/>
      <c r="I141" s="4"/>
      <c r="J141" s="4"/>
      <c r="K141" s="4"/>
      <c r="L141" s="4"/>
      <c r="M141" s="4"/>
      <c r="N141" s="4"/>
      <c r="O141" s="4"/>
      <c r="P141" s="4"/>
      <c r="Q141" s="4"/>
      <c r="R141" s="4"/>
      <c r="S141" s="57"/>
      <c r="T141" s="4"/>
      <c r="U141" s="4"/>
      <c r="V141" s="4"/>
      <c r="W141" s="4"/>
      <c r="X141" s="4"/>
      <c r="Y141" s="4"/>
    </row>
    <row r="142" spans="1:26" ht="5.0999999999999996" customHeight="1" thickBot="1" x14ac:dyDescent="0.2">
      <c r="B142" s="4"/>
      <c r="C142" s="56"/>
      <c r="D142" s="70"/>
      <c r="E142" s="4"/>
      <c r="F142" s="4"/>
      <c r="G142" s="4"/>
      <c r="H142" s="4"/>
      <c r="I142" s="4"/>
      <c r="J142" s="4"/>
      <c r="K142" s="4"/>
      <c r="L142" s="4"/>
      <c r="M142" s="4"/>
      <c r="N142" s="4"/>
      <c r="O142" s="4"/>
      <c r="P142" s="4"/>
      <c r="Q142" s="4"/>
      <c r="R142" s="4"/>
      <c r="S142" s="57"/>
      <c r="T142" s="4"/>
      <c r="U142" s="4"/>
      <c r="V142" s="4"/>
      <c r="W142" s="4"/>
      <c r="X142" s="4"/>
      <c r="Y142" s="4"/>
    </row>
    <row r="143" spans="1:26" ht="14.25" customHeight="1" thickBot="1" x14ac:dyDescent="0.2">
      <c r="B143" s="4"/>
      <c r="C143" s="71"/>
      <c r="D143" s="70"/>
      <c r="E143" s="70"/>
      <c r="F143" s="70"/>
      <c r="G143" s="4"/>
      <c r="H143" s="58" t="s">
        <v>305</v>
      </c>
      <c r="I143" s="27">
        <f>IF($C$116=TRUE,入力シート!I148,0)</f>
        <v>0</v>
      </c>
      <c r="J143" s="4" t="s">
        <v>315</v>
      </c>
      <c r="K143" s="4"/>
      <c r="L143" s="4"/>
      <c r="M143" s="4"/>
      <c r="N143" s="4"/>
      <c r="O143" s="4"/>
      <c r="P143" s="4"/>
      <c r="Q143" s="4"/>
      <c r="R143" s="4"/>
      <c r="S143" s="57"/>
      <c r="T143" s="4"/>
      <c r="U143" s="4"/>
      <c r="V143" s="4"/>
      <c r="W143" s="4"/>
      <c r="X143" s="4"/>
      <c r="Y143" s="4"/>
    </row>
    <row r="144" spans="1:26" ht="5.0999999999999996" customHeight="1" thickBot="1" x14ac:dyDescent="0.2">
      <c r="B144" s="4"/>
      <c r="C144" s="56"/>
      <c r="D144" s="72"/>
      <c r="E144" s="4"/>
      <c r="F144" s="4"/>
      <c r="G144" s="4"/>
      <c r="H144" s="4"/>
      <c r="I144" s="4"/>
      <c r="J144" s="4"/>
      <c r="K144" s="4"/>
      <c r="L144" s="4"/>
      <c r="M144" s="4"/>
      <c r="N144" s="4"/>
      <c r="O144" s="4"/>
      <c r="P144" s="4"/>
      <c r="Q144" s="4"/>
      <c r="R144" s="4"/>
      <c r="S144" s="57"/>
      <c r="T144" s="4"/>
      <c r="U144" s="4"/>
      <c r="V144" s="4"/>
      <c r="W144" s="4"/>
      <c r="X144" s="4"/>
      <c r="Y144" s="4"/>
    </row>
    <row r="145" spans="2:31" ht="14.25" customHeight="1" thickBot="1" x14ac:dyDescent="0.2">
      <c r="B145" s="4"/>
      <c r="C145" s="71"/>
      <c r="D145" s="4"/>
      <c r="E145" s="4"/>
      <c r="F145" s="4"/>
      <c r="G145" s="4"/>
      <c r="H145" s="58" t="s">
        <v>306</v>
      </c>
      <c r="I145" s="27">
        <f>IF($C$116=TRUE,入力シート!I150,0)</f>
        <v>0</v>
      </c>
      <c r="J145" s="4" t="s">
        <v>315</v>
      </c>
      <c r="K145" s="4"/>
      <c r="L145" s="4"/>
      <c r="M145" s="4"/>
      <c r="N145" s="4"/>
      <c r="O145" s="4"/>
      <c r="P145" s="4"/>
      <c r="Q145" s="4"/>
      <c r="R145" s="4"/>
      <c r="S145" s="57"/>
      <c r="T145" s="4"/>
      <c r="U145" s="4"/>
      <c r="V145" s="4"/>
      <c r="W145" s="4"/>
      <c r="X145" s="4"/>
      <c r="Y145" s="4"/>
    </row>
    <row r="146" spans="2:31" ht="5.0999999999999996" customHeight="1" thickBot="1" x14ac:dyDescent="0.2">
      <c r="B146" s="4"/>
      <c r="C146" s="56"/>
      <c r="D146" s="72"/>
      <c r="E146" s="4"/>
      <c r="F146" s="4"/>
      <c r="G146" s="4"/>
      <c r="H146" s="4"/>
      <c r="I146" s="4"/>
      <c r="J146" s="4"/>
      <c r="K146" s="4"/>
      <c r="L146" s="4"/>
      <c r="M146" s="4"/>
      <c r="N146" s="4"/>
      <c r="O146" s="4"/>
      <c r="P146" s="4"/>
      <c r="Q146" s="4"/>
      <c r="R146" s="4"/>
      <c r="S146" s="57"/>
      <c r="T146" s="4"/>
      <c r="U146" s="4"/>
      <c r="V146" s="4"/>
      <c r="W146" s="4"/>
      <c r="X146" s="4"/>
      <c r="Y146" s="4"/>
    </row>
    <row r="147" spans="2:31" ht="14.25" customHeight="1" thickBot="1" x14ac:dyDescent="0.2">
      <c r="B147" s="4"/>
      <c r="C147" s="71"/>
      <c r="D147" s="4"/>
      <c r="E147" s="4"/>
      <c r="F147" s="4"/>
      <c r="G147" s="4"/>
      <c r="H147" s="58" t="s">
        <v>307</v>
      </c>
      <c r="I147" s="107">
        <f>IF($C$116=TRUE,I143+I145,0)</f>
        <v>0</v>
      </c>
      <c r="J147" s="4" t="s">
        <v>316</v>
      </c>
      <c r="K147" s="4"/>
      <c r="L147" s="4"/>
      <c r="M147" s="4"/>
      <c r="N147" s="4"/>
      <c r="O147" s="4"/>
      <c r="P147" s="4"/>
      <c r="Q147" s="4"/>
      <c r="R147" s="4"/>
      <c r="S147" s="57"/>
      <c r="T147" s="4"/>
      <c r="U147" s="4"/>
      <c r="V147" s="4"/>
      <c r="W147" s="4"/>
      <c r="X147" s="4"/>
      <c r="Y147" s="4"/>
    </row>
    <row r="148" spans="2:31" ht="5.0999999999999996" customHeight="1" thickBot="1" x14ac:dyDescent="0.2">
      <c r="B148" s="4"/>
      <c r="C148" s="56"/>
      <c r="D148" s="72"/>
      <c r="E148" s="4"/>
      <c r="F148" s="4"/>
      <c r="G148" s="4"/>
      <c r="H148" s="4"/>
      <c r="I148" s="4"/>
      <c r="J148" s="4"/>
      <c r="K148" s="4"/>
      <c r="L148" s="4"/>
      <c r="M148" s="4"/>
      <c r="N148" s="4"/>
      <c r="O148" s="4"/>
      <c r="P148" s="4"/>
      <c r="Q148" s="4"/>
      <c r="R148" s="4"/>
      <c r="S148" s="57"/>
      <c r="T148" s="4"/>
      <c r="U148" s="4"/>
      <c r="V148" s="4"/>
      <c r="W148" s="4"/>
      <c r="X148" s="4"/>
      <c r="Y148" s="4"/>
    </row>
    <row r="149" spans="2:31" ht="14.25" customHeight="1" thickBot="1" x14ac:dyDescent="0.2">
      <c r="B149" s="4"/>
      <c r="C149" s="71"/>
      <c r="D149" s="4"/>
      <c r="E149" s="4"/>
      <c r="F149" s="4"/>
      <c r="G149" s="4"/>
      <c r="H149" s="58" t="s">
        <v>309</v>
      </c>
      <c r="I149" s="27">
        <f>IF($C$116=TRUE,入力シート!I154,0)</f>
        <v>0</v>
      </c>
      <c r="J149" s="4" t="s">
        <v>317</v>
      </c>
      <c r="K149" s="4"/>
      <c r="L149" s="4"/>
      <c r="M149" s="4"/>
      <c r="N149" s="4"/>
      <c r="O149" s="4"/>
      <c r="P149" s="4"/>
      <c r="Q149" s="4"/>
      <c r="R149" s="4"/>
      <c r="S149" s="57"/>
      <c r="T149" s="4"/>
      <c r="U149" s="4"/>
      <c r="V149" s="4"/>
      <c r="W149" s="4"/>
      <c r="X149" s="4"/>
      <c r="Y149" s="4"/>
    </row>
    <row r="150" spans="2:31" ht="11.25" customHeight="1" x14ac:dyDescent="0.15">
      <c r="B150" s="4"/>
      <c r="C150" s="56"/>
      <c r="D150" s="4"/>
      <c r="E150" s="4"/>
      <c r="F150" s="4"/>
      <c r="G150" s="4"/>
      <c r="H150" s="4"/>
      <c r="I150" s="4"/>
      <c r="J150" s="4"/>
      <c r="K150" s="4"/>
      <c r="L150" s="4"/>
      <c r="M150" s="4"/>
      <c r="N150" s="4"/>
      <c r="O150" s="4"/>
      <c r="P150" s="4"/>
      <c r="Q150" s="4"/>
      <c r="R150" s="4"/>
      <c r="S150" s="57"/>
      <c r="T150" s="4"/>
      <c r="U150" s="4"/>
      <c r="V150" s="4"/>
      <c r="W150" s="4"/>
      <c r="X150" s="4"/>
      <c r="Y150" s="4"/>
    </row>
    <row r="151" spans="2:31" ht="14.25" customHeight="1" thickBot="1" x14ac:dyDescent="0.2">
      <c r="B151" s="4"/>
      <c r="C151" s="56"/>
      <c r="D151" s="66" t="s">
        <v>326</v>
      </c>
      <c r="E151" s="4"/>
      <c r="F151" s="58"/>
      <c r="G151" s="4"/>
      <c r="H151" s="4"/>
      <c r="I151" s="4"/>
      <c r="J151" s="4"/>
      <c r="K151" s="4"/>
      <c r="L151" s="4"/>
      <c r="M151" s="4"/>
      <c r="N151" s="4"/>
      <c r="O151" s="4"/>
      <c r="P151" s="4"/>
      <c r="Q151" s="4"/>
      <c r="R151" s="4"/>
      <c r="S151" s="57"/>
      <c r="T151" s="4"/>
      <c r="U151" s="4"/>
      <c r="V151" s="4"/>
      <c r="W151" s="4"/>
      <c r="X151" s="4"/>
      <c r="Y151" s="4"/>
    </row>
    <row r="152" spans="2:31" ht="14.25" customHeight="1" thickBot="1" x14ac:dyDescent="0.2">
      <c r="B152" s="4"/>
      <c r="C152" s="71"/>
      <c r="D152" s="4"/>
      <c r="E152" s="70"/>
      <c r="F152" s="70"/>
      <c r="G152" s="4"/>
      <c r="H152" s="58" t="s">
        <v>308</v>
      </c>
      <c r="I152" s="27">
        <f>IF($C$116=TRUE,入力シート!I158,0)</f>
        <v>0</v>
      </c>
      <c r="J152" s="4" t="s">
        <v>315</v>
      </c>
      <c r="K152" s="4"/>
      <c r="L152" s="4"/>
      <c r="M152" s="4"/>
      <c r="N152" s="4"/>
      <c r="O152" s="4"/>
      <c r="P152" s="4"/>
      <c r="Q152" s="4"/>
      <c r="R152" s="4"/>
      <c r="S152" s="57"/>
      <c r="T152" s="4"/>
      <c r="U152" s="4"/>
      <c r="V152" s="4"/>
      <c r="W152" s="4"/>
      <c r="X152" s="4"/>
      <c r="Y152" s="4"/>
    </row>
    <row r="153" spans="2:31" ht="11.25" customHeight="1" x14ac:dyDescent="0.15">
      <c r="B153" s="4"/>
      <c r="C153" s="56"/>
      <c r="D153" s="4"/>
      <c r="E153" s="4"/>
      <c r="F153" s="4"/>
      <c r="G153" s="4"/>
      <c r="H153" s="4"/>
      <c r="I153" s="4"/>
      <c r="J153" s="4"/>
      <c r="K153" s="4"/>
      <c r="L153" s="4"/>
      <c r="M153" s="4"/>
      <c r="N153" s="4"/>
      <c r="O153" s="4"/>
      <c r="P153" s="4"/>
      <c r="Q153" s="4"/>
      <c r="R153" s="4"/>
      <c r="S153" s="57"/>
      <c r="T153" s="4"/>
      <c r="U153" s="4"/>
      <c r="V153" s="4"/>
      <c r="W153" s="4"/>
      <c r="X153" s="4"/>
      <c r="Y153" s="4"/>
    </row>
    <row r="154" spans="2:31" ht="14.25" customHeight="1" thickBot="1" x14ac:dyDescent="0.2">
      <c r="B154" s="4"/>
      <c r="C154" s="56"/>
      <c r="D154" s="19" t="s">
        <v>492</v>
      </c>
      <c r="E154" s="4"/>
      <c r="F154" s="4"/>
      <c r="G154" s="4"/>
      <c r="H154" s="4"/>
      <c r="I154" s="4"/>
      <c r="J154" s="4"/>
      <c r="K154" s="4"/>
      <c r="L154" s="4"/>
      <c r="M154" s="4"/>
      <c r="N154" s="4"/>
      <c r="O154" s="4"/>
      <c r="P154" s="4"/>
      <c r="Q154" s="4"/>
      <c r="R154" s="4"/>
      <c r="S154" s="57"/>
      <c r="T154" s="4"/>
      <c r="U154" s="4"/>
      <c r="V154" s="4"/>
      <c r="W154" s="4"/>
      <c r="X154" s="4"/>
      <c r="Y154" s="4"/>
    </row>
    <row r="155" spans="2:31" ht="14.25" customHeight="1" thickBot="1" x14ac:dyDescent="0.2">
      <c r="B155" s="4"/>
      <c r="C155" s="71"/>
      <c r="D155" s="4"/>
      <c r="E155" s="4"/>
      <c r="F155" s="4"/>
      <c r="G155" s="4"/>
      <c r="H155" s="58" t="s">
        <v>312</v>
      </c>
      <c r="I155" s="27" t="b">
        <f>IF(AND(入力シート!I162="✓",$C$116=TRUE),TRUE,FALSE)</f>
        <v>0</v>
      </c>
      <c r="J155" s="58"/>
      <c r="K155" s="58"/>
      <c r="L155" s="58"/>
      <c r="M155" s="58"/>
      <c r="N155" s="58"/>
      <c r="O155" s="58"/>
      <c r="P155" s="58"/>
      <c r="Q155" s="58"/>
      <c r="R155" s="58"/>
      <c r="S155" s="73"/>
      <c r="T155" s="58"/>
      <c r="U155" s="58"/>
      <c r="V155" s="58"/>
      <c r="W155" s="58"/>
      <c r="X155" s="58"/>
      <c r="Y155" s="58"/>
      <c r="Z155" s="22"/>
      <c r="AA155" s="22"/>
      <c r="AB155" s="22"/>
      <c r="AC155" s="22"/>
      <c r="AD155" s="22"/>
      <c r="AE155" s="22"/>
    </row>
    <row r="156" spans="2:31" ht="5.0999999999999996" customHeight="1" thickBot="1" x14ac:dyDescent="0.2">
      <c r="B156" s="4"/>
      <c r="C156" s="56"/>
      <c r="D156" s="72"/>
      <c r="E156" s="4"/>
      <c r="F156" s="4"/>
      <c r="G156" s="4"/>
      <c r="H156" s="4"/>
      <c r="I156" s="4"/>
      <c r="J156" s="4"/>
      <c r="K156" s="4"/>
      <c r="L156" s="4"/>
      <c r="M156" s="4"/>
      <c r="N156" s="4"/>
      <c r="O156" s="4"/>
      <c r="P156" s="4"/>
      <c r="Q156" s="4"/>
      <c r="R156" s="4"/>
      <c r="S156" s="57"/>
      <c r="T156" s="4"/>
      <c r="U156" s="4"/>
      <c r="V156" s="4"/>
      <c r="W156" s="4"/>
      <c r="X156" s="4"/>
      <c r="Y156" s="4"/>
    </row>
    <row r="157" spans="2:31" ht="14.25" customHeight="1" thickBot="1" x14ac:dyDescent="0.2">
      <c r="B157" s="4"/>
      <c r="C157" s="74"/>
      <c r="D157" s="4"/>
      <c r="E157" s="4"/>
      <c r="F157" s="4"/>
      <c r="G157" s="4"/>
      <c r="H157" s="58" t="s">
        <v>313</v>
      </c>
      <c r="I157" s="27" t="b">
        <f>IF(AND(入力シート!I164="✓",$C$116=TRUE),TRUE,FALSE)</f>
        <v>0</v>
      </c>
      <c r="J157" s="58"/>
      <c r="K157" s="66" t="s">
        <v>310</v>
      </c>
      <c r="L157" s="58"/>
      <c r="M157" s="58"/>
      <c r="N157" s="58"/>
      <c r="O157" s="58"/>
      <c r="P157" s="58"/>
      <c r="Q157" s="58"/>
      <c r="R157" s="58"/>
      <c r="S157" s="73"/>
      <c r="T157" s="58"/>
      <c r="U157" s="58"/>
      <c r="V157" s="58"/>
      <c r="W157" s="58"/>
      <c r="X157" s="58"/>
      <c r="Y157" s="58"/>
      <c r="Z157" s="22"/>
      <c r="AA157" s="22"/>
      <c r="AB157" s="22"/>
      <c r="AC157" s="22"/>
      <c r="AD157" s="22"/>
      <c r="AE157" s="22"/>
    </row>
    <row r="158" spans="2:31" ht="5.0999999999999996" customHeight="1" thickBot="1" x14ac:dyDescent="0.2">
      <c r="B158" s="4"/>
      <c r="C158" s="56"/>
      <c r="D158" s="72"/>
      <c r="E158" s="4"/>
      <c r="F158" s="4"/>
      <c r="G158" s="4"/>
      <c r="H158" s="4"/>
      <c r="I158" s="4"/>
      <c r="J158" s="4"/>
      <c r="K158" s="4"/>
      <c r="L158" s="4"/>
      <c r="M158" s="4"/>
      <c r="N158" s="4"/>
      <c r="O158" s="4"/>
      <c r="P158" s="4"/>
      <c r="Q158" s="4"/>
      <c r="R158" s="4"/>
      <c r="S158" s="57"/>
      <c r="T158" s="4"/>
      <c r="U158" s="4"/>
      <c r="V158" s="4"/>
      <c r="W158" s="4"/>
      <c r="X158" s="4"/>
      <c r="Y158" s="4"/>
    </row>
    <row r="159" spans="2:31" ht="14.25" customHeight="1" thickBot="1" x14ac:dyDescent="0.2">
      <c r="B159" s="4"/>
      <c r="C159" s="74"/>
      <c r="D159" s="4"/>
      <c r="E159" s="4"/>
      <c r="F159" s="4"/>
      <c r="G159" s="4"/>
      <c r="H159" s="58" t="s">
        <v>314</v>
      </c>
      <c r="I159" s="27" t="b">
        <f>IF(AND(入力シート!I166="✓",$C$116=TRUE),TRUE,FALSE)</f>
        <v>0</v>
      </c>
      <c r="J159" s="58"/>
      <c r="K159" s="4" t="s">
        <v>311</v>
      </c>
      <c r="L159" s="58"/>
      <c r="M159" s="58"/>
      <c r="N159" s="58"/>
      <c r="O159" s="58"/>
      <c r="P159" s="58"/>
      <c r="Q159" s="58"/>
      <c r="R159" s="58"/>
      <c r="S159" s="73"/>
      <c r="T159" s="58"/>
      <c r="U159" s="58"/>
      <c r="V159" s="58"/>
      <c r="W159" s="58"/>
      <c r="X159" s="58"/>
      <c r="Y159" s="58"/>
      <c r="Z159" s="22"/>
      <c r="AA159" s="22"/>
      <c r="AB159" s="22"/>
      <c r="AC159" s="22"/>
      <c r="AD159" s="22"/>
      <c r="AE159" s="22"/>
    </row>
    <row r="160" spans="2:31" ht="5.0999999999999996" customHeight="1" x14ac:dyDescent="0.15">
      <c r="B160" s="4"/>
      <c r="C160" s="59"/>
      <c r="D160" s="75"/>
      <c r="E160" s="60"/>
      <c r="F160" s="60"/>
      <c r="G160" s="60"/>
      <c r="H160" s="60"/>
      <c r="I160" s="60"/>
      <c r="J160" s="60"/>
      <c r="K160" s="60"/>
      <c r="L160" s="60"/>
      <c r="M160" s="60"/>
      <c r="N160" s="60"/>
      <c r="O160" s="60"/>
      <c r="P160" s="60"/>
      <c r="Q160" s="60"/>
      <c r="R160" s="60"/>
      <c r="S160" s="61"/>
      <c r="T160" s="4"/>
      <c r="U160" s="4"/>
      <c r="V160" s="4"/>
      <c r="W160" s="4"/>
      <c r="X160" s="4"/>
      <c r="Y160" s="4"/>
    </row>
    <row r="161" spans="2:31" ht="14.25" customHeight="1" x14ac:dyDescent="0.15">
      <c r="B161" s="4"/>
      <c r="C161" s="19"/>
      <c r="D161" s="4"/>
      <c r="E161" s="4"/>
      <c r="F161" s="4"/>
      <c r="G161" s="58"/>
      <c r="H161" s="58"/>
      <c r="I161" s="58"/>
      <c r="J161" s="58"/>
      <c r="K161" s="58"/>
      <c r="L161" s="58"/>
      <c r="M161" s="4"/>
      <c r="N161" s="58"/>
      <c r="O161" s="58"/>
      <c r="P161" s="58"/>
      <c r="Q161" s="58"/>
      <c r="R161" s="58"/>
      <c r="S161" s="58"/>
      <c r="T161" s="58"/>
      <c r="U161" s="58"/>
      <c r="V161" s="58"/>
      <c r="W161" s="58"/>
      <c r="X161" s="58"/>
      <c r="Y161" s="58"/>
      <c r="Z161" s="22"/>
      <c r="AA161" s="22"/>
      <c r="AB161" s="22"/>
      <c r="AC161" s="22"/>
      <c r="AD161" s="22"/>
      <c r="AE161" s="22"/>
    </row>
    <row r="162" spans="2:31" ht="19.5" customHeight="1" x14ac:dyDescent="0.15">
      <c r="B162" s="4"/>
      <c r="C162" s="53" t="s">
        <v>283</v>
      </c>
      <c r="D162" s="54"/>
      <c r="E162" s="54"/>
      <c r="F162" s="54"/>
      <c r="G162" s="54"/>
      <c r="H162" s="54"/>
      <c r="I162" s="54"/>
      <c r="J162" s="54"/>
      <c r="K162" s="54"/>
      <c r="L162" s="54"/>
      <c r="M162" s="54"/>
      <c r="N162" s="54"/>
      <c r="O162" s="54"/>
      <c r="P162" s="54"/>
      <c r="Q162" s="54"/>
      <c r="R162" s="54"/>
      <c r="S162" s="55"/>
      <c r="T162" s="4"/>
      <c r="U162" s="4"/>
      <c r="V162" s="4"/>
      <c r="W162" s="4"/>
      <c r="X162" s="4"/>
      <c r="Y162" s="4"/>
    </row>
    <row r="163" spans="2:31" ht="5.0999999999999996" customHeight="1" x14ac:dyDescent="0.15">
      <c r="B163" s="4"/>
      <c r="C163" s="56"/>
      <c r="D163" s="72"/>
      <c r="E163" s="4"/>
      <c r="F163" s="4"/>
      <c r="G163" s="4"/>
      <c r="H163" s="4"/>
      <c r="I163" s="4"/>
      <c r="J163" s="4"/>
      <c r="K163" s="4"/>
      <c r="L163" s="4"/>
      <c r="M163" s="4"/>
      <c r="N163" s="4"/>
      <c r="O163" s="4"/>
      <c r="P163" s="4"/>
      <c r="Q163" s="4"/>
      <c r="R163" s="4"/>
      <c r="S163" s="57"/>
      <c r="T163" s="4"/>
      <c r="U163" s="4"/>
      <c r="V163" s="4"/>
      <c r="W163" s="4"/>
      <c r="X163" s="4"/>
      <c r="Y163" s="4"/>
    </row>
    <row r="164" spans="2:31" x14ac:dyDescent="0.15">
      <c r="B164" s="4"/>
      <c r="C164" s="56"/>
      <c r="D164" s="4" t="s">
        <v>328</v>
      </c>
      <c r="E164" s="4"/>
      <c r="F164" s="4"/>
      <c r="G164" s="4"/>
      <c r="H164" s="4"/>
      <c r="I164" s="4"/>
      <c r="J164" s="4"/>
      <c r="K164" s="4"/>
      <c r="L164" s="4"/>
      <c r="M164" s="4"/>
      <c r="N164" s="4"/>
      <c r="O164" s="4"/>
      <c r="P164" s="4"/>
      <c r="Q164" s="4"/>
      <c r="R164" s="4"/>
      <c r="S164" s="57"/>
      <c r="T164" s="4"/>
      <c r="U164" s="4"/>
      <c r="V164" s="4"/>
      <c r="W164" s="4"/>
      <c r="X164" s="4"/>
      <c r="Y164" s="4"/>
    </row>
    <row r="165" spans="2:31" ht="5.0999999999999996" customHeight="1" thickBot="1" x14ac:dyDescent="0.2">
      <c r="B165" s="4"/>
      <c r="C165" s="56"/>
      <c r="D165" s="70"/>
      <c r="E165" s="4"/>
      <c r="F165" s="4"/>
      <c r="G165" s="4"/>
      <c r="H165" s="4"/>
      <c r="I165" s="4"/>
      <c r="J165" s="4"/>
      <c r="K165" s="4"/>
      <c r="L165" s="4"/>
      <c r="M165" s="4"/>
      <c r="N165" s="4"/>
      <c r="O165" s="4"/>
      <c r="P165" s="4"/>
      <c r="Q165" s="4"/>
      <c r="R165" s="4"/>
      <c r="S165" s="57"/>
      <c r="T165" s="4"/>
      <c r="U165" s="4"/>
      <c r="V165" s="4"/>
      <c r="W165" s="4"/>
      <c r="X165" s="4"/>
      <c r="Y165" s="4"/>
    </row>
    <row r="166" spans="2:31" ht="14.25" thickBot="1" x14ac:dyDescent="0.2">
      <c r="B166" s="4"/>
      <c r="C166" s="56"/>
      <c r="D166" s="244" t="s">
        <v>322</v>
      </c>
      <c r="E166" s="244"/>
      <c r="F166" s="244"/>
      <c r="G166" s="244"/>
      <c r="H166" s="245"/>
      <c r="I166" s="27">
        <f>IF($C$120=TRUE,入力シート!I173,0)</f>
        <v>0</v>
      </c>
      <c r="J166" s="4" t="s">
        <v>319</v>
      </c>
      <c r="K166" s="4"/>
      <c r="L166" s="4"/>
      <c r="M166" s="4"/>
      <c r="N166" s="4"/>
      <c r="O166" s="4"/>
      <c r="P166" s="4"/>
      <c r="Q166" s="4"/>
      <c r="R166" s="4"/>
      <c r="S166" s="57"/>
      <c r="T166" s="4"/>
      <c r="U166" s="4"/>
      <c r="V166" s="4"/>
      <c r="W166" s="4"/>
      <c r="X166" s="4"/>
      <c r="Y166" s="4"/>
    </row>
    <row r="167" spans="2:31" ht="5.0999999999999996" customHeight="1" thickBot="1" x14ac:dyDescent="0.2">
      <c r="B167" s="4"/>
      <c r="C167" s="56"/>
      <c r="D167" s="76"/>
      <c r="E167" s="58"/>
      <c r="F167" s="58"/>
      <c r="G167" s="58"/>
      <c r="H167" s="58"/>
      <c r="I167" s="4"/>
      <c r="J167" s="4"/>
      <c r="K167" s="4"/>
      <c r="L167" s="4"/>
      <c r="M167" s="4"/>
      <c r="N167" s="4"/>
      <c r="O167" s="4"/>
      <c r="P167" s="4"/>
      <c r="Q167" s="4"/>
      <c r="R167" s="4"/>
      <c r="S167" s="57"/>
      <c r="T167" s="4"/>
      <c r="U167" s="4"/>
      <c r="V167" s="4"/>
      <c r="W167" s="4"/>
      <c r="X167" s="4"/>
      <c r="Y167" s="4"/>
    </row>
    <row r="168" spans="2:31" ht="14.25" thickBot="1" x14ac:dyDescent="0.2">
      <c r="B168" s="4"/>
      <c r="C168" s="56"/>
      <c r="D168" s="244" t="s">
        <v>323</v>
      </c>
      <c r="E168" s="244"/>
      <c r="F168" s="244"/>
      <c r="G168" s="244"/>
      <c r="H168" s="245"/>
      <c r="I168" s="27">
        <f>IF($C$122=TRUE,入力シート!I175,0)</f>
        <v>0</v>
      </c>
      <c r="J168" s="4" t="s">
        <v>319</v>
      </c>
      <c r="K168" s="4"/>
      <c r="L168" s="4"/>
      <c r="M168" s="4"/>
      <c r="N168" s="4"/>
      <c r="O168" s="4"/>
      <c r="P168" s="4"/>
      <c r="Q168" s="4"/>
      <c r="R168" s="4"/>
      <c r="S168" s="57"/>
      <c r="T168" s="4"/>
      <c r="U168" s="4"/>
      <c r="V168" s="4"/>
      <c r="W168" s="4"/>
      <c r="X168" s="4"/>
      <c r="Y168" s="4"/>
    </row>
    <row r="169" spans="2:31" ht="5.0999999999999996" customHeight="1" thickBot="1" x14ac:dyDescent="0.2">
      <c r="B169" s="4"/>
      <c r="C169" s="56"/>
      <c r="D169" s="76"/>
      <c r="E169" s="58"/>
      <c r="F169" s="58"/>
      <c r="G169" s="58"/>
      <c r="H169" s="58"/>
      <c r="I169" s="4"/>
      <c r="J169" s="4"/>
      <c r="K169" s="4"/>
      <c r="L169" s="4"/>
      <c r="M169" s="4"/>
      <c r="N169" s="4"/>
      <c r="O169" s="4"/>
      <c r="P169" s="4"/>
      <c r="Q169" s="4"/>
      <c r="R169" s="4"/>
      <c r="S169" s="57"/>
      <c r="T169" s="4"/>
      <c r="U169" s="4"/>
      <c r="V169" s="4"/>
      <c r="W169" s="4"/>
      <c r="X169" s="4"/>
      <c r="Y169" s="4"/>
    </row>
    <row r="170" spans="2:31" ht="14.25" thickBot="1" x14ac:dyDescent="0.2">
      <c r="B170" s="4"/>
      <c r="C170" s="56"/>
      <c r="D170" s="244" t="s">
        <v>334</v>
      </c>
      <c r="E170" s="244"/>
      <c r="F170" s="244"/>
      <c r="G170" s="244"/>
      <c r="H170" s="245"/>
      <c r="I170" s="27">
        <f>IF($C$124=TRUE,入力シート!I177,0)</f>
        <v>0</v>
      </c>
      <c r="J170" s="4" t="s">
        <v>319</v>
      </c>
      <c r="K170" s="4"/>
      <c r="L170" s="4"/>
      <c r="M170" s="4"/>
      <c r="N170" s="4"/>
      <c r="O170" s="4"/>
      <c r="P170" s="4"/>
      <c r="Q170" s="4"/>
      <c r="R170" s="4"/>
      <c r="S170" s="57"/>
      <c r="T170" s="4"/>
      <c r="U170" s="4"/>
      <c r="V170" s="4"/>
      <c r="W170" s="4"/>
      <c r="X170" s="4"/>
      <c r="Y170" s="4"/>
    </row>
    <row r="171" spans="2:31" ht="5.0999999999999996" customHeight="1" thickBot="1" x14ac:dyDescent="0.2">
      <c r="B171" s="4"/>
      <c r="C171" s="56"/>
      <c r="D171" s="76"/>
      <c r="E171" s="58"/>
      <c r="F171" s="58"/>
      <c r="G171" s="58"/>
      <c r="H171" s="58"/>
      <c r="I171" s="4"/>
      <c r="J171" s="4"/>
      <c r="K171" s="4"/>
      <c r="L171" s="4"/>
      <c r="M171" s="4"/>
      <c r="N171" s="4"/>
      <c r="O171" s="4"/>
      <c r="P171" s="4"/>
      <c r="Q171" s="4"/>
      <c r="R171" s="4"/>
      <c r="S171" s="57"/>
      <c r="T171" s="4"/>
      <c r="U171" s="4"/>
      <c r="V171" s="4"/>
      <c r="W171" s="4"/>
      <c r="X171" s="4"/>
      <c r="Y171" s="4"/>
    </row>
    <row r="172" spans="2:31" ht="14.25" thickBot="1" x14ac:dyDescent="0.2">
      <c r="B172" s="4"/>
      <c r="C172" s="56"/>
      <c r="D172" s="244" t="s">
        <v>335</v>
      </c>
      <c r="E172" s="244"/>
      <c r="F172" s="244"/>
      <c r="G172" s="244"/>
      <c r="H172" s="245"/>
      <c r="I172" s="27">
        <f>IF($C$126=TRUE,入力シート!I179,0)</f>
        <v>0</v>
      </c>
      <c r="J172" s="4" t="s">
        <v>319</v>
      </c>
      <c r="K172" s="4"/>
      <c r="L172" s="4"/>
      <c r="M172" s="4"/>
      <c r="N172" s="4"/>
      <c r="O172" s="4"/>
      <c r="P172" s="4"/>
      <c r="Q172" s="4"/>
      <c r="R172" s="4"/>
      <c r="S172" s="57"/>
      <c r="T172" s="4"/>
      <c r="U172" s="4"/>
      <c r="V172" s="4"/>
      <c r="W172" s="4"/>
      <c r="X172" s="4"/>
      <c r="Y172" s="4"/>
    </row>
    <row r="173" spans="2:31" ht="5.0999999999999996" customHeight="1" thickBot="1" x14ac:dyDescent="0.2">
      <c r="B173" s="4"/>
      <c r="C173" s="56"/>
      <c r="D173" s="76"/>
      <c r="E173" s="58"/>
      <c r="F173" s="58"/>
      <c r="G173" s="58"/>
      <c r="H173" s="58"/>
      <c r="I173" s="4"/>
      <c r="J173" s="4"/>
      <c r="K173" s="4"/>
      <c r="L173" s="4"/>
      <c r="M173" s="4"/>
      <c r="N173" s="4"/>
      <c r="O173" s="4"/>
      <c r="P173" s="4"/>
      <c r="Q173" s="4"/>
      <c r="R173" s="4"/>
      <c r="S173" s="57"/>
      <c r="T173" s="4"/>
      <c r="U173" s="4"/>
      <c r="V173" s="4"/>
      <c r="W173" s="4"/>
      <c r="X173" s="4"/>
      <c r="Y173" s="4"/>
    </row>
    <row r="174" spans="2:31" ht="14.25" thickBot="1" x14ac:dyDescent="0.2">
      <c r="B174" s="4"/>
      <c r="C174" s="56"/>
      <c r="D174" s="244" t="s">
        <v>324</v>
      </c>
      <c r="E174" s="244"/>
      <c r="F174" s="244"/>
      <c r="G174" s="244"/>
      <c r="H174" s="245"/>
      <c r="I174" s="27">
        <f>IF($C$128=TRUE,入力シート!I181,0)</f>
        <v>0</v>
      </c>
      <c r="J174" s="4" t="s">
        <v>319</v>
      </c>
      <c r="K174" s="4"/>
      <c r="L174" s="4"/>
      <c r="M174" s="4"/>
      <c r="N174" s="4"/>
      <c r="O174" s="4"/>
      <c r="P174" s="4"/>
      <c r="Q174" s="4"/>
      <c r="R174" s="4"/>
      <c r="S174" s="57"/>
      <c r="T174" s="4"/>
      <c r="U174" s="4"/>
      <c r="V174" s="4"/>
      <c r="W174" s="4"/>
      <c r="X174" s="4"/>
      <c r="Y174" s="4"/>
    </row>
    <row r="175" spans="2:31" ht="5.0999999999999996" customHeight="1" thickBot="1" x14ac:dyDescent="0.2">
      <c r="B175" s="4"/>
      <c r="C175" s="56"/>
      <c r="D175" s="72"/>
      <c r="E175" s="4"/>
      <c r="F175" s="4"/>
      <c r="G175" s="4"/>
      <c r="H175" s="4"/>
      <c r="I175" s="4"/>
      <c r="J175" s="4"/>
      <c r="K175" s="4"/>
      <c r="L175" s="4"/>
      <c r="M175" s="4"/>
      <c r="N175" s="4"/>
      <c r="O175" s="4"/>
      <c r="P175" s="4"/>
      <c r="Q175" s="4"/>
      <c r="R175" s="4"/>
      <c r="S175" s="57"/>
      <c r="T175" s="4"/>
      <c r="U175" s="4"/>
      <c r="V175" s="4"/>
      <c r="W175" s="4"/>
      <c r="X175" s="4"/>
      <c r="Y175" s="4"/>
    </row>
    <row r="176" spans="2:31" ht="14.25" thickBot="1" x14ac:dyDescent="0.2">
      <c r="B176" s="4"/>
      <c r="C176" s="56"/>
      <c r="D176" s="244" t="s">
        <v>336</v>
      </c>
      <c r="E176" s="244"/>
      <c r="F176" s="244"/>
      <c r="G176" s="244"/>
      <c r="H176" s="245"/>
      <c r="I176" s="62">
        <f>IF(C120=TRUE,I166,0)+IF(C122=TRUE,I168,0)+IF(C124=TRUE,I170,0)+IF(C126=TRUE,I172,0)+IF(C128=TRUE,I174,0)</f>
        <v>0</v>
      </c>
      <c r="J176" s="4" t="s">
        <v>318</v>
      </c>
      <c r="K176" s="4"/>
      <c r="L176" s="4"/>
      <c r="M176" s="4"/>
      <c r="N176" s="4"/>
      <c r="O176" s="4"/>
      <c r="P176" s="4"/>
      <c r="Q176" s="4"/>
      <c r="R176" s="4"/>
      <c r="S176" s="57"/>
      <c r="T176" s="4"/>
      <c r="U176" s="4"/>
      <c r="V176" s="4"/>
      <c r="W176" s="4"/>
      <c r="X176" s="4"/>
      <c r="Y176" s="4"/>
    </row>
    <row r="177" spans="2:25" x14ac:dyDescent="0.15">
      <c r="B177" s="4"/>
      <c r="C177" s="56"/>
      <c r="D177" s="4"/>
      <c r="E177" s="4"/>
      <c r="F177" s="4"/>
      <c r="G177" s="4"/>
      <c r="H177" s="4"/>
      <c r="I177" s="4"/>
      <c r="J177" s="4"/>
      <c r="K177" s="4"/>
      <c r="L177" s="4"/>
      <c r="M177" s="4"/>
      <c r="N177" s="4"/>
      <c r="O177" s="4"/>
      <c r="P177" s="4"/>
      <c r="Q177" s="4"/>
      <c r="R177" s="4"/>
      <c r="S177" s="57"/>
      <c r="T177" s="4"/>
      <c r="U177" s="4"/>
      <c r="V177" s="4"/>
      <c r="W177" s="4"/>
      <c r="X177" s="4"/>
      <c r="Y177" s="4"/>
    </row>
    <row r="178" spans="2:25" x14ac:dyDescent="0.15">
      <c r="B178" s="4"/>
      <c r="C178" s="56"/>
      <c r="D178" s="111" t="s">
        <v>329</v>
      </c>
      <c r="E178" s="111"/>
      <c r="F178" s="4"/>
      <c r="G178" s="4"/>
      <c r="H178" s="4"/>
      <c r="I178" s="4"/>
      <c r="J178" s="4"/>
      <c r="K178" s="4"/>
      <c r="L178" s="4"/>
      <c r="M178" s="4"/>
      <c r="N178" s="4"/>
      <c r="O178" s="4"/>
      <c r="P178" s="4"/>
      <c r="Q178" s="4"/>
      <c r="R178" s="4"/>
      <c r="S178" s="57"/>
      <c r="T178" s="4"/>
      <c r="U178" s="4"/>
      <c r="V178" s="4"/>
      <c r="W178" s="4"/>
      <c r="X178" s="4"/>
      <c r="Y178" s="4"/>
    </row>
    <row r="179" spans="2:25" ht="5.0999999999999996" customHeight="1" thickBot="1" x14ac:dyDescent="0.2">
      <c r="B179" s="4"/>
      <c r="C179" s="56"/>
      <c r="D179" s="72"/>
      <c r="E179" s="4"/>
      <c r="F179" s="4"/>
      <c r="G179" s="4"/>
      <c r="H179" s="4"/>
      <c r="I179" s="4"/>
      <c r="J179" s="4"/>
      <c r="K179" s="4"/>
      <c r="L179" s="4"/>
      <c r="M179" s="4"/>
      <c r="N179" s="4"/>
      <c r="O179" s="4"/>
      <c r="P179" s="4"/>
      <c r="Q179" s="4"/>
      <c r="R179" s="4"/>
      <c r="S179" s="57"/>
      <c r="T179" s="4"/>
      <c r="U179" s="4"/>
      <c r="V179" s="4"/>
      <c r="W179" s="4"/>
      <c r="X179" s="4"/>
      <c r="Y179" s="4"/>
    </row>
    <row r="180" spans="2:25" ht="14.25" thickBot="1" x14ac:dyDescent="0.2">
      <c r="B180" s="4"/>
      <c r="C180" s="56"/>
      <c r="D180" s="4"/>
      <c r="E180" s="4"/>
      <c r="F180" s="4"/>
      <c r="G180" s="112"/>
      <c r="H180" s="58"/>
      <c r="I180" s="111" t="s">
        <v>320</v>
      </c>
      <c r="J180" s="4"/>
      <c r="K180" s="4"/>
      <c r="L180" s="4"/>
      <c r="M180" s="4"/>
      <c r="N180" s="4"/>
      <c r="O180" s="4"/>
      <c r="P180" s="4"/>
      <c r="Q180" s="4"/>
      <c r="R180" s="4"/>
      <c r="S180" s="57"/>
      <c r="T180" s="4"/>
      <c r="U180" s="4"/>
      <c r="V180" s="4"/>
      <c r="W180" s="4"/>
      <c r="X180" s="4"/>
      <c r="Y180" s="4"/>
    </row>
    <row r="181" spans="2:25" x14ac:dyDescent="0.15">
      <c r="B181" s="4"/>
      <c r="C181" s="56"/>
      <c r="D181" s="4"/>
      <c r="E181" s="4"/>
      <c r="F181" s="4"/>
      <c r="G181" s="4"/>
      <c r="H181" s="4"/>
      <c r="I181" s="4"/>
      <c r="J181" s="4"/>
      <c r="K181" s="4"/>
      <c r="L181" s="4"/>
      <c r="M181" s="4"/>
      <c r="N181" s="4"/>
      <c r="O181" s="4"/>
      <c r="P181" s="4"/>
      <c r="Q181" s="4"/>
      <c r="R181" s="4"/>
      <c r="S181" s="57"/>
      <c r="T181" s="4"/>
      <c r="U181" s="4"/>
      <c r="V181" s="4"/>
      <c r="W181" s="4"/>
      <c r="X181" s="4"/>
      <c r="Y181" s="4"/>
    </row>
    <row r="182" spans="2:25" x14ac:dyDescent="0.15">
      <c r="B182" s="4"/>
      <c r="C182" s="56"/>
      <c r="D182" s="4" t="s">
        <v>332</v>
      </c>
      <c r="E182" s="4"/>
      <c r="F182" s="4"/>
      <c r="G182" s="4"/>
      <c r="H182" s="4"/>
      <c r="I182" s="4"/>
      <c r="J182" s="4"/>
      <c r="K182" s="4"/>
      <c r="L182" s="4"/>
      <c r="M182" s="4"/>
      <c r="N182" s="4"/>
      <c r="O182" s="4"/>
      <c r="P182" s="4"/>
      <c r="Q182" s="4"/>
      <c r="R182" s="4"/>
      <c r="S182" s="57"/>
      <c r="T182" s="4"/>
      <c r="U182" s="4"/>
      <c r="V182" s="4"/>
      <c r="W182" s="4"/>
      <c r="X182" s="4"/>
      <c r="Y182" s="4"/>
    </row>
    <row r="183" spans="2:25" ht="5.0999999999999996" customHeight="1" thickBot="1" x14ac:dyDescent="0.2">
      <c r="B183" s="4"/>
      <c r="C183" s="56"/>
      <c r="D183" s="72"/>
      <c r="E183" s="4"/>
      <c r="F183" s="4"/>
      <c r="G183" s="4"/>
      <c r="H183" s="4"/>
      <c r="I183" s="4"/>
      <c r="J183" s="4"/>
      <c r="K183" s="4"/>
      <c r="L183" s="4"/>
      <c r="M183" s="4"/>
      <c r="N183" s="4"/>
      <c r="O183" s="4"/>
      <c r="P183" s="4"/>
      <c r="Q183" s="4"/>
      <c r="R183" s="4"/>
      <c r="S183" s="57"/>
      <c r="T183" s="4"/>
      <c r="U183" s="4"/>
      <c r="V183" s="4"/>
      <c r="W183" s="4"/>
      <c r="X183" s="4"/>
      <c r="Y183" s="4"/>
    </row>
    <row r="184" spans="2:25" ht="14.25" thickBot="1" x14ac:dyDescent="0.2">
      <c r="B184" s="4"/>
      <c r="C184" s="56"/>
      <c r="D184" s="72"/>
      <c r="E184" s="77"/>
      <c r="F184" s="77"/>
      <c r="G184" s="77"/>
      <c r="H184" s="58" t="s">
        <v>331</v>
      </c>
      <c r="I184" s="27">
        <f>IF(AND($C$120=FALSE,$C$122=FALSE,$C$124=FALSE,$C$126=FALSE,$C$128=FALSE),0,入力シート!I187)</f>
        <v>0</v>
      </c>
      <c r="J184" s="4" t="s">
        <v>321</v>
      </c>
      <c r="K184" s="4"/>
      <c r="L184" s="4"/>
      <c r="M184" s="4"/>
      <c r="N184" s="4"/>
      <c r="O184" s="4"/>
      <c r="P184" s="4"/>
      <c r="Q184" s="4"/>
      <c r="R184" s="4"/>
      <c r="S184" s="57"/>
      <c r="T184" s="4"/>
      <c r="U184" s="4"/>
      <c r="V184" s="4"/>
      <c r="W184" s="4"/>
      <c r="X184" s="4"/>
      <c r="Y184" s="4"/>
    </row>
    <row r="185" spans="2:25" x14ac:dyDescent="0.15">
      <c r="B185" s="4"/>
      <c r="C185" s="56"/>
      <c r="D185" s="4"/>
      <c r="E185" s="4"/>
      <c r="F185" s="4"/>
      <c r="G185" s="4"/>
      <c r="H185" s="4"/>
      <c r="I185" s="4"/>
      <c r="J185" s="4"/>
      <c r="K185" s="4"/>
      <c r="L185" s="4"/>
      <c r="M185" s="4"/>
      <c r="N185" s="4"/>
      <c r="O185" s="4"/>
      <c r="P185" s="4"/>
      <c r="Q185" s="4"/>
      <c r="R185" s="4"/>
      <c r="S185" s="57"/>
      <c r="T185" s="4"/>
      <c r="U185" s="4"/>
      <c r="V185" s="4"/>
      <c r="W185" s="4"/>
      <c r="X185" s="4"/>
      <c r="Y185" s="4"/>
    </row>
    <row r="186" spans="2:25" x14ac:dyDescent="0.15">
      <c r="B186" s="4"/>
      <c r="C186" s="56"/>
      <c r="D186" s="66" t="s">
        <v>330</v>
      </c>
      <c r="E186" s="4"/>
      <c r="F186" s="4"/>
      <c r="G186" s="4"/>
      <c r="H186" s="4"/>
      <c r="I186" s="4"/>
      <c r="J186" s="4"/>
      <c r="K186" s="4"/>
      <c r="L186" s="4"/>
      <c r="M186" s="4"/>
      <c r="N186" s="4"/>
      <c r="O186" s="4"/>
      <c r="P186" s="4"/>
      <c r="Q186" s="4"/>
      <c r="R186" s="4"/>
      <c r="S186" s="57"/>
      <c r="T186" s="4"/>
      <c r="U186" s="4"/>
      <c r="V186" s="4"/>
      <c r="W186" s="4"/>
      <c r="X186" s="4"/>
      <c r="Y186" s="4"/>
    </row>
    <row r="187" spans="2:25" ht="5.0999999999999996" customHeight="1" thickBot="1" x14ac:dyDescent="0.2">
      <c r="B187" s="4"/>
      <c r="C187" s="56"/>
      <c r="D187" s="72"/>
      <c r="E187" s="4"/>
      <c r="F187" s="4"/>
      <c r="G187" s="4"/>
      <c r="H187" s="4"/>
      <c r="I187" s="4"/>
      <c r="J187" s="4"/>
      <c r="K187" s="4"/>
      <c r="L187" s="4"/>
      <c r="M187" s="4"/>
      <c r="N187" s="4"/>
      <c r="O187" s="4"/>
      <c r="P187" s="4"/>
      <c r="Q187" s="4"/>
      <c r="R187" s="4"/>
      <c r="S187" s="57"/>
      <c r="T187" s="4"/>
      <c r="U187" s="4"/>
      <c r="V187" s="4"/>
      <c r="W187" s="4"/>
      <c r="X187" s="4"/>
      <c r="Y187" s="4"/>
    </row>
    <row r="188" spans="2:25" ht="14.25" thickBot="1" x14ac:dyDescent="0.2">
      <c r="B188" s="4"/>
      <c r="C188" s="56"/>
      <c r="D188" s="4"/>
      <c r="E188" s="4"/>
      <c r="F188" s="4"/>
      <c r="G188" s="4"/>
      <c r="H188" s="58" t="s">
        <v>305</v>
      </c>
      <c r="I188" s="27">
        <f>IF(AND($C$120=FALSE,$C$122=FALSE,$C$124=FALSE,$C$126=FALSE,$C$128=FALSE),0,IF($G$180=TRUE,I143,入力シート!I191))</f>
        <v>0</v>
      </c>
      <c r="J188" s="4" t="s">
        <v>315</v>
      </c>
      <c r="K188" s="4"/>
      <c r="L188" s="4"/>
      <c r="M188" s="4"/>
      <c r="N188" s="4"/>
      <c r="O188" s="4"/>
      <c r="P188" s="4"/>
      <c r="Q188" s="4"/>
      <c r="R188" s="4"/>
      <c r="S188" s="57"/>
      <c r="T188" s="4"/>
      <c r="U188" s="4"/>
      <c r="V188" s="4"/>
      <c r="W188" s="4"/>
      <c r="X188" s="4"/>
      <c r="Y188" s="4"/>
    </row>
    <row r="189" spans="2:25" ht="5.0999999999999996" customHeight="1" thickBot="1" x14ac:dyDescent="0.2">
      <c r="B189" s="4"/>
      <c r="C189" s="56"/>
      <c r="D189" s="72"/>
      <c r="E189" s="4"/>
      <c r="F189" s="4"/>
      <c r="G189" s="4"/>
      <c r="H189" s="4"/>
      <c r="I189" s="4"/>
      <c r="J189" s="4"/>
      <c r="K189" s="4"/>
      <c r="L189" s="4"/>
      <c r="M189" s="4"/>
      <c r="N189" s="4"/>
      <c r="O189" s="4"/>
      <c r="P189" s="4"/>
      <c r="Q189" s="4"/>
      <c r="R189" s="4"/>
      <c r="S189" s="57"/>
      <c r="T189" s="4"/>
      <c r="U189" s="4"/>
      <c r="V189" s="4"/>
      <c r="W189" s="4"/>
      <c r="X189" s="4"/>
      <c r="Y189" s="4"/>
    </row>
    <row r="190" spans="2:25" ht="14.25" thickBot="1" x14ac:dyDescent="0.2">
      <c r="B190" s="4"/>
      <c r="C190" s="56"/>
      <c r="D190" s="4"/>
      <c r="E190" s="4"/>
      <c r="F190" s="4"/>
      <c r="G190" s="4"/>
      <c r="H190" s="58" t="s">
        <v>306</v>
      </c>
      <c r="I190" s="27">
        <f>IF(AND($C$120=FALSE,$C$122=FALSE,$C$124=FALSE,$C$126=FALSE,$C$128=FALSE),0,IF($G$180=TRUE,I145,入力シート!I193))</f>
        <v>0</v>
      </c>
      <c r="J190" s="4" t="s">
        <v>315</v>
      </c>
      <c r="K190" s="4"/>
      <c r="L190" s="4"/>
      <c r="M190" s="4"/>
      <c r="N190" s="4"/>
      <c r="O190" s="4"/>
      <c r="P190" s="4"/>
      <c r="Q190" s="4"/>
      <c r="R190" s="4"/>
      <c r="S190" s="57"/>
      <c r="T190" s="4"/>
      <c r="U190" s="4"/>
      <c r="V190" s="4"/>
      <c r="W190" s="4"/>
      <c r="X190" s="4"/>
      <c r="Y190" s="4"/>
    </row>
    <row r="191" spans="2:25" ht="5.0999999999999996" customHeight="1" thickBot="1" x14ac:dyDescent="0.2">
      <c r="B191" s="4"/>
      <c r="C191" s="56"/>
      <c r="D191" s="72"/>
      <c r="E191" s="4"/>
      <c r="F191" s="4"/>
      <c r="G191" s="4"/>
      <c r="H191" s="4"/>
      <c r="I191" s="4"/>
      <c r="J191" s="4"/>
      <c r="K191" s="4"/>
      <c r="L191" s="4"/>
      <c r="M191" s="4"/>
      <c r="N191" s="4"/>
      <c r="O191" s="4"/>
      <c r="P191" s="4"/>
      <c r="Q191" s="4"/>
      <c r="R191" s="4"/>
      <c r="S191" s="57"/>
      <c r="T191" s="4"/>
      <c r="U191" s="4"/>
      <c r="V191" s="4"/>
      <c r="W191" s="4"/>
      <c r="X191" s="4"/>
      <c r="Y191" s="4"/>
    </row>
    <row r="192" spans="2:25" ht="14.25" thickBot="1" x14ac:dyDescent="0.2">
      <c r="B192" s="4"/>
      <c r="C192" s="56"/>
      <c r="D192" s="4"/>
      <c r="E192" s="4"/>
      <c r="F192" s="4"/>
      <c r="G192" s="4"/>
      <c r="H192" s="58" t="s">
        <v>307</v>
      </c>
      <c r="I192" s="62">
        <f>IF(AND($C$120=FALSE,$C$122=FALSE,$C$124=FALSE,$C$126=FALSE,$C$128=FALSE),0,I188+I190)</f>
        <v>0</v>
      </c>
      <c r="J192" s="4" t="s">
        <v>316</v>
      </c>
      <c r="K192" s="4"/>
      <c r="L192" s="4"/>
      <c r="M192" s="4"/>
      <c r="N192" s="4"/>
      <c r="O192" s="4"/>
      <c r="P192" s="4"/>
      <c r="Q192" s="4"/>
      <c r="R192" s="4"/>
      <c r="S192" s="57"/>
      <c r="T192" s="4"/>
      <c r="U192" s="4"/>
      <c r="V192" s="4"/>
      <c r="W192" s="4"/>
      <c r="X192" s="4"/>
      <c r="Y192" s="4"/>
    </row>
    <row r="193" spans="2:25" x14ac:dyDescent="0.15">
      <c r="B193" s="4"/>
      <c r="C193" s="56"/>
      <c r="D193" s="4"/>
      <c r="E193" s="4"/>
      <c r="F193" s="4"/>
      <c r="G193" s="4"/>
      <c r="H193" s="4"/>
      <c r="I193" s="4"/>
      <c r="J193" s="4"/>
      <c r="K193" s="4"/>
      <c r="L193" s="4"/>
      <c r="M193" s="4"/>
      <c r="N193" s="4"/>
      <c r="O193" s="4"/>
      <c r="P193" s="4"/>
      <c r="Q193" s="4"/>
      <c r="R193" s="4"/>
      <c r="S193" s="57"/>
      <c r="T193" s="4"/>
      <c r="U193" s="4"/>
      <c r="V193" s="4"/>
      <c r="W193" s="4"/>
      <c r="X193" s="4"/>
      <c r="Y193" s="4"/>
    </row>
    <row r="194" spans="2:25" x14ac:dyDescent="0.15">
      <c r="B194" s="4"/>
      <c r="C194" s="56"/>
      <c r="D194" s="66" t="s">
        <v>333</v>
      </c>
      <c r="E194" s="4"/>
      <c r="F194" s="4"/>
      <c r="G194" s="4"/>
      <c r="H194" s="4"/>
      <c r="I194" s="4"/>
      <c r="J194" s="4"/>
      <c r="K194" s="4"/>
      <c r="L194" s="4"/>
      <c r="M194" s="4"/>
      <c r="N194" s="4"/>
      <c r="O194" s="4"/>
      <c r="P194" s="4"/>
      <c r="Q194" s="4"/>
      <c r="R194" s="4"/>
      <c r="S194" s="57"/>
      <c r="T194" s="4"/>
      <c r="U194" s="4"/>
      <c r="V194" s="4"/>
      <c r="W194" s="4"/>
      <c r="X194" s="4"/>
      <c r="Y194" s="4"/>
    </row>
    <row r="195" spans="2:25" ht="5.0999999999999996" customHeight="1" thickBot="1" x14ac:dyDescent="0.2">
      <c r="B195" s="4"/>
      <c r="C195" s="56"/>
      <c r="D195" s="72"/>
      <c r="E195" s="4"/>
      <c r="F195" s="4"/>
      <c r="G195" s="4"/>
      <c r="H195" s="4"/>
      <c r="I195" s="4"/>
      <c r="J195" s="4"/>
      <c r="K195" s="4"/>
      <c r="L195" s="4"/>
      <c r="M195" s="4"/>
      <c r="N195" s="4"/>
      <c r="O195" s="4"/>
      <c r="P195" s="4"/>
      <c r="Q195" s="4"/>
      <c r="R195" s="4"/>
      <c r="S195" s="57"/>
      <c r="T195" s="4"/>
      <c r="U195" s="4"/>
      <c r="V195" s="4"/>
      <c r="W195" s="4"/>
      <c r="X195" s="4"/>
      <c r="Y195" s="4"/>
    </row>
    <row r="196" spans="2:25" ht="14.25" thickBot="1" x14ac:dyDescent="0.2">
      <c r="B196" s="4"/>
      <c r="C196" s="56"/>
      <c r="D196" s="4"/>
      <c r="E196" s="4"/>
      <c r="F196" s="4"/>
      <c r="G196" s="4"/>
      <c r="H196" s="58" t="s">
        <v>308</v>
      </c>
      <c r="I196" s="27">
        <f>IF(AND($C$120=FALSE,$C$122=FALSE,$C$124=FALSE,$C$126=FALSE,$C$128=FALSE),0,IF($G$180=TRUE,I152,入力シート!I199))</f>
        <v>0</v>
      </c>
      <c r="J196" s="4" t="s">
        <v>315</v>
      </c>
      <c r="K196" s="4"/>
      <c r="L196" s="4"/>
      <c r="M196" s="4"/>
      <c r="N196" s="4"/>
      <c r="O196" s="4"/>
      <c r="P196" s="4"/>
      <c r="Q196" s="4"/>
      <c r="R196" s="4"/>
      <c r="S196" s="57"/>
      <c r="T196" s="4"/>
      <c r="U196" s="4"/>
      <c r="V196" s="4"/>
      <c r="W196" s="4"/>
      <c r="X196" s="4"/>
      <c r="Y196" s="4"/>
    </row>
    <row r="197" spans="2:25" ht="5.0999999999999996" customHeight="1" x14ac:dyDescent="0.15">
      <c r="B197" s="4"/>
      <c r="C197" s="59"/>
      <c r="D197" s="75"/>
      <c r="E197" s="60"/>
      <c r="F197" s="60"/>
      <c r="G197" s="60"/>
      <c r="H197" s="60"/>
      <c r="I197" s="60"/>
      <c r="J197" s="60"/>
      <c r="K197" s="60"/>
      <c r="L197" s="60"/>
      <c r="M197" s="60"/>
      <c r="N197" s="60"/>
      <c r="O197" s="60"/>
      <c r="P197" s="60"/>
      <c r="Q197" s="60"/>
      <c r="R197" s="60"/>
      <c r="S197" s="61"/>
      <c r="T197" s="4"/>
      <c r="U197" s="4"/>
      <c r="V197" s="4"/>
      <c r="W197" s="4"/>
      <c r="X197" s="4"/>
      <c r="Y197" s="4"/>
    </row>
    <row r="198" spans="2:25" x14ac:dyDescent="0.15">
      <c r="B198" s="4"/>
      <c r="C198" s="4"/>
      <c r="D198" s="4"/>
      <c r="E198" s="4"/>
      <c r="F198" s="4"/>
      <c r="G198" s="4"/>
      <c r="H198" s="4"/>
      <c r="I198" s="4"/>
      <c r="J198" s="4"/>
      <c r="K198" s="4"/>
      <c r="L198" s="4"/>
      <c r="M198" s="4"/>
      <c r="N198" s="4"/>
      <c r="O198" s="4"/>
      <c r="P198" s="4"/>
      <c r="Q198" s="4"/>
      <c r="R198" s="4"/>
      <c r="S198" s="4"/>
      <c r="T198" s="4"/>
      <c r="U198" s="4"/>
      <c r="V198" s="4"/>
      <c r="W198" s="4"/>
      <c r="X198" s="4"/>
      <c r="Y198" s="4"/>
    </row>
    <row r="199" spans="2:25" ht="19.5" customHeight="1" x14ac:dyDescent="0.15">
      <c r="B199" s="4"/>
      <c r="C199" s="53" t="s">
        <v>38</v>
      </c>
      <c r="D199" s="54"/>
      <c r="E199" s="54"/>
      <c r="F199" s="54"/>
      <c r="G199" s="54"/>
      <c r="H199" s="54"/>
      <c r="I199" s="54"/>
      <c r="J199" s="54"/>
      <c r="K199" s="54"/>
      <c r="L199" s="54"/>
      <c r="M199" s="54"/>
      <c r="N199" s="54"/>
      <c r="O199" s="54"/>
      <c r="P199" s="54"/>
      <c r="Q199" s="54"/>
      <c r="R199" s="54"/>
      <c r="S199" s="55"/>
      <c r="T199" s="4"/>
      <c r="U199" s="4"/>
      <c r="V199" s="4"/>
      <c r="W199" s="4"/>
      <c r="X199" s="4"/>
      <c r="Y199" s="4"/>
    </row>
    <row r="200" spans="2:25" ht="5.0999999999999996" customHeight="1" x14ac:dyDescent="0.15">
      <c r="B200" s="4"/>
      <c r="C200" s="56"/>
      <c r="D200" s="72"/>
      <c r="E200" s="4"/>
      <c r="F200" s="4"/>
      <c r="G200" s="4"/>
      <c r="H200" s="4"/>
      <c r="I200" s="4"/>
      <c r="J200" s="4"/>
      <c r="K200" s="4"/>
      <c r="L200" s="4"/>
      <c r="M200" s="4"/>
      <c r="N200" s="4"/>
      <c r="O200" s="4"/>
      <c r="P200" s="4"/>
      <c r="Q200" s="4"/>
      <c r="R200" s="4"/>
      <c r="S200" s="57"/>
      <c r="T200" s="4"/>
      <c r="U200" s="4"/>
      <c r="V200" s="4"/>
      <c r="W200" s="4"/>
      <c r="X200" s="4"/>
      <c r="Y200" s="4"/>
    </row>
    <row r="201" spans="2:25" x14ac:dyDescent="0.15">
      <c r="B201" s="4"/>
      <c r="C201" s="56"/>
      <c r="D201" s="4" t="s">
        <v>338</v>
      </c>
      <c r="E201" s="4"/>
      <c r="F201" s="4"/>
      <c r="G201" s="4"/>
      <c r="H201" s="4"/>
      <c r="I201" s="4"/>
      <c r="J201" s="4"/>
      <c r="K201" s="4"/>
      <c r="L201" s="4"/>
      <c r="M201" s="4"/>
      <c r="N201" s="4"/>
      <c r="O201" s="4"/>
      <c r="P201" s="4"/>
      <c r="Q201" s="4"/>
      <c r="R201" s="4"/>
      <c r="S201" s="57"/>
      <c r="T201" s="4"/>
      <c r="U201" s="4"/>
      <c r="V201" s="4"/>
      <c r="W201" s="4"/>
      <c r="X201" s="4"/>
      <c r="Y201" s="4"/>
    </row>
    <row r="202" spans="2:25" ht="5.0999999999999996" customHeight="1" thickBot="1" x14ac:dyDescent="0.2">
      <c r="B202" s="4"/>
      <c r="C202" s="56"/>
      <c r="D202" s="72"/>
      <c r="E202" s="4"/>
      <c r="F202" s="4"/>
      <c r="G202" s="4"/>
      <c r="H202" s="4"/>
      <c r="I202" s="4"/>
      <c r="J202" s="4"/>
      <c r="K202" s="4"/>
      <c r="L202" s="4"/>
      <c r="M202" s="4"/>
      <c r="N202" s="4"/>
      <c r="O202" s="4"/>
      <c r="P202" s="4"/>
      <c r="Q202" s="4"/>
      <c r="R202" s="4"/>
      <c r="S202" s="57"/>
      <c r="T202" s="4"/>
      <c r="U202" s="4"/>
      <c r="V202" s="4"/>
      <c r="W202" s="4"/>
      <c r="X202" s="4"/>
      <c r="Y202" s="4"/>
    </row>
    <row r="203" spans="2:25" ht="14.25" thickBot="1" x14ac:dyDescent="0.2">
      <c r="B203" s="4"/>
      <c r="C203" s="56"/>
      <c r="D203" s="4"/>
      <c r="E203" s="77"/>
      <c r="F203" s="77"/>
      <c r="G203" s="77"/>
      <c r="H203" s="78" t="s">
        <v>337</v>
      </c>
      <c r="I203" s="27">
        <f>IF($C$130=TRUE,入力シート!I206,0)</f>
        <v>0</v>
      </c>
      <c r="J203" s="4" t="s">
        <v>319</v>
      </c>
      <c r="K203" s="4"/>
      <c r="L203" s="4"/>
      <c r="M203" s="4"/>
      <c r="N203" s="4"/>
      <c r="O203" s="4"/>
      <c r="P203" s="4"/>
      <c r="Q203" s="4"/>
      <c r="R203" s="4"/>
      <c r="S203" s="57"/>
      <c r="T203" s="4"/>
      <c r="U203" s="4"/>
      <c r="V203" s="4"/>
      <c r="W203" s="4"/>
      <c r="X203" s="4"/>
      <c r="Y203" s="4"/>
    </row>
    <row r="204" spans="2:25" x14ac:dyDescent="0.15">
      <c r="B204" s="4"/>
      <c r="C204" s="56"/>
      <c r="D204" s="4"/>
      <c r="E204" s="4"/>
      <c r="F204" s="4"/>
      <c r="G204" s="4"/>
      <c r="H204" s="4"/>
      <c r="I204" s="4"/>
      <c r="J204" s="4"/>
      <c r="K204" s="4"/>
      <c r="L204" s="4"/>
      <c r="M204" s="4"/>
      <c r="N204" s="4"/>
      <c r="O204" s="4"/>
      <c r="P204" s="4"/>
      <c r="Q204" s="4"/>
      <c r="R204" s="4"/>
      <c r="S204" s="57"/>
      <c r="T204" s="4"/>
      <c r="U204" s="4"/>
      <c r="V204" s="4"/>
      <c r="W204" s="4"/>
      <c r="X204" s="4"/>
      <c r="Y204" s="4"/>
    </row>
    <row r="205" spans="2:25" x14ac:dyDescent="0.15">
      <c r="B205" s="4"/>
      <c r="C205" s="56"/>
      <c r="D205" s="111" t="s">
        <v>329</v>
      </c>
      <c r="E205" s="4"/>
      <c r="F205" s="4"/>
      <c r="G205" s="4"/>
      <c r="H205" s="4"/>
      <c r="I205" s="4"/>
      <c r="J205" s="4"/>
      <c r="K205" s="4"/>
      <c r="L205" s="4"/>
      <c r="M205" s="4"/>
      <c r="N205" s="4"/>
      <c r="O205" s="4"/>
      <c r="P205" s="4"/>
      <c r="Q205" s="4"/>
      <c r="R205" s="4"/>
      <c r="S205" s="57"/>
      <c r="T205" s="4"/>
      <c r="U205" s="4"/>
      <c r="V205" s="4"/>
      <c r="W205" s="4"/>
      <c r="X205" s="4"/>
      <c r="Y205" s="4"/>
    </row>
    <row r="206" spans="2:25" ht="5.0999999999999996" customHeight="1" thickBot="1" x14ac:dyDescent="0.2">
      <c r="B206" s="4"/>
      <c r="C206" s="56"/>
      <c r="D206" s="72"/>
      <c r="E206" s="4"/>
      <c r="F206" s="4"/>
      <c r="G206" s="4"/>
      <c r="H206" s="4"/>
      <c r="I206" s="4"/>
      <c r="J206" s="4"/>
      <c r="K206" s="4"/>
      <c r="L206" s="4"/>
      <c r="M206" s="4"/>
      <c r="N206" s="4"/>
      <c r="O206" s="4"/>
      <c r="P206" s="4"/>
      <c r="Q206" s="4"/>
      <c r="R206" s="4"/>
      <c r="S206" s="57"/>
      <c r="T206" s="4"/>
      <c r="U206" s="4"/>
      <c r="V206" s="4"/>
      <c r="W206" s="4"/>
      <c r="X206" s="4"/>
      <c r="Y206" s="4"/>
    </row>
    <row r="207" spans="2:25" ht="14.25" thickBot="1" x14ac:dyDescent="0.2">
      <c r="B207" s="4"/>
      <c r="C207" s="56"/>
      <c r="D207" s="4"/>
      <c r="E207" s="4"/>
      <c r="F207" s="4"/>
      <c r="G207" s="112"/>
      <c r="H207" s="58"/>
      <c r="I207" s="111" t="s">
        <v>320</v>
      </c>
      <c r="J207" s="4"/>
      <c r="K207" s="4"/>
      <c r="L207" s="4"/>
      <c r="M207" s="4"/>
      <c r="N207" s="4"/>
      <c r="O207" s="4"/>
      <c r="P207" s="4"/>
      <c r="Q207" s="4"/>
      <c r="R207" s="4"/>
      <c r="S207" s="57"/>
      <c r="T207" s="4"/>
      <c r="U207" s="4"/>
      <c r="V207" s="4"/>
      <c r="W207" s="4"/>
      <c r="X207" s="4"/>
      <c r="Y207" s="4"/>
    </row>
    <row r="208" spans="2:25" x14ac:dyDescent="0.15">
      <c r="B208" s="4"/>
      <c r="C208" s="56"/>
      <c r="D208" s="4"/>
      <c r="E208" s="4"/>
      <c r="F208" s="4"/>
      <c r="G208" s="4"/>
      <c r="H208" s="4"/>
      <c r="I208" s="4"/>
      <c r="J208" s="4"/>
      <c r="K208" s="4"/>
      <c r="L208" s="4"/>
      <c r="M208" s="4"/>
      <c r="N208" s="4"/>
      <c r="O208" s="4"/>
      <c r="P208" s="4"/>
      <c r="Q208" s="4"/>
      <c r="R208" s="4"/>
      <c r="S208" s="57"/>
      <c r="T208" s="4"/>
      <c r="U208" s="4"/>
      <c r="V208" s="4"/>
      <c r="W208" s="4"/>
      <c r="X208" s="4"/>
      <c r="Y208" s="4"/>
    </row>
    <row r="209" spans="2:25" x14ac:dyDescent="0.15">
      <c r="B209" s="4"/>
      <c r="C209" s="56"/>
      <c r="D209" s="4" t="s">
        <v>332</v>
      </c>
      <c r="E209" s="4"/>
      <c r="F209" s="4"/>
      <c r="G209" s="4"/>
      <c r="H209" s="4"/>
      <c r="I209" s="4"/>
      <c r="J209" s="4"/>
      <c r="K209" s="4"/>
      <c r="L209" s="4"/>
      <c r="M209" s="4"/>
      <c r="N209" s="4"/>
      <c r="O209" s="4"/>
      <c r="P209" s="4"/>
      <c r="Q209" s="4"/>
      <c r="R209" s="4"/>
      <c r="S209" s="57"/>
      <c r="T209" s="4"/>
      <c r="U209" s="4"/>
      <c r="V209" s="4"/>
      <c r="W209" s="4"/>
      <c r="X209" s="4"/>
      <c r="Y209" s="4"/>
    </row>
    <row r="210" spans="2:25" ht="5.0999999999999996" customHeight="1" thickBot="1" x14ac:dyDescent="0.2">
      <c r="B210" s="4"/>
      <c r="C210" s="56"/>
      <c r="D210" s="72"/>
      <c r="E210" s="4"/>
      <c r="F210" s="4"/>
      <c r="G210" s="4"/>
      <c r="H210" s="4"/>
      <c r="I210" s="4"/>
      <c r="J210" s="4"/>
      <c r="K210" s="4"/>
      <c r="L210" s="4"/>
      <c r="M210" s="4"/>
      <c r="N210" s="4"/>
      <c r="O210" s="4"/>
      <c r="P210" s="4"/>
      <c r="Q210" s="4"/>
      <c r="R210" s="4"/>
      <c r="S210" s="57"/>
      <c r="T210" s="4"/>
      <c r="U210" s="4"/>
      <c r="V210" s="4"/>
      <c r="W210" s="4"/>
      <c r="X210" s="4"/>
      <c r="Y210" s="4"/>
    </row>
    <row r="211" spans="2:25" ht="14.25" thickBot="1" x14ac:dyDescent="0.2">
      <c r="B211" s="4"/>
      <c r="C211" s="56"/>
      <c r="D211" s="72"/>
      <c r="E211" s="77"/>
      <c r="F211" s="77"/>
      <c r="G211" s="77"/>
      <c r="H211" s="58" t="s">
        <v>331</v>
      </c>
      <c r="I211" s="27">
        <f>IF($C$130=FALSE,0,入力シート!I210)</f>
        <v>0</v>
      </c>
      <c r="J211" s="4" t="s">
        <v>321</v>
      </c>
      <c r="K211" s="4"/>
      <c r="L211" s="4"/>
      <c r="M211" s="4"/>
      <c r="N211" s="4"/>
      <c r="O211" s="4"/>
      <c r="P211" s="4"/>
      <c r="Q211" s="4"/>
      <c r="R211" s="4"/>
      <c r="S211" s="57"/>
      <c r="T211" s="4"/>
      <c r="U211" s="4"/>
      <c r="V211" s="4"/>
      <c r="W211" s="4"/>
      <c r="X211" s="4"/>
      <c r="Y211" s="4"/>
    </row>
    <row r="212" spans="2:25" x14ac:dyDescent="0.15">
      <c r="B212" s="4"/>
      <c r="C212" s="56"/>
      <c r="D212" s="4"/>
      <c r="E212" s="4"/>
      <c r="F212" s="4"/>
      <c r="G212" s="4"/>
      <c r="H212" s="4"/>
      <c r="I212" s="4"/>
      <c r="J212" s="4"/>
      <c r="K212" s="4"/>
      <c r="L212" s="4"/>
      <c r="M212" s="4"/>
      <c r="N212" s="4"/>
      <c r="O212" s="4"/>
      <c r="P212" s="4"/>
      <c r="Q212" s="4"/>
      <c r="R212" s="4"/>
      <c r="S212" s="57"/>
      <c r="T212" s="4"/>
      <c r="U212" s="4"/>
      <c r="V212" s="4"/>
      <c r="W212" s="4"/>
      <c r="X212" s="4"/>
      <c r="Y212" s="4"/>
    </row>
    <row r="213" spans="2:25" x14ac:dyDescent="0.15">
      <c r="B213" s="4"/>
      <c r="C213" s="56"/>
      <c r="D213" s="66" t="s">
        <v>330</v>
      </c>
      <c r="E213" s="4"/>
      <c r="F213" s="4"/>
      <c r="G213" s="4"/>
      <c r="H213" s="4"/>
      <c r="I213" s="4"/>
      <c r="J213" s="4"/>
      <c r="K213" s="4"/>
      <c r="L213" s="4"/>
      <c r="M213" s="4"/>
      <c r="N213" s="4"/>
      <c r="O213" s="4"/>
      <c r="P213" s="4"/>
      <c r="Q213" s="4"/>
      <c r="R213" s="4"/>
      <c r="S213" s="57"/>
      <c r="T213" s="4"/>
      <c r="U213" s="4"/>
      <c r="V213" s="4"/>
      <c r="W213" s="4"/>
      <c r="X213" s="4"/>
      <c r="Y213" s="4"/>
    </row>
    <row r="214" spans="2:25" ht="5.0999999999999996" customHeight="1" thickBot="1" x14ac:dyDescent="0.2">
      <c r="B214" s="4"/>
      <c r="C214" s="56"/>
      <c r="D214" s="72"/>
      <c r="E214" s="4"/>
      <c r="F214" s="4"/>
      <c r="G214" s="4"/>
      <c r="H214" s="4"/>
      <c r="I214" s="4"/>
      <c r="J214" s="4"/>
      <c r="K214" s="4"/>
      <c r="L214" s="4"/>
      <c r="M214" s="4"/>
      <c r="N214" s="4"/>
      <c r="O214" s="4"/>
      <c r="P214" s="4"/>
      <c r="Q214" s="4"/>
      <c r="R214" s="4"/>
      <c r="S214" s="57"/>
      <c r="T214" s="4"/>
      <c r="U214" s="4"/>
      <c r="V214" s="4"/>
      <c r="W214" s="4"/>
      <c r="X214" s="4"/>
      <c r="Y214" s="4"/>
    </row>
    <row r="215" spans="2:25" ht="14.25" thickBot="1" x14ac:dyDescent="0.2">
      <c r="B215" s="4"/>
      <c r="C215" s="56"/>
      <c r="D215" s="4"/>
      <c r="E215" s="4"/>
      <c r="F215" s="4"/>
      <c r="G215" s="4"/>
      <c r="H215" s="58" t="s">
        <v>305</v>
      </c>
      <c r="I215" s="27">
        <f>IF($C$130=FALSE,0,入力シート!I214)</f>
        <v>0</v>
      </c>
      <c r="J215" s="4" t="s">
        <v>315</v>
      </c>
      <c r="K215" s="4"/>
      <c r="L215" s="4"/>
      <c r="M215" s="4"/>
      <c r="N215" s="4"/>
      <c r="O215" s="4"/>
      <c r="P215" s="4"/>
      <c r="Q215" s="4"/>
      <c r="R215" s="4"/>
      <c r="S215" s="57"/>
      <c r="T215" s="4"/>
      <c r="U215" s="4"/>
      <c r="V215" s="4"/>
      <c r="W215" s="4"/>
      <c r="X215" s="4"/>
      <c r="Y215" s="4"/>
    </row>
    <row r="216" spans="2:25" ht="5.0999999999999996" customHeight="1" thickBot="1" x14ac:dyDescent="0.2">
      <c r="B216" s="4"/>
      <c r="C216" s="56"/>
      <c r="D216" s="72"/>
      <c r="E216" s="4"/>
      <c r="F216" s="4"/>
      <c r="G216" s="4"/>
      <c r="H216" s="4"/>
      <c r="I216" s="4"/>
      <c r="J216" s="4"/>
      <c r="K216" s="4"/>
      <c r="L216" s="4"/>
      <c r="M216" s="4"/>
      <c r="N216" s="4"/>
      <c r="O216" s="4"/>
      <c r="P216" s="4"/>
      <c r="Q216" s="4"/>
      <c r="R216" s="4"/>
      <c r="S216" s="57"/>
      <c r="T216" s="4"/>
      <c r="U216" s="4"/>
      <c r="V216" s="4"/>
      <c r="W216" s="4"/>
      <c r="X216" s="4"/>
      <c r="Y216" s="4"/>
    </row>
    <row r="217" spans="2:25" ht="14.25" thickBot="1" x14ac:dyDescent="0.2">
      <c r="B217" s="4"/>
      <c r="C217" s="56"/>
      <c r="D217" s="4"/>
      <c r="E217" s="4"/>
      <c r="F217" s="4"/>
      <c r="G217" s="4"/>
      <c r="H217" s="58" t="s">
        <v>306</v>
      </c>
      <c r="I217" s="27">
        <f>IF($C$130=FALSE,0,入力シート!I216)</f>
        <v>0</v>
      </c>
      <c r="J217" s="4" t="s">
        <v>315</v>
      </c>
      <c r="K217" s="4"/>
      <c r="L217" s="4"/>
      <c r="M217" s="4"/>
      <c r="N217" s="4"/>
      <c r="O217" s="4"/>
      <c r="P217" s="4"/>
      <c r="Q217" s="4"/>
      <c r="R217" s="4"/>
      <c r="S217" s="57"/>
      <c r="T217" s="4"/>
      <c r="U217" s="4"/>
      <c r="V217" s="4"/>
      <c r="W217" s="4"/>
      <c r="X217" s="4"/>
      <c r="Y217" s="4"/>
    </row>
    <row r="218" spans="2:25" ht="5.0999999999999996" customHeight="1" thickBot="1" x14ac:dyDescent="0.2">
      <c r="B218" s="4"/>
      <c r="C218" s="56"/>
      <c r="D218" s="72"/>
      <c r="E218" s="4"/>
      <c r="F218" s="4"/>
      <c r="G218" s="4"/>
      <c r="H218" s="4"/>
      <c r="I218" s="4"/>
      <c r="J218" s="4"/>
      <c r="K218" s="4"/>
      <c r="L218" s="4"/>
      <c r="M218" s="4"/>
      <c r="N218" s="4"/>
      <c r="O218" s="4"/>
      <c r="P218" s="4"/>
      <c r="Q218" s="4"/>
      <c r="R218" s="4"/>
      <c r="S218" s="57"/>
      <c r="T218" s="4"/>
      <c r="U218" s="4"/>
      <c r="V218" s="4"/>
      <c r="W218" s="4"/>
      <c r="X218" s="4"/>
      <c r="Y218" s="4"/>
    </row>
    <row r="219" spans="2:25" ht="14.25" thickBot="1" x14ac:dyDescent="0.2">
      <c r="B219" s="4"/>
      <c r="C219" s="56"/>
      <c r="D219" s="4"/>
      <c r="E219" s="4"/>
      <c r="F219" s="4"/>
      <c r="G219" s="4"/>
      <c r="H219" s="58" t="s">
        <v>307</v>
      </c>
      <c r="I219" s="62">
        <f>IF($C$130=FALSE,0,I215+I217)</f>
        <v>0</v>
      </c>
      <c r="J219" s="4" t="s">
        <v>316</v>
      </c>
      <c r="K219" s="4"/>
      <c r="L219" s="4"/>
      <c r="M219" s="4"/>
      <c r="N219" s="4"/>
      <c r="O219" s="4"/>
      <c r="P219" s="4"/>
      <c r="Q219" s="4"/>
      <c r="R219" s="4"/>
      <c r="S219" s="57"/>
      <c r="T219" s="4"/>
      <c r="U219" s="4"/>
      <c r="V219" s="4"/>
      <c r="W219" s="4"/>
      <c r="X219" s="4"/>
      <c r="Y219" s="4"/>
    </row>
    <row r="220" spans="2:25" x14ac:dyDescent="0.15">
      <c r="B220" s="4"/>
      <c r="C220" s="56"/>
      <c r="D220" s="4"/>
      <c r="E220" s="4"/>
      <c r="F220" s="4"/>
      <c r="G220" s="4"/>
      <c r="H220" s="4"/>
      <c r="I220" s="4"/>
      <c r="J220" s="4"/>
      <c r="K220" s="4"/>
      <c r="L220" s="4"/>
      <c r="M220" s="4"/>
      <c r="N220" s="4"/>
      <c r="O220" s="4"/>
      <c r="P220" s="4"/>
      <c r="Q220" s="4"/>
      <c r="R220" s="4"/>
      <c r="S220" s="57"/>
      <c r="T220" s="4"/>
      <c r="U220" s="4"/>
      <c r="V220" s="4"/>
      <c r="W220" s="4"/>
      <c r="X220" s="4"/>
      <c r="Y220" s="4"/>
    </row>
    <row r="221" spans="2:25" x14ac:dyDescent="0.15">
      <c r="B221" s="4"/>
      <c r="C221" s="56"/>
      <c r="D221" s="66" t="s">
        <v>333</v>
      </c>
      <c r="E221" s="4"/>
      <c r="F221" s="4"/>
      <c r="G221" s="4"/>
      <c r="H221" s="4"/>
      <c r="I221" s="4"/>
      <c r="J221" s="4"/>
      <c r="K221" s="4"/>
      <c r="L221" s="4"/>
      <c r="M221" s="4"/>
      <c r="N221" s="4"/>
      <c r="O221" s="4"/>
      <c r="P221" s="4"/>
      <c r="Q221" s="4"/>
      <c r="R221" s="4"/>
      <c r="S221" s="57"/>
      <c r="T221" s="4"/>
      <c r="U221" s="4"/>
      <c r="V221" s="4"/>
      <c r="W221" s="4"/>
      <c r="X221" s="4"/>
      <c r="Y221" s="4"/>
    </row>
    <row r="222" spans="2:25" ht="5.0999999999999996" customHeight="1" thickBot="1" x14ac:dyDescent="0.2">
      <c r="B222" s="4"/>
      <c r="C222" s="56"/>
      <c r="D222" s="72"/>
      <c r="E222" s="4"/>
      <c r="F222" s="4"/>
      <c r="G222" s="4"/>
      <c r="H222" s="4"/>
      <c r="I222" s="4"/>
      <c r="J222" s="4"/>
      <c r="K222" s="4"/>
      <c r="L222" s="4"/>
      <c r="M222" s="4"/>
      <c r="N222" s="4"/>
      <c r="O222" s="4"/>
      <c r="P222" s="4"/>
      <c r="Q222" s="4"/>
      <c r="R222" s="4"/>
      <c r="S222" s="57"/>
      <c r="T222" s="4"/>
      <c r="U222" s="4"/>
      <c r="V222" s="4"/>
      <c r="W222" s="4"/>
      <c r="X222" s="4"/>
      <c r="Y222" s="4"/>
    </row>
    <row r="223" spans="2:25" ht="14.25" thickBot="1" x14ac:dyDescent="0.2">
      <c r="B223" s="4"/>
      <c r="C223" s="56"/>
      <c r="D223" s="4"/>
      <c r="E223" s="4"/>
      <c r="F223" s="4"/>
      <c r="G223" s="4"/>
      <c r="H223" s="58" t="s">
        <v>308</v>
      </c>
      <c r="I223" s="27">
        <f>IF($C$130=FALSE,0,入力シート!I222)</f>
        <v>0</v>
      </c>
      <c r="J223" s="4" t="s">
        <v>315</v>
      </c>
      <c r="K223" s="4"/>
      <c r="L223" s="4"/>
      <c r="M223" s="4"/>
      <c r="N223" s="4"/>
      <c r="O223" s="4"/>
      <c r="P223" s="4"/>
      <c r="Q223" s="4"/>
      <c r="R223" s="4"/>
      <c r="S223" s="57"/>
      <c r="T223" s="4"/>
      <c r="U223" s="4"/>
      <c r="V223" s="4"/>
      <c r="W223" s="4"/>
      <c r="X223" s="4"/>
      <c r="Y223" s="4"/>
    </row>
    <row r="224" spans="2:25" ht="5.0999999999999996" customHeight="1" x14ac:dyDescent="0.15">
      <c r="B224" s="4"/>
      <c r="C224" s="59"/>
      <c r="D224" s="75"/>
      <c r="E224" s="60"/>
      <c r="F224" s="60"/>
      <c r="G224" s="60"/>
      <c r="H224" s="60"/>
      <c r="I224" s="60"/>
      <c r="J224" s="60"/>
      <c r="K224" s="60"/>
      <c r="L224" s="60"/>
      <c r="M224" s="60"/>
      <c r="N224" s="60"/>
      <c r="O224" s="60"/>
      <c r="P224" s="60"/>
      <c r="Q224" s="60"/>
      <c r="R224" s="60"/>
      <c r="S224" s="61"/>
      <c r="T224" s="4"/>
      <c r="U224" s="4"/>
      <c r="V224" s="4"/>
      <c r="W224" s="4"/>
      <c r="X224" s="4"/>
      <c r="Y224" s="4"/>
    </row>
    <row r="225" spans="1:25" x14ac:dyDescent="0.15">
      <c r="B225" s="4"/>
      <c r="C225" s="4"/>
      <c r="D225" s="4"/>
      <c r="E225" s="4"/>
      <c r="F225" s="4"/>
      <c r="G225" s="4"/>
      <c r="H225" s="4"/>
      <c r="I225" s="4"/>
      <c r="J225" s="4"/>
      <c r="K225" s="4"/>
      <c r="L225" s="4"/>
      <c r="M225" s="4"/>
      <c r="N225" s="4"/>
      <c r="O225" s="4"/>
      <c r="P225" s="4"/>
      <c r="Q225" s="4"/>
      <c r="R225" s="4"/>
      <c r="S225" s="4"/>
      <c r="T225" s="4"/>
      <c r="U225" s="4"/>
      <c r="V225" s="4"/>
      <c r="W225" s="4"/>
      <c r="X225" s="4"/>
      <c r="Y225" s="4"/>
    </row>
    <row r="226" spans="1:25" ht="19.5" customHeight="1" x14ac:dyDescent="0.15">
      <c r="B226" s="4"/>
      <c r="C226" s="53" t="s">
        <v>339</v>
      </c>
      <c r="D226" s="54"/>
      <c r="E226" s="54"/>
      <c r="F226" s="54"/>
      <c r="G226" s="54"/>
      <c r="H226" s="54"/>
      <c r="I226" s="54"/>
      <c r="J226" s="54"/>
      <c r="K226" s="54"/>
      <c r="L226" s="54"/>
      <c r="M226" s="54"/>
      <c r="N226" s="54"/>
      <c r="O226" s="54"/>
      <c r="P226" s="54"/>
      <c r="Q226" s="54"/>
      <c r="R226" s="54"/>
      <c r="S226" s="55"/>
      <c r="T226" s="4"/>
      <c r="U226" s="4"/>
      <c r="V226" s="4"/>
      <c r="W226" s="4"/>
      <c r="X226" s="4"/>
      <c r="Y226" s="4"/>
    </row>
    <row r="227" spans="1:25" ht="5.0999999999999996" customHeight="1" x14ac:dyDescent="0.15">
      <c r="B227" s="4"/>
      <c r="C227" s="56"/>
      <c r="D227" s="72"/>
      <c r="E227" s="4"/>
      <c r="F227" s="4"/>
      <c r="G227" s="4"/>
      <c r="H227" s="4"/>
      <c r="I227" s="4"/>
      <c r="J227" s="4"/>
      <c r="K227" s="4"/>
      <c r="L227" s="4"/>
      <c r="M227" s="4"/>
      <c r="N227" s="4"/>
      <c r="O227" s="4"/>
      <c r="P227" s="4"/>
      <c r="Q227" s="4"/>
      <c r="R227" s="4"/>
      <c r="S227" s="57"/>
      <c r="T227" s="4"/>
      <c r="U227" s="4"/>
      <c r="V227" s="4"/>
      <c r="W227" s="4"/>
      <c r="X227" s="4"/>
      <c r="Y227" s="4"/>
    </row>
    <row r="228" spans="1:25" x14ac:dyDescent="0.15">
      <c r="B228" s="4"/>
      <c r="C228" s="56"/>
      <c r="D228" s="4" t="s">
        <v>340</v>
      </c>
      <c r="E228" s="4"/>
      <c r="F228" s="4"/>
      <c r="G228" s="4"/>
      <c r="H228" s="4"/>
      <c r="I228" s="4"/>
      <c r="J228" s="4"/>
      <c r="K228" s="4"/>
      <c r="L228" s="4"/>
      <c r="M228" s="4"/>
      <c r="N228" s="4"/>
      <c r="O228" s="4"/>
      <c r="P228" s="4"/>
      <c r="Q228" s="4"/>
      <c r="R228" s="4"/>
      <c r="S228" s="57"/>
      <c r="T228" s="4"/>
      <c r="U228" s="4"/>
      <c r="V228" s="4"/>
      <c r="W228" s="4"/>
      <c r="X228" s="4"/>
      <c r="Y228" s="4"/>
    </row>
    <row r="229" spans="1:25" ht="5.0999999999999996" customHeight="1" thickBot="1" x14ac:dyDescent="0.2">
      <c r="B229" s="4"/>
      <c r="C229" s="56"/>
      <c r="D229" s="72"/>
      <c r="E229" s="4"/>
      <c r="F229" s="4"/>
      <c r="G229" s="4"/>
      <c r="H229" s="4"/>
      <c r="I229" s="4"/>
      <c r="J229" s="4"/>
      <c r="K229" s="4"/>
      <c r="L229" s="4"/>
      <c r="M229" s="4"/>
      <c r="N229" s="4"/>
      <c r="O229" s="4"/>
      <c r="P229" s="4"/>
      <c r="Q229" s="4"/>
      <c r="R229" s="4"/>
      <c r="S229" s="57"/>
      <c r="T229" s="4"/>
      <c r="U229" s="4"/>
      <c r="V229" s="4"/>
      <c r="W229" s="4"/>
      <c r="X229" s="4"/>
      <c r="Y229" s="4"/>
    </row>
    <row r="230" spans="1:25" ht="14.25" thickBot="1" x14ac:dyDescent="0.2">
      <c r="B230" s="4"/>
      <c r="C230" s="56"/>
      <c r="D230" s="4"/>
      <c r="E230" s="77"/>
      <c r="F230" s="77"/>
      <c r="G230" s="77"/>
      <c r="H230" s="78" t="s">
        <v>337</v>
      </c>
      <c r="I230" s="27">
        <f>IF($C$132=TRUE,入力シート!I229,0)</f>
        <v>0</v>
      </c>
      <c r="J230" s="4" t="s">
        <v>319</v>
      </c>
      <c r="K230" s="4"/>
      <c r="L230" s="4"/>
      <c r="M230" s="4"/>
      <c r="N230" s="4"/>
      <c r="O230" s="4"/>
      <c r="P230" s="4"/>
      <c r="Q230" s="4"/>
      <c r="R230" s="4"/>
      <c r="S230" s="57"/>
      <c r="T230" s="4"/>
      <c r="U230" s="4"/>
      <c r="V230" s="4"/>
      <c r="W230" s="4"/>
      <c r="X230" s="4"/>
      <c r="Y230" s="4"/>
    </row>
    <row r="231" spans="1:25" ht="5.0999999999999996" customHeight="1" x14ac:dyDescent="0.15">
      <c r="B231" s="4"/>
      <c r="C231" s="59"/>
      <c r="D231" s="75"/>
      <c r="E231" s="60"/>
      <c r="F231" s="60"/>
      <c r="G231" s="60"/>
      <c r="H231" s="60"/>
      <c r="I231" s="60"/>
      <c r="J231" s="60"/>
      <c r="K231" s="60"/>
      <c r="L231" s="60"/>
      <c r="M231" s="60"/>
      <c r="N231" s="60"/>
      <c r="O231" s="60"/>
      <c r="P231" s="60"/>
      <c r="Q231" s="60"/>
      <c r="R231" s="60"/>
      <c r="S231" s="61"/>
      <c r="T231" s="4"/>
      <c r="U231" s="4"/>
      <c r="V231" s="4"/>
      <c r="W231" s="4"/>
      <c r="X231" s="4"/>
      <c r="Y231" s="4"/>
    </row>
    <row r="232" spans="1:25" x14ac:dyDescent="0.15">
      <c r="B232" s="4"/>
      <c r="C232" s="4"/>
      <c r="D232" s="4"/>
      <c r="E232" s="4"/>
      <c r="F232" s="4"/>
      <c r="G232" s="4"/>
      <c r="H232" s="4"/>
      <c r="I232" s="4"/>
      <c r="J232" s="4"/>
      <c r="K232" s="4"/>
      <c r="L232" s="4"/>
      <c r="M232" s="4"/>
      <c r="N232" s="4"/>
      <c r="O232" s="4"/>
      <c r="P232" s="4"/>
      <c r="Q232" s="4"/>
      <c r="R232" s="4"/>
      <c r="S232" s="4"/>
      <c r="T232" s="4"/>
      <c r="U232" s="4"/>
      <c r="V232" s="4"/>
      <c r="W232" s="4"/>
      <c r="X232" s="4"/>
      <c r="Y232" s="4"/>
    </row>
    <row r="233" spans="1:25" x14ac:dyDescent="0.15">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row>
    <row r="234" spans="1:25" ht="5.0999999999999996" customHeight="1" x14ac:dyDescent="0.15">
      <c r="A234" s="23"/>
      <c r="B234" s="2"/>
      <c r="C234" s="2"/>
      <c r="D234" s="2"/>
      <c r="E234" s="2"/>
      <c r="F234" s="2"/>
      <c r="G234" s="2"/>
      <c r="H234" s="2"/>
      <c r="I234" s="2"/>
      <c r="J234" s="2"/>
      <c r="K234" s="2"/>
      <c r="L234" s="2"/>
      <c r="M234" s="2"/>
      <c r="N234" s="2"/>
      <c r="O234" s="2"/>
      <c r="P234" s="2"/>
      <c r="Q234" s="2"/>
      <c r="R234" s="2"/>
      <c r="S234" s="23"/>
      <c r="T234" s="23"/>
      <c r="U234" s="23"/>
      <c r="V234" s="23"/>
      <c r="W234" s="23"/>
      <c r="X234" s="23"/>
      <c r="Y234" s="23"/>
    </row>
    <row r="235" spans="1:25" x14ac:dyDescent="0.15">
      <c r="A235" s="23"/>
      <c r="B235" s="30" t="s">
        <v>251</v>
      </c>
      <c r="C235" s="2"/>
      <c r="D235" s="2"/>
      <c r="E235" s="2"/>
      <c r="F235" s="2"/>
      <c r="G235" s="2"/>
      <c r="H235" s="2"/>
      <c r="I235" s="2"/>
      <c r="J235" s="2"/>
      <c r="K235" s="2"/>
      <c r="L235" s="2"/>
      <c r="M235" s="2"/>
      <c r="N235" s="2"/>
      <c r="O235" s="2"/>
      <c r="P235" s="2"/>
      <c r="Q235" s="2"/>
      <c r="R235" s="2"/>
      <c r="S235" s="23"/>
      <c r="T235" s="23"/>
      <c r="U235" s="23"/>
      <c r="V235" s="23"/>
      <c r="W235" s="23"/>
      <c r="X235" s="23"/>
      <c r="Y235" s="23"/>
    </row>
    <row r="236" spans="1:25" ht="5.0999999999999996" customHeight="1" x14ac:dyDescent="0.15">
      <c r="A236" s="23"/>
      <c r="B236" s="2"/>
      <c r="C236" s="2"/>
      <c r="D236" s="2"/>
      <c r="E236" s="2"/>
      <c r="F236" s="2"/>
      <c r="G236" s="2"/>
      <c r="H236" s="2"/>
      <c r="I236" s="2"/>
      <c r="J236" s="2"/>
      <c r="K236" s="2"/>
      <c r="L236" s="2"/>
      <c r="M236" s="2"/>
      <c r="N236" s="2"/>
      <c r="O236" s="2"/>
      <c r="P236" s="2"/>
      <c r="Q236" s="2"/>
      <c r="R236" s="2"/>
      <c r="S236" s="23"/>
      <c r="T236" s="23"/>
      <c r="U236" s="23"/>
      <c r="V236" s="23"/>
      <c r="W236" s="23"/>
      <c r="X236" s="23"/>
      <c r="Y236" s="23"/>
    </row>
    <row r="237" spans="1:25" x14ac:dyDescent="0.15">
      <c r="A237" s="23"/>
      <c r="B237" s="2"/>
      <c r="C237" s="2"/>
      <c r="D237" s="2"/>
      <c r="E237" s="2"/>
      <c r="F237" s="2"/>
      <c r="G237" s="2"/>
      <c r="H237" s="2"/>
      <c r="I237" s="2"/>
      <c r="J237" s="2"/>
      <c r="K237" s="2"/>
      <c r="L237" s="2"/>
      <c r="M237" s="2"/>
      <c r="N237" s="2"/>
      <c r="O237" s="2"/>
      <c r="P237" s="2"/>
      <c r="Q237" s="2"/>
      <c r="R237" s="2"/>
      <c r="S237" s="23"/>
      <c r="T237" s="23"/>
      <c r="U237" s="23"/>
      <c r="V237" s="23"/>
      <c r="W237" s="23"/>
      <c r="X237" s="23"/>
      <c r="Y237" s="23"/>
    </row>
    <row r="238" spans="1:25" ht="5.0999999999999996" customHeight="1" x14ac:dyDescent="0.15">
      <c r="A238" s="23"/>
      <c r="B238" s="2"/>
      <c r="C238" s="2"/>
      <c r="D238" s="2"/>
      <c r="E238" s="2"/>
      <c r="F238" s="2"/>
      <c r="G238" s="2"/>
      <c r="H238" s="2"/>
      <c r="I238" s="2"/>
      <c r="J238" s="2"/>
      <c r="K238" s="2"/>
      <c r="L238" s="2"/>
      <c r="M238" s="2"/>
      <c r="N238" s="2"/>
      <c r="O238" s="2"/>
      <c r="P238" s="2"/>
      <c r="Q238" s="2"/>
      <c r="R238" s="2"/>
      <c r="S238" s="23"/>
      <c r="T238" s="23"/>
      <c r="U238" s="23"/>
      <c r="V238" s="23"/>
      <c r="W238" s="23"/>
      <c r="X238" s="23"/>
      <c r="Y238" s="23"/>
    </row>
    <row r="239" spans="1:25" x14ac:dyDescent="0.15">
      <c r="A239" s="23"/>
      <c r="B239" s="2"/>
      <c r="C239" s="2" t="s">
        <v>43</v>
      </c>
      <c r="D239" s="2"/>
      <c r="E239" s="2"/>
      <c r="F239" s="2"/>
      <c r="G239" s="2"/>
      <c r="H239" s="2"/>
      <c r="I239" s="2"/>
      <c r="J239" s="2"/>
      <c r="K239" s="2"/>
      <c r="L239" s="2"/>
      <c r="M239" s="2"/>
      <c r="N239" s="2"/>
      <c r="O239" s="2"/>
      <c r="P239" s="2"/>
      <c r="Q239" s="2"/>
      <c r="R239" s="2"/>
      <c r="S239" s="23"/>
      <c r="T239" s="23"/>
      <c r="U239" s="23"/>
      <c r="V239" s="23"/>
      <c r="W239" s="23"/>
      <c r="X239" s="23"/>
      <c r="Y239" s="23"/>
    </row>
    <row r="240" spans="1:25" ht="5.0999999999999996" customHeight="1" thickBot="1" x14ac:dyDescent="0.2">
      <c r="A240" s="23"/>
      <c r="B240" s="2"/>
      <c r="C240" s="2"/>
      <c r="D240" s="2"/>
      <c r="E240" s="2"/>
      <c r="F240" s="2"/>
      <c r="G240" s="2"/>
      <c r="H240" s="2"/>
      <c r="I240" s="2"/>
      <c r="J240" s="2"/>
      <c r="K240" s="2"/>
      <c r="L240" s="2"/>
      <c r="M240" s="2"/>
      <c r="N240" s="2"/>
      <c r="O240" s="2"/>
      <c r="P240" s="2"/>
      <c r="Q240" s="2"/>
      <c r="R240" s="2"/>
      <c r="S240" s="23"/>
      <c r="T240" s="23"/>
      <c r="U240" s="23"/>
      <c r="V240" s="23"/>
      <c r="W240" s="23"/>
      <c r="X240" s="23"/>
      <c r="Y240" s="23"/>
    </row>
    <row r="241" spans="1:25" ht="14.25" thickBot="1" x14ac:dyDescent="0.2">
      <c r="A241" s="23"/>
      <c r="B241" s="2"/>
      <c r="C241" s="2"/>
      <c r="D241" s="2"/>
      <c r="E241" s="63" t="s">
        <v>44</v>
      </c>
      <c r="F241" s="63"/>
      <c r="G241" s="313">
        <f ca="1">IF(AND($C$116=TRUE,入力シート!$I$240&lt;&gt;""),入力シート!$I$240,0)</f>
        <v>0</v>
      </c>
      <c r="H241" s="314"/>
      <c r="I241" s="315"/>
      <c r="J241" s="2"/>
      <c r="K241" s="65"/>
      <c r="L241" s="2"/>
      <c r="M241" s="2"/>
      <c r="N241" s="2"/>
      <c r="O241" s="2"/>
      <c r="P241" s="2"/>
      <c r="Q241" s="2"/>
      <c r="R241" s="2"/>
      <c r="S241" s="23"/>
      <c r="T241" s="23"/>
      <c r="U241" s="23"/>
      <c r="V241" s="23"/>
      <c r="W241" s="23"/>
      <c r="X241" s="23"/>
      <c r="Y241" s="23"/>
    </row>
    <row r="242" spans="1:25" ht="5.0999999999999996" customHeight="1" thickBot="1" x14ac:dyDescent="0.2">
      <c r="A242" s="23"/>
      <c r="B242" s="2"/>
      <c r="C242" s="2"/>
      <c r="D242" s="2"/>
      <c r="E242" s="2"/>
      <c r="F242" s="2"/>
      <c r="G242" s="2"/>
      <c r="H242" s="2"/>
      <c r="I242" s="2"/>
      <c r="J242" s="2"/>
      <c r="K242" s="2"/>
      <c r="L242" s="2"/>
      <c r="M242" s="2"/>
      <c r="N242" s="2"/>
      <c r="O242" s="2"/>
      <c r="P242" s="2"/>
      <c r="Q242" s="2"/>
      <c r="R242" s="2"/>
      <c r="S242" s="23"/>
      <c r="T242" s="23"/>
      <c r="U242" s="23"/>
      <c r="V242" s="23"/>
      <c r="W242" s="23"/>
      <c r="X242" s="23"/>
      <c r="Y242" s="23"/>
    </row>
    <row r="243" spans="1:25" ht="14.25" thickBot="1" x14ac:dyDescent="0.2">
      <c r="A243" s="23"/>
      <c r="B243" s="2"/>
      <c r="C243" s="2"/>
      <c r="D243" s="2"/>
      <c r="E243" s="63" t="s">
        <v>45</v>
      </c>
      <c r="F243" s="63"/>
      <c r="G243" s="313">
        <f ca="1">IF(AND($C$116=TRUE,入力シート!$I$242&lt;&gt;""),入力シート!$I$242,0)</f>
        <v>0</v>
      </c>
      <c r="H243" s="314"/>
      <c r="I243" s="315"/>
      <c r="J243" s="2"/>
      <c r="K243" s="65"/>
      <c r="L243" s="2"/>
      <c r="M243" s="2"/>
      <c r="N243" s="2"/>
      <c r="O243" s="2"/>
      <c r="P243" s="2"/>
      <c r="Q243" s="2"/>
      <c r="R243" s="2"/>
      <c r="S243" s="23"/>
      <c r="T243" s="23"/>
      <c r="U243" s="23"/>
      <c r="V243" s="23"/>
      <c r="W243" s="23"/>
      <c r="X243" s="23"/>
      <c r="Y243" s="23"/>
    </row>
    <row r="244" spans="1:25" ht="5.0999999999999996" customHeight="1" thickBot="1" x14ac:dyDescent="0.2">
      <c r="A244" s="23"/>
      <c r="B244" s="2"/>
      <c r="C244" s="2"/>
      <c r="D244" s="2"/>
      <c r="E244" s="2"/>
      <c r="F244" s="2"/>
      <c r="G244" s="2"/>
      <c r="H244" s="2"/>
      <c r="I244" s="2"/>
      <c r="J244" s="2"/>
      <c r="K244" s="2"/>
      <c r="L244" s="2"/>
      <c r="M244" s="2"/>
      <c r="N244" s="2"/>
      <c r="O244" s="2"/>
      <c r="P244" s="2"/>
      <c r="Q244" s="2"/>
      <c r="R244" s="2"/>
      <c r="S244" s="23"/>
      <c r="T244" s="23"/>
      <c r="U244" s="23"/>
      <c r="V244" s="23"/>
      <c r="W244" s="23"/>
      <c r="X244" s="23"/>
      <c r="Y244" s="23"/>
    </row>
    <row r="245" spans="1:25" ht="14.25" thickBot="1" x14ac:dyDescent="0.2">
      <c r="A245" s="23"/>
      <c r="B245" s="2"/>
      <c r="C245" s="2"/>
      <c r="D245" s="2"/>
      <c r="E245" s="63" t="s">
        <v>47</v>
      </c>
      <c r="F245" s="63"/>
      <c r="G245" s="273">
        <f>IF($C$116=TRUE,入力シート!I244,0)</f>
        <v>0</v>
      </c>
      <c r="H245" s="274"/>
      <c r="I245" s="275"/>
      <c r="J245" s="2"/>
      <c r="K245" s="2"/>
      <c r="L245" s="2"/>
      <c r="M245" s="2"/>
      <c r="N245" s="2"/>
      <c r="O245" s="2"/>
      <c r="P245" s="2"/>
      <c r="Q245" s="2"/>
      <c r="R245" s="2"/>
      <c r="S245" s="23"/>
      <c r="T245" s="23"/>
      <c r="U245" s="23"/>
      <c r="V245" s="23"/>
      <c r="W245" s="23"/>
      <c r="X245" s="23"/>
      <c r="Y245" s="23"/>
    </row>
    <row r="246" spans="1:25" ht="5.0999999999999996" customHeight="1" thickBot="1" x14ac:dyDescent="0.2">
      <c r="A246" s="23"/>
      <c r="B246" s="2"/>
      <c r="C246" s="2"/>
      <c r="D246" s="2"/>
      <c r="E246" s="2"/>
      <c r="F246" s="2"/>
      <c r="G246" s="2"/>
      <c r="H246" s="2"/>
      <c r="I246" s="2"/>
      <c r="J246" s="2"/>
      <c r="K246" s="2"/>
      <c r="L246" s="2"/>
      <c r="M246" s="2"/>
      <c r="N246" s="2"/>
      <c r="O246" s="2"/>
      <c r="P246" s="2"/>
      <c r="Q246" s="2"/>
      <c r="R246" s="2"/>
      <c r="S246" s="23"/>
      <c r="T246" s="23"/>
      <c r="U246" s="23"/>
      <c r="V246" s="23"/>
      <c r="W246" s="23"/>
      <c r="X246" s="23"/>
      <c r="Y246" s="23"/>
    </row>
    <row r="247" spans="1:25" ht="14.25" thickBot="1" x14ac:dyDescent="0.2">
      <c r="A247" s="23"/>
      <c r="B247" s="2"/>
      <c r="C247" s="2"/>
      <c r="D247" s="2"/>
      <c r="E247" s="63" t="s">
        <v>48</v>
      </c>
      <c r="F247" s="63"/>
      <c r="G247" s="273">
        <f>IF($C$116=TRUE,入力シート!I246,0)</f>
        <v>0</v>
      </c>
      <c r="H247" s="274"/>
      <c r="I247" s="275"/>
      <c r="J247" s="2"/>
      <c r="K247" s="65"/>
      <c r="L247" s="2"/>
      <c r="M247" s="2"/>
      <c r="N247" s="2"/>
      <c r="O247" s="2"/>
      <c r="P247" s="2"/>
      <c r="Q247" s="2"/>
      <c r="R247" s="2"/>
      <c r="S247" s="23"/>
      <c r="T247" s="23"/>
      <c r="U247" s="23"/>
      <c r="V247" s="23"/>
      <c r="W247" s="23"/>
      <c r="X247" s="23"/>
      <c r="Y247" s="23"/>
    </row>
    <row r="248" spans="1:25" ht="5.0999999999999996" customHeight="1" x14ac:dyDescent="0.15">
      <c r="A248" s="23"/>
      <c r="B248" s="2"/>
      <c r="C248" s="2"/>
      <c r="D248" s="2"/>
      <c r="E248" s="2"/>
      <c r="F248" s="2"/>
      <c r="G248" s="2"/>
      <c r="H248" s="2"/>
      <c r="I248" s="2"/>
      <c r="J248" s="2"/>
      <c r="K248" s="2"/>
      <c r="L248" s="2"/>
      <c r="M248" s="2"/>
      <c r="N248" s="2"/>
      <c r="O248" s="2"/>
      <c r="P248" s="2"/>
      <c r="Q248" s="2"/>
      <c r="R248" s="2"/>
      <c r="S248" s="23"/>
      <c r="T248" s="23"/>
      <c r="U248" s="23"/>
      <c r="V248" s="23"/>
      <c r="W248" s="23"/>
      <c r="X248" s="23"/>
      <c r="Y248" s="23"/>
    </row>
    <row r="249" spans="1:25" x14ac:dyDescent="0.15">
      <c r="A249" s="23"/>
      <c r="B249" s="2"/>
      <c r="C249" s="2" t="s">
        <v>49</v>
      </c>
      <c r="D249" s="2"/>
      <c r="E249" s="2"/>
      <c r="F249" s="2"/>
      <c r="G249" s="2"/>
      <c r="H249" s="2"/>
      <c r="I249" s="2"/>
      <c r="J249" s="2"/>
      <c r="K249" s="2"/>
      <c r="L249" s="2"/>
      <c r="M249" s="2"/>
      <c r="N249" s="2"/>
      <c r="O249" s="2"/>
      <c r="P249" s="2"/>
      <c r="Q249" s="2"/>
      <c r="R249" s="2"/>
      <c r="S249" s="23"/>
      <c r="T249" s="23"/>
      <c r="U249" s="23"/>
      <c r="V249" s="23"/>
      <c r="W249" s="23"/>
      <c r="X249" s="23"/>
      <c r="Y249" s="23"/>
    </row>
    <row r="250" spans="1:25" ht="5.0999999999999996" customHeight="1" thickBot="1" x14ac:dyDescent="0.2">
      <c r="A250" s="23"/>
      <c r="B250" s="2"/>
      <c r="C250" s="2"/>
      <c r="D250" s="2"/>
      <c r="E250" s="2"/>
      <c r="F250" s="2"/>
      <c r="G250" s="2"/>
      <c r="H250" s="2"/>
      <c r="I250" s="2"/>
      <c r="J250" s="2"/>
      <c r="K250" s="2"/>
      <c r="L250" s="2"/>
      <c r="M250" s="2"/>
      <c r="N250" s="2"/>
      <c r="O250" s="2"/>
      <c r="P250" s="2"/>
      <c r="Q250" s="2"/>
      <c r="R250" s="2"/>
      <c r="S250" s="23"/>
      <c r="T250" s="23"/>
      <c r="U250" s="23"/>
      <c r="V250" s="23"/>
      <c r="W250" s="23"/>
      <c r="X250" s="23"/>
      <c r="Y250" s="23"/>
    </row>
    <row r="251" spans="1:25" ht="14.25" thickBot="1" x14ac:dyDescent="0.2">
      <c r="A251" s="23"/>
      <c r="B251" s="2"/>
      <c r="C251" s="2"/>
      <c r="D251" s="2"/>
      <c r="E251" s="63" t="s">
        <v>50</v>
      </c>
      <c r="F251" s="63"/>
      <c r="G251" s="313">
        <f>IF(OR($C$120=TRUE,$C$122=TRUE,$C$124=TRUE,$C$126=TRUE,$C$128=TRUE),入力シート!$I$250,0)</f>
        <v>0</v>
      </c>
      <c r="H251" s="314"/>
      <c r="I251" s="315"/>
      <c r="J251" s="2"/>
      <c r="K251" s="65"/>
      <c r="L251" s="2"/>
      <c r="M251" s="2"/>
      <c r="N251" s="2"/>
      <c r="O251" s="2"/>
      <c r="P251" s="2"/>
      <c r="Q251" s="2"/>
      <c r="R251" s="2"/>
      <c r="S251" s="23"/>
      <c r="T251" s="23"/>
      <c r="U251" s="23"/>
      <c r="V251" s="23"/>
      <c r="W251" s="23"/>
      <c r="X251" s="23"/>
      <c r="Y251" s="23"/>
    </row>
    <row r="252" spans="1:25" ht="5.0999999999999996" customHeight="1" thickBot="1" x14ac:dyDescent="0.2">
      <c r="A252" s="23"/>
      <c r="B252" s="2"/>
      <c r="C252" s="2"/>
      <c r="D252" s="2"/>
      <c r="E252" s="2"/>
      <c r="F252" s="2"/>
      <c r="G252" s="2"/>
      <c r="H252" s="2"/>
      <c r="I252" s="2"/>
      <c r="J252" s="2"/>
      <c r="K252" s="2"/>
      <c r="L252" s="2"/>
      <c r="M252" s="2"/>
      <c r="N252" s="2"/>
      <c r="O252" s="2"/>
      <c r="P252" s="2"/>
      <c r="Q252" s="2"/>
      <c r="R252" s="2"/>
      <c r="S252" s="23"/>
      <c r="T252" s="23"/>
      <c r="U252" s="23"/>
      <c r="V252" s="23"/>
      <c r="W252" s="23"/>
      <c r="X252" s="23"/>
      <c r="Y252" s="23"/>
    </row>
    <row r="253" spans="1:25" ht="14.25" thickBot="1" x14ac:dyDescent="0.2">
      <c r="A253" s="23"/>
      <c r="B253" s="2"/>
      <c r="C253" s="2"/>
      <c r="D253" s="2"/>
      <c r="E253" s="63" t="s">
        <v>44</v>
      </c>
      <c r="F253" s="63"/>
      <c r="G253" s="313">
        <f>IF(OR($C$120=TRUE,$C$122=TRUE,$C$124=TRUE,$C$126=TRUE,$C$128=TRUE),入力シート!$I$252,0)</f>
        <v>0</v>
      </c>
      <c r="H253" s="314"/>
      <c r="I253" s="315"/>
      <c r="J253" s="2"/>
      <c r="K253" s="65"/>
      <c r="L253" s="2"/>
      <c r="M253" s="2"/>
      <c r="N253" s="2"/>
      <c r="O253" s="2"/>
      <c r="P253" s="2"/>
      <c r="Q253" s="2"/>
      <c r="R253" s="2"/>
      <c r="S253" s="23"/>
      <c r="T253" s="23"/>
      <c r="U253" s="23"/>
      <c r="V253" s="23"/>
      <c r="W253" s="23"/>
      <c r="X253" s="23"/>
      <c r="Y253" s="23"/>
    </row>
    <row r="254" spans="1:25" ht="5.0999999999999996" customHeight="1" thickBot="1" x14ac:dyDescent="0.2">
      <c r="A254" s="23"/>
      <c r="B254" s="2"/>
      <c r="C254" s="2"/>
      <c r="D254" s="2"/>
      <c r="E254" s="2"/>
      <c r="F254" s="2"/>
      <c r="G254" s="2"/>
      <c r="H254" s="2"/>
      <c r="I254" s="2"/>
      <c r="J254" s="2"/>
      <c r="K254" s="2"/>
      <c r="L254" s="2"/>
      <c r="M254" s="2"/>
      <c r="N254" s="2"/>
      <c r="O254" s="2"/>
      <c r="P254" s="2"/>
      <c r="Q254" s="2"/>
      <c r="R254" s="2"/>
      <c r="S254" s="23"/>
      <c r="T254" s="23"/>
      <c r="U254" s="23"/>
      <c r="V254" s="23"/>
      <c r="W254" s="23"/>
      <c r="X254" s="23"/>
      <c r="Y254" s="23"/>
    </row>
    <row r="255" spans="1:25" ht="14.25" thickBot="1" x14ac:dyDescent="0.2">
      <c r="A255" s="23"/>
      <c r="B255" s="2"/>
      <c r="C255" s="2"/>
      <c r="D255" s="2"/>
      <c r="E255" s="63" t="s">
        <v>45</v>
      </c>
      <c r="F255" s="63"/>
      <c r="G255" s="313">
        <f>IF(OR($C$120=TRUE,$C$122=TRUE,$C$124=TRUE,$C$126=TRUE,$C$128=TRUE),入力シート!$I$254,0)</f>
        <v>0</v>
      </c>
      <c r="H255" s="314"/>
      <c r="I255" s="315"/>
      <c r="J255" s="2"/>
      <c r="K255" s="65"/>
      <c r="L255" s="2"/>
      <c r="M255" s="2"/>
      <c r="N255" s="2"/>
      <c r="O255" s="2"/>
      <c r="P255" s="2"/>
      <c r="Q255" s="2"/>
      <c r="R255" s="2"/>
      <c r="S255" s="23"/>
      <c r="T255" s="23"/>
      <c r="U255" s="23"/>
      <c r="V255" s="23"/>
      <c r="W255" s="23"/>
      <c r="X255" s="23"/>
      <c r="Y255" s="23"/>
    </row>
    <row r="256" spans="1:25" ht="5.0999999999999996" customHeight="1" thickBot="1" x14ac:dyDescent="0.2">
      <c r="A256" s="23"/>
      <c r="B256" s="2"/>
      <c r="C256" s="2"/>
      <c r="D256" s="2"/>
      <c r="E256" s="2"/>
      <c r="F256" s="2"/>
      <c r="G256" s="2"/>
      <c r="H256" s="2"/>
      <c r="I256" s="2"/>
      <c r="J256" s="2"/>
      <c r="K256" s="2"/>
      <c r="L256" s="2"/>
      <c r="M256" s="2"/>
      <c r="N256" s="2"/>
      <c r="O256" s="2"/>
      <c r="P256" s="2"/>
      <c r="Q256" s="2"/>
      <c r="R256" s="2"/>
      <c r="S256" s="23"/>
      <c r="T256" s="23"/>
      <c r="U256" s="23"/>
      <c r="V256" s="23"/>
      <c r="W256" s="23"/>
      <c r="X256" s="23"/>
      <c r="Y256" s="23"/>
    </row>
    <row r="257" spans="1:25" ht="14.25" thickBot="1" x14ac:dyDescent="0.2">
      <c r="A257" s="23"/>
      <c r="B257" s="2"/>
      <c r="C257" s="2"/>
      <c r="D257" s="2"/>
      <c r="E257" s="63" t="s">
        <v>47</v>
      </c>
      <c r="F257" s="63"/>
      <c r="G257" s="273">
        <f>IF(OR($C$120=TRUE,$C$122=TRUE,$C$124=TRUE,$C$126=TRUE,$C$128=TRUE),$G$251+$G$253+$G$255,0)</f>
        <v>0</v>
      </c>
      <c r="H257" s="274"/>
      <c r="I257" s="275"/>
      <c r="J257" s="2"/>
      <c r="K257" s="2"/>
      <c r="L257" s="2"/>
      <c r="M257" s="2"/>
      <c r="N257" s="2"/>
      <c r="O257" s="2"/>
      <c r="P257" s="2"/>
      <c r="Q257" s="2"/>
      <c r="R257" s="2"/>
      <c r="S257" s="23"/>
      <c r="T257" s="23"/>
      <c r="U257" s="23"/>
      <c r="V257" s="23"/>
      <c r="W257" s="23"/>
      <c r="X257" s="23"/>
      <c r="Y257" s="23"/>
    </row>
    <row r="258" spans="1:25" ht="5.0999999999999996" customHeight="1" thickBot="1" x14ac:dyDescent="0.2">
      <c r="A258" s="23"/>
      <c r="B258" s="2"/>
      <c r="C258" s="2"/>
      <c r="D258" s="2"/>
      <c r="E258" s="2"/>
      <c r="F258" s="2"/>
      <c r="G258" s="2"/>
      <c r="H258" s="2"/>
      <c r="I258" s="2"/>
      <c r="J258" s="2"/>
      <c r="K258" s="2"/>
      <c r="L258" s="2"/>
      <c r="M258" s="2"/>
      <c r="N258" s="2"/>
      <c r="O258" s="2"/>
      <c r="P258" s="2"/>
      <c r="Q258" s="2"/>
      <c r="R258" s="2"/>
      <c r="S258" s="23"/>
      <c r="T258" s="23"/>
      <c r="U258" s="23"/>
      <c r="V258" s="23"/>
      <c r="W258" s="23"/>
      <c r="X258" s="23"/>
      <c r="Y258" s="23"/>
    </row>
    <row r="259" spans="1:25" ht="14.25" thickBot="1" x14ac:dyDescent="0.2">
      <c r="A259" s="23"/>
      <c r="B259" s="2"/>
      <c r="C259" s="2"/>
      <c r="D259" s="2"/>
      <c r="E259" s="63" t="s">
        <v>48</v>
      </c>
      <c r="F259" s="63"/>
      <c r="G259" s="273">
        <f>IF(OR($C$120=TRUE,$C$122=TRUE,$C$124=TRUE,$C$126=TRUE,$C$128=TRUE),ROUNDDOWN($G$257/2,-3),0)</f>
        <v>0</v>
      </c>
      <c r="H259" s="274"/>
      <c r="I259" s="275"/>
      <c r="J259" s="2"/>
      <c r="K259" s="65"/>
      <c r="L259" s="2"/>
      <c r="M259" s="2"/>
      <c r="N259" s="2"/>
      <c r="O259" s="2"/>
      <c r="P259" s="2"/>
      <c r="Q259" s="2"/>
      <c r="R259" s="2"/>
      <c r="S259" s="23"/>
      <c r="T259" s="23"/>
      <c r="U259" s="23"/>
      <c r="V259" s="23"/>
      <c r="W259" s="23"/>
      <c r="X259" s="23"/>
      <c r="Y259" s="23"/>
    </row>
    <row r="260" spans="1:25" ht="5.0999999999999996" customHeight="1" x14ac:dyDescent="0.15">
      <c r="A260" s="23"/>
      <c r="B260" s="2"/>
      <c r="C260" s="2"/>
      <c r="D260" s="2"/>
      <c r="E260" s="2"/>
      <c r="F260" s="2"/>
      <c r="G260" s="2"/>
      <c r="H260" s="2"/>
      <c r="I260" s="2"/>
      <c r="J260" s="2"/>
      <c r="K260" s="2"/>
      <c r="L260" s="2"/>
      <c r="M260" s="2"/>
      <c r="N260" s="2"/>
      <c r="O260" s="2"/>
      <c r="P260" s="2"/>
      <c r="Q260" s="2"/>
      <c r="R260" s="2"/>
      <c r="S260" s="23"/>
      <c r="T260" s="23"/>
      <c r="U260" s="23"/>
      <c r="V260" s="23"/>
      <c r="W260" s="23"/>
      <c r="X260" s="23"/>
      <c r="Y260" s="23"/>
    </row>
    <row r="261" spans="1:25" x14ac:dyDescent="0.15">
      <c r="A261" s="23"/>
      <c r="B261" s="2"/>
      <c r="C261" s="2" t="s">
        <v>53</v>
      </c>
      <c r="D261" s="2"/>
      <c r="E261" s="2"/>
      <c r="F261" s="2"/>
      <c r="G261" s="2"/>
      <c r="H261" s="2"/>
      <c r="I261" s="2"/>
      <c r="J261" s="2"/>
      <c r="K261" s="2"/>
      <c r="L261" s="2"/>
      <c r="M261" s="2"/>
      <c r="N261" s="2"/>
      <c r="O261" s="2"/>
      <c r="P261" s="2"/>
      <c r="Q261" s="2"/>
      <c r="R261" s="2"/>
      <c r="S261" s="23"/>
      <c r="T261" s="23"/>
      <c r="U261" s="23"/>
      <c r="V261" s="23"/>
      <c r="W261" s="23"/>
      <c r="X261" s="23"/>
      <c r="Y261" s="23"/>
    </row>
    <row r="262" spans="1:25" ht="5.0999999999999996" customHeight="1" thickBot="1" x14ac:dyDescent="0.2">
      <c r="A262" s="23"/>
      <c r="B262" s="2"/>
      <c r="C262" s="2"/>
      <c r="D262" s="2"/>
      <c r="E262" s="2"/>
      <c r="F262" s="2"/>
      <c r="G262" s="2"/>
      <c r="H262" s="2"/>
      <c r="I262" s="2"/>
      <c r="J262" s="2"/>
      <c r="K262" s="2"/>
      <c r="L262" s="2"/>
      <c r="M262" s="2"/>
      <c r="N262" s="2"/>
      <c r="O262" s="2"/>
      <c r="P262" s="2"/>
      <c r="Q262" s="2"/>
      <c r="R262" s="2"/>
      <c r="S262" s="23"/>
      <c r="T262" s="23"/>
      <c r="U262" s="23"/>
      <c r="V262" s="23"/>
      <c r="W262" s="23"/>
      <c r="X262" s="23"/>
      <c r="Y262" s="23"/>
    </row>
    <row r="263" spans="1:25" ht="14.25" thickBot="1" x14ac:dyDescent="0.2">
      <c r="A263" s="23"/>
      <c r="B263" s="2"/>
      <c r="C263" s="2"/>
      <c r="D263" s="2"/>
      <c r="E263" s="63" t="s">
        <v>50</v>
      </c>
      <c r="F263" s="63"/>
      <c r="G263" s="313">
        <f>IF($C$130=TRUE,入力シート!$I$262,0)</f>
        <v>0</v>
      </c>
      <c r="H263" s="314"/>
      <c r="I263" s="315"/>
      <c r="J263" s="2"/>
      <c r="K263" s="65"/>
      <c r="L263" s="2"/>
      <c r="M263" s="2"/>
      <c r="N263" s="2"/>
      <c r="O263" s="2"/>
      <c r="P263" s="2"/>
      <c r="Q263" s="2"/>
      <c r="R263" s="2"/>
      <c r="S263" s="23"/>
      <c r="T263" s="23"/>
      <c r="U263" s="23"/>
      <c r="V263" s="23"/>
      <c r="W263" s="23"/>
      <c r="X263" s="23"/>
      <c r="Y263" s="23"/>
    </row>
    <row r="264" spans="1:25" ht="5.0999999999999996" customHeight="1" thickBot="1" x14ac:dyDescent="0.2">
      <c r="A264" s="23"/>
      <c r="B264" s="2"/>
      <c r="C264" s="2"/>
      <c r="D264" s="2"/>
      <c r="E264" s="2"/>
      <c r="F264" s="2"/>
      <c r="G264" s="2"/>
      <c r="H264" s="2"/>
      <c r="I264" s="2"/>
      <c r="J264" s="2"/>
      <c r="K264" s="2"/>
      <c r="L264" s="2"/>
      <c r="M264" s="2"/>
      <c r="N264" s="2"/>
      <c r="O264" s="2"/>
      <c r="P264" s="2"/>
      <c r="Q264" s="2"/>
      <c r="R264" s="2"/>
      <c r="S264" s="23"/>
      <c r="T264" s="23"/>
      <c r="U264" s="23"/>
      <c r="V264" s="23"/>
      <c r="W264" s="23"/>
      <c r="X264" s="23"/>
      <c r="Y264" s="23"/>
    </row>
    <row r="265" spans="1:25" ht="14.25" thickBot="1" x14ac:dyDescent="0.2">
      <c r="A265" s="23"/>
      <c r="B265" s="2"/>
      <c r="C265" s="2"/>
      <c r="D265" s="2"/>
      <c r="E265" s="63" t="s">
        <v>44</v>
      </c>
      <c r="F265" s="63"/>
      <c r="G265" s="313">
        <f>IF($C$130=TRUE,入力シート!$I$264,0)</f>
        <v>0</v>
      </c>
      <c r="H265" s="314"/>
      <c r="I265" s="315"/>
      <c r="J265" s="2"/>
      <c r="K265" s="65"/>
      <c r="L265" s="2"/>
      <c r="M265" s="2"/>
      <c r="N265" s="2"/>
      <c r="O265" s="2"/>
      <c r="P265" s="2"/>
      <c r="Q265" s="2"/>
      <c r="R265" s="2"/>
      <c r="S265" s="23"/>
      <c r="T265" s="23"/>
      <c r="U265" s="23"/>
      <c r="V265" s="23"/>
      <c r="W265" s="23"/>
      <c r="X265" s="23"/>
      <c r="Y265" s="23"/>
    </row>
    <row r="266" spans="1:25" ht="5.0999999999999996" customHeight="1" thickBot="1" x14ac:dyDescent="0.2">
      <c r="A266" s="23"/>
      <c r="B266" s="2"/>
      <c r="C266" s="2"/>
      <c r="D266" s="2"/>
      <c r="E266" s="2"/>
      <c r="F266" s="2"/>
      <c r="G266" s="2"/>
      <c r="H266" s="2"/>
      <c r="I266" s="2"/>
      <c r="J266" s="2"/>
      <c r="K266" s="2"/>
      <c r="L266" s="2"/>
      <c r="M266" s="2"/>
      <c r="N266" s="2"/>
      <c r="O266" s="2"/>
      <c r="P266" s="2"/>
      <c r="Q266" s="2"/>
      <c r="R266" s="2"/>
      <c r="S266" s="23"/>
      <c r="T266" s="23"/>
      <c r="U266" s="23"/>
      <c r="V266" s="23"/>
      <c r="W266" s="23"/>
      <c r="X266" s="23"/>
      <c r="Y266" s="23"/>
    </row>
    <row r="267" spans="1:25" ht="14.25" thickBot="1" x14ac:dyDescent="0.2">
      <c r="A267" s="23"/>
      <c r="B267" s="2"/>
      <c r="C267" s="2"/>
      <c r="D267" s="2"/>
      <c r="E267" s="63" t="s">
        <v>45</v>
      </c>
      <c r="F267" s="63"/>
      <c r="G267" s="313">
        <f>IF($C$130=TRUE,入力シート!$I$266,0)</f>
        <v>0</v>
      </c>
      <c r="H267" s="314"/>
      <c r="I267" s="315"/>
      <c r="J267" s="2"/>
      <c r="K267" s="65"/>
      <c r="L267" s="2"/>
      <c r="M267" s="2"/>
      <c r="N267" s="2"/>
      <c r="O267" s="2"/>
      <c r="P267" s="2"/>
      <c r="Q267" s="2"/>
      <c r="R267" s="2"/>
      <c r="S267" s="23"/>
      <c r="T267" s="23"/>
      <c r="U267" s="23"/>
      <c r="V267" s="23"/>
      <c r="W267" s="23"/>
      <c r="X267" s="23"/>
      <c r="Y267" s="23"/>
    </row>
    <row r="268" spans="1:25" ht="5.0999999999999996" customHeight="1" thickBot="1" x14ac:dyDescent="0.2">
      <c r="A268" s="23"/>
      <c r="B268" s="2"/>
      <c r="C268" s="2"/>
      <c r="D268" s="2"/>
      <c r="E268" s="2"/>
      <c r="F268" s="2"/>
      <c r="G268" s="2"/>
      <c r="H268" s="2"/>
      <c r="I268" s="2"/>
      <c r="J268" s="2"/>
      <c r="K268" s="2"/>
      <c r="L268" s="2"/>
      <c r="M268" s="2"/>
      <c r="N268" s="2"/>
      <c r="O268" s="2"/>
      <c r="P268" s="2"/>
      <c r="Q268" s="2"/>
      <c r="R268" s="2"/>
      <c r="S268" s="23"/>
      <c r="T268" s="23"/>
      <c r="U268" s="23"/>
      <c r="V268" s="23"/>
      <c r="W268" s="23"/>
      <c r="X268" s="23"/>
      <c r="Y268" s="23"/>
    </row>
    <row r="269" spans="1:25" ht="14.25" thickBot="1" x14ac:dyDescent="0.2">
      <c r="A269" s="23"/>
      <c r="B269" s="2"/>
      <c r="C269" s="2"/>
      <c r="D269" s="2"/>
      <c r="E269" s="63" t="s">
        <v>47</v>
      </c>
      <c r="F269" s="63"/>
      <c r="G269" s="273">
        <f>IF($C$130=TRUE,$G$263+$G$265+$G$267,0)</f>
        <v>0</v>
      </c>
      <c r="H269" s="274"/>
      <c r="I269" s="275"/>
      <c r="J269" s="2"/>
      <c r="K269" s="2"/>
      <c r="L269" s="2"/>
      <c r="M269" s="2"/>
      <c r="N269" s="2"/>
      <c r="O269" s="2"/>
      <c r="P269" s="2"/>
      <c r="Q269" s="2"/>
      <c r="R269" s="2"/>
      <c r="S269" s="23"/>
      <c r="T269" s="23"/>
      <c r="U269" s="23"/>
      <c r="V269" s="23"/>
      <c r="W269" s="23"/>
      <c r="X269" s="23"/>
      <c r="Y269" s="23"/>
    </row>
    <row r="270" spans="1:25" ht="5.0999999999999996" customHeight="1" thickBot="1" x14ac:dyDescent="0.2">
      <c r="A270" s="23"/>
      <c r="B270" s="2"/>
      <c r="C270" s="2"/>
      <c r="D270" s="2"/>
      <c r="E270" s="2"/>
      <c r="F270" s="2"/>
      <c r="G270" s="2"/>
      <c r="H270" s="2"/>
      <c r="I270" s="2"/>
      <c r="J270" s="2"/>
      <c r="K270" s="2"/>
      <c r="L270" s="2"/>
      <c r="M270" s="2"/>
      <c r="N270" s="2"/>
      <c r="O270" s="2"/>
      <c r="P270" s="2"/>
      <c r="Q270" s="2"/>
      <c r="R270" s="2"/>
      <c r="S270" s="23"/>
      <c r="T270" s="23"/>
      <c r="U270" s="23"/>
      <c r="V270" s="23"/>
      <c r="W270" s="23"/>
      <c r="X270" s="23"/>
      <c r="Y270" s="23"/>
    </row>
    <row r="271" spans="1:25" ht="14.25" thickBot="1" x14ac:dyDescent="0.2">
      <c r="A271" s="23"/>
      <c r="B271" s="2"/>
      <c r="C271" s="2"/>
      <c r="D271" s="2"/>
      <c r="E271" s="63" t="s">
        <v>48</v>
      </c>
      <c r="F271" s="63"/>
      <c r="G271" s="273">
        <f>IF($C$130=TRUE,ROUNDDOWN($G$269/2,-3),0)</f>
        <v>0</v>
      </c>
      <c r="H271" s="274"/>
      <c r="I271" s="275"/>
      <c r="J271" s="2"/>
      <c r="K271" s="65"/>
      <c r="L271" s="2"/>
      <c r="M271" s="2"/>
      <c r="N271" s="2"/>
      <c r="O271" s="2"/>
      <c r="P271" s="2"/>
      <c r="Q271" s="2"/>
      <c r="R271" s="2"/>
      <c r="S271" s="23"/>
      <c r="T271" s="23"/>
      <c r="U271" s="23"/>
      <c r="V271" s="23"/>
      <c r="W271" s="23"/>
      <c r="X271" s="23"/>
      <c r="Y271" s="23"/>
    </row>
    <row r="272" spans="1:25" ht="5.0999999999999996" customHeight="1" x14ac:dyDescent="0.15">
      <c r="A272" s="23"/>
      <c r="B272" s="2"/>
      <c r="C272" s="2"/>
      <c r="D272" s="2"/>
      <c r="E272" s="2"/>
      <c r="F272" s="2"/>
      <c r="G272" s="2"/>
      <c r="H272" s="2"/>
      <c r="I272" s="2"/>
      <c r="J272" s="2"/>
      <c r="K272" s="2"/>
      <c r="L272" s="2"/>
      <c r="M272" s="2"/>
      <c r="N272" s="2"/>
      <c r="O272" s="2"/>
      <c r="P272" s="2"/>
      <c r="Q272" s="2"/>
      <c r="R272" s="2"/>
      <c r="S272" s="23"/>
      <c r="T272" s="23"/>
      <c r="U272" s="23"/>
      <c r="V272" s="23"/>
      <c r="W272" s="23"/>
      <c r="X272" s="23"/>
      <c r="Y272" s="23"/>
    </row>
    <row r="273" spans="1:25" x14ac:dyDescent="0.15">
      <c r="A273" s="23"/>
      <c r="B273" s="2"/>
      <c r="C273" s="2" t="s">
        <v>54</v>
      </c>
      <c r="D273" s="2"/>
      <c r="E273" s="2"/>
      <c r="F273" s="2"/>
      <c r="G273" s="2"/>
      <c r="H273" s="2"/>
      <c r="I273" s="2"/>
      <c r="J273" s="2"/>
      <c r="K273" s="2"/>
      <c r="L273" s="2"/>
      <c r="M273" s="2"/>
      <c r="N273" s="2"/>
      <c r="O273" s="2"/>
      <c r="P273" s="2"/>
      <c r="Q273" s="2"/>
      <c r="R273" s="2"/>
      <c r="S273" s="23"/>
      <c r="T273" s="23"/>
      <c r="U273" s="23"/>
      <c r="V273" s="23"/>
      <c r="W273" s="23"/>
      <c r="X273" s="23"/>
      <c r="Y273" s="23"/>
    </row>
    <row r="274" spans="1:25" ht="5.0999999999999996" customHeight="1" thickBot="1" x14ac:dyDescent="0.2">
      <c r="A274" s="23"/>
      <c r="B274" s="2"/>
      <c r="C274" s="2"/>
      <c r="D274" s="2"/>
      <c r="E274" s="2"/>
      <c r="F274" s="2"/>
      <c r="G274" s="2"/>
      <c r="H274" s="2"/>
      <c r="I274" s="2"/>
      <c r="J274" s="2"/>
      <c r="K274" s="2"/>
      <c r="L274" s="2"/>
      <c r="M274" s="2"/>
      <c r="N274" s="2"/>
      <c r="O274" s="2"/>
      <c r="P274" s="2"/>
      <c r="Q274" s="2"/>
      <c r="R274" s="2"/>
      <c r="S274" s="23"/>
      <c r="T274" s="23"/>
      <c r="U274" s="23"/>
      <c r="V274" s="23"/>
      <c r="W274" s="23"/>
      <c r="X274" s="23"/>
      <c r="Y274" s="23"/>
    </row>
    <row r="275" spans="1:25" ht="14.25" thickBot="1" x14ac:dyDescent="0.2">
      <c r="A275" s="23"/>
      <c r="B275" s="2"/>
      <c r="C275" s="2"/>
      <c r="D275" s="2"/>
      <c r="E275" s="63" t="s">
        <v>50</v>
      </c>
      <c r="F275" s="63"/>
      <c r="G275" s="313">
        <f>IF($C$132=TRUE,入力シート!$I$274,0)</f>
        <v>0</v>
      </c>
      <c r="H275" s="314"/>
      <c r="I275" s="315"/>
      <c r="J275" s="2"/>
      <c r="K275" s="65"/>
      <c r="L275" s="2"/>
      <c r="M275" s="2"/>
      <c r="N275" s="2"/>
      <c r="O275" s="2"/>
      <c r="P275" s="2"/>
      <c r="Q275" s="2"/>
      <c r="R275" s="2"/>
      <c r="S275" s="23"/>
      <c r="T275" s="23"/>
      <c r="U275" s="23"/>
      <c r="V275" s="23"/>
      <c r="W275" s="23"/>
      <c r="X275" s="23"/>
      <c r="Y275" s="23"/>
    </row>
    <row r="276" spans="1:25" ht="5.0999999999999996" customHeight="1" thickBot="1" x14ac:dyDescent="0.2">
      <c r="A276" s="23"/>
      <c r="B276" s="2"/>
      <c r="C276" s="2"/>
      <c r="D276" s="2"/>
      <c r="E276" s="2"/>
      <c r="F276" s="2"/>
      <c r="G276" s="2"/>
      <c r="H276" s="2"/>
      <c r="I276" s="2"/>
      <c r="J276" s="2"/>
      <c r="K276" s="2"/>
      <c r="L276" s="2"/>
      <c r="M276" s="2"/>
      <c r="N276" s="2"/>
      <c r="O276" s="2"/>
      <c r="P276" s="2"/>
      <c r="Q276" s="2"/>
      <c r="R276" s="2"/>
      <c r="S276" s="23"/>
      <c r="T276" s="23"/>
      <c r="U276" s="23"/>
      <c r="V276" s="23"/>
      <c r="W276" s="23"/>
      <c r="X276" s="23"/>
      <c r="Y276" s="23"/>
    </row>
    <row r="277" spans="1:25" ht="14.25" thickBot="1" x14ac:dyDescent="0.2">
      <c r="A277" s="23"/>
      <c r="B277" s="2"/>
      <c r="C277" s="2"/>
      <c r="D277" s="2"/>
      <c r="E277" s="63" t="s">
        <v>44</v>
      </c>
      <c r="F277" s="63"/>
      <c r="G277" s="313">
        <f>IF($C$132=TRUE,入力シート!$I$276,0)</f>
        <v>0</v>
      </c>
      <c r="H277" s="314"/>
      <c r="I277" s="315"/>
      <c r="J277" s="2"/>
      <c r="K277" s="65"/>
      <c r="L277" s="2"/>
      <c r="M277" s="2"/>
      <c r="N277" s="2"/>
      <c r="O277" s="2"/>
      <c r="P277" s="2"/>
      <c r="Q277" s="2"/>
      <c r="R277" s="2"/>
      <c r="S277" s="23"/>
      <c r="T277" s="23"/>
      <c r="U277" s="23"/>
      <c r="V277" s="23"/>
      <c r="W277" s="23"/>
      <c r="X277" s="23"/>
      <c r="Y277" s="23"/>
    </row>
    <row r="278" spans="1:25" ht="5.0999999999999996" customHeight="1" thickBot="1" x14ac:dyDescent="0.2">
      <c r="A278" s="23"/>
      <c r="B278" s="2"/>
      <c r="C278" s="2"/>
      <c r="D278" s="2"/>
      <c r="E278" s="2"/>
      <c r="F278" s="2"/>
      <c r="G278" s="2"/>
      <c r="H278" s="2"/>
      <c r="I278" s="2"/>
      <c r="J278" s="2"/>
      <c r="K278" s="2"/>
      <c r="L278" s="2"/>
      <c r="M278" s="2"/>
      <c r="N278" s="2"/>
      <c r="O278" s="2"/>
      <c r="P278" s="2"/>
      <c r="Q278" s="2"/>
      <c r="R278" s="2"/>
      <c r="S278" s="23"/>
      <c r="T278" s="23"/>
      <c r="U278" s="23"/>
      <c r="V278" s="23"/>
      <c r="W278" s="23"/>
      <c r="X278" s="23"/>
      <c r="Y278" s="23"/>
    </row>
    <row r="279" spans="1:25" ht="14.25" thickBot="1" x14ac:dyDescent="0.2">
      <c r="A279" s="23"/>
      <c r="B279" s="2"/>
      <c r="C279" s="2"/>
      <c r="D279" s="2"/>
      <c r="E279" s="63" t="s">
        <v>45</v>
      </c>
      <c r="F279" s="63"/>
      <c r="G279" s="313">
        <f>IF($C$132=TRUE,入力シート!$I$278,0)</f>
        <v>0</v>
      </c>
      <c r="H279" s="314"/>
      <c r="I279" s="315"/>
      <c r="J279" s="2"/>
      <c r="K279" s="65"/>
      <c r="L279" s="2"/>
      <c r="M279" s="2"/>
      <c r="N279" s="2"/>
      <c r="O279" s="2"/>
      <c r="P279" s="2"/>
      <c r="Q279" s="2"/>
      <c r="R279" s="2"/>
      <c r="S279" s="23"/>
      <c r="T279" s="23"/>
      <c r="U279" s="23"/>
      <c r="V279" s="23"/>
      <c r="W279" s="23"/>
      <c r="X279" s="23"/>
      <c r="Y279" s="23"/>
    </row>
    <row r="280" spans="1:25" ht="5.0999999999999996" customHeight="1" thickBot="1" x14ac:dyDescent="0.2">
      <c r="A280" s="23"/>
      <c r="B280" s="2"/>
      <c r="C280" s="2"/>
      <c r="D280" s="2"/>
      <c r="E280" s="2"/>
      <c r="F280" s="2"/>
      <c r="G280" s="2"/>
      <c r="H280" s="2"/>
      <c r="I280" s="2"/>
      <c r="J280" s="2"/>
      <c r="K280" s="2"/>
      <c r="L280" s="2"/>
      <c r="M280" s="2"/>
      <c r="N280" s="2"/>
      <c r="O280" s="2"/>
      <c r="P280" s="2"/>
      <c r="Q280" s="2"/>
      <c r="R280" s="2"/>
      <c r="S280" s="23"/>
      <c r="T280" s="23"/>
      <c r="U280" s="23"/>
      <c r="V280" s="23"/>
      <c r="W280" s="23"/>
      <c r="X280" s="23"/>
      <c r="Y280" s="23"/>
    </row>
    <row r="281" spans="1:25" ht="14.25" thickBot="1" x14ac:dyDescent="0.2">
      <c r="A281" s="23"/>
      <c r="B281" s="2"/>
      <c r="C281" s="2"/>
      <c r="D281" s="2"/>
      <c r="E281" s="63" t="s">
        <v>47</v>
      </c>
      <c r="F281" s="63"/>
      <c r="G281" s="273">
        <f>IF($C$132=TRUE,$G$275+$G$277+$G$279,0)</f>
        <v>0</v>
      </c>
      <c r="H281" s="274"/>
      <c r="I281" s="275"/>
      <c r="J281" s="2"/>
      <c r="K281" s="11" t="str">
        <f>IF(AND(G281&gt;0,G247=0,G259=0,G271=0),"　AI・IoTによるシステム連係ツールのみの申請はできません","")</f>
        <v/>
      </c>
      <c r="L281" s="2"/>
      <c r="M281" s="2"/>
      <c r="N281" s="2"/>
      <c r="O281" s="2"/>
      <c r="P281" s="2"/>
      <c r="Q281" s="2"/>
      <c r="R281" s="2"/>
      <c r="S281" s="23"/>
      <c r="T281" s="23"/>
      <c r="U281" s="23"/>
      <c r="V281" s="23"/>
      <c r="W281" s="23"/>
      <c r="X281" s="23"/>
      <c r="Y281" s="23"/>
    </row>
    <row r="282" spans="1:25" ht="5.0999999999999996" customHeight="1" thickBot="1" x14ac:dyDescent="0.2">
      <c r="A282" s="23"/>
      <c r="B282" s="2"/>
      <c r="C282" s="2"/>
      <c r="D282" s="2"/>
      <c r="E282" s="2"/>
      <c r="F282" s="2"/>
      <c r="G282" s="2"/>
      <c r="H282" s="2"/>
      <c r="I282" s="2"/>
      <c r="J282" s="2"/>
      <c r="K282" s="2"/>
      <c r="L282" s="2"/>
      <c r="M282" s="2"/>
      <c r="N282" s="2"/>
      <c r="O282" s="2"/>
      <c r="P282" s="2"/>
      <c r="Q282" s="2"/>
      <c r="R282" s="2"/>
      <c r="S282" s="23"/>
      <c r="T282" s="23"/>
      <c r="U282" s="23"/>
      <c r="V282" s="23"/>
      <c r="W282" s="23"/>
      <c r="X282" s="23"/>
      <c r="Y282" s="23"/>
    </row>
    <row r="283" spans="1:25" ht="14.25" thickBot="1" x14ac:dyDescent="0.2">
      <c r="A283" s="23"/>
      <c r="B283" s="2"/>
      <c r="C283" s="2"/>
      <c r="D283" s="2"/>
      <c r="E283" s="63" t="s">
        <v>48</v>
      </c>
      <c r="F283" s="63"/>
      <c r="G283" s="273">
        <f>IF($C$132=TRUE,ROUNDDOWN($G$281/2,-3),0)</f>
        <v>0</v>
      </c>
      <c r="H283" s="274"/>
      <c r="I283" s="275"/>
      <c r="J283" s="2"/>
      <c r="K283" s="65"/>
      <c r="L283" s="2"/>
      <c r="M283" s="2"/>
      <c r="N283" s="2"/>
      <c r="O283" s="2"/>
      <c r="P283" s="2"/>
      <c r="Q283" s="2"/>
      <c r="R283" s="2"/>
      <c r="S283" s="23"/>
      <c r="T283" s="23"/>
      <c r="U283" s="23"/>
      <c r="V283" s="23"/>
      <c r="W283" s="23"/>
      <c r="X283" s="23"/>
      <c r="Y283" s="23"/>
    </row>
    <row r="284" spans="1:25" ht="5.0999999999999996" customHeight="1" x14ac:dyDescent="0.15">
      <c r="A284" s="23"/>
      <c r="B284" s="2"/>
      <c r="C284" s="2"/>
      <c r="D284" s="2"/>
      <c r="E284" s="2"/>
      <c r="F284" s="2"/>
      <c r="G284" s="2"/>
      <c r="H284" s="2"/>
      <c r="I284" s="2"/>
      <c r="J284" s="2"/>
      <c r="K284" s="2"/>
      <c r="L284" s="2"/>
      <c r="M284" s="2"/>
      <c r="N284" s="2"/>
      <c r="O284" s="2"/>
      <c r="P284" s="2"/>
      <c r="Q284" s="2"/>
      <c r="R284" s="2"/>
      <c r="S284" s="23"/>
      <c r="T284" s="23"/>
      <c r="U284" s="23"/>
      <c r="V284" s="23"/>
      <c r="W284" s="23"/>
      <c r="X284" s="23"/>
      <c r="Y284" s="23"/>
    </row>
    <row r="285" spans="1:25" x14ac:dyDescent="0.15">
      <c r="A285" s="23"/>
      <c r="B285" s="2"/>
      <c r="C285" s="2" t="s">
        <v>55</v>
      </c>
      <c r="D285" s="2"/>
      <c r="E285" s="2"/>
      <c r="F285" s="2"/>
      <c r="G285" s="2"/>
      <c r="H285" s="2"/>
      <c r="I285" s="2"/>
      <c r="J285" s="2"/>
      <c r="K285" s="2"/>
      <c r="L285" s="2"/>
      <c r="M285" s="2"/>
      <c r="N285" s="2"/>
      <c r="O285" s="2"/>
      <c r="P285" s="2"/>
      <c r="Q285" s="2"/>
      <c r="R285" s="2"/>
      <c r="S285" s="23"/>
      <c r="T285" s="23"/>
      <c r="U285" s="23"/>
      <c r="V285" s="23"/>
      <c r="W285" s="23"/>
      <c r="X285" s="23"/>
      <c r="Y285" s="23"/>
    </row>
    <row r="286" spans="1:25" ht="5.0999999999999996" customHeight="1" thickBot="1" x14ac:dyDescent="0.2">
      <c r="A286" s="23"/>
      <c r="B286" s="2"/>
      <c r="C286" s="2"/>
      <c r="D286" s="2"/>
      <c r="E286" s="2"/>
      <c r="F286" s="2"/>
      <c r="G286" s="2"/>
      <c r="H286" s="2"/>
      <c r="I286" s="2"/>
      <c r="J286" s="2"/>
      <c r="K286" s="2"/>
      <c r="L286" s="2"/>
      <c r="M286" s="2"/>
      <c r="N286" s="2"/>
      <c r="O286" s="2"/>
      <c r="P286" s="2"/>
      <c r="Q286" s="2"/>
      <c r="R286" s="2"/>
      <c r="S286" s="23"/>
      <c r="T286" s="23"/>
      <c r="U286" s="23"/>
      <c r="V286" s="23"/>
      <c r="W286" s="23"/>
      <c r="X286" s="23"/>
      <c r="Y286" s="23"/>
    </row>
    <row r="287" spans="1:25" ht="14.25" thickBot="1" x14ac:dyDescent="0.2">
      <c r="A287" s="23"/>
      <c r="B287" s="2"/>
      <c r="C287" s="2"/>
      <c r="D287" s="2"/>
      <c r="E287" s="63" t="s">
        <v>56</v>
      </c>
      <c r="F287" s="63"/>
      <c r="G287" s="267">
        <f>$G$245+$G$257+$G$269+$G$281</f>
        <v>0</v>
      </c>
      <c r="H287" s="268"/>
      <c r="I287" s="269"/>
      <c r="J287" s="2"/>
      <c r="K287" s="2"/>
      <c r="L287" s="2"/>
      <c r="M287" s="2"/>
      <c r="N287" s="2"/>
      <c r="O287" s="2"/>
      <c r="P287" s="2"/>
      <c r="Q287" s="2"/>
      <c r="R287" s="2"/>
      <c r="S287" s="23"/>
      <c r="T287" s="23"/>
      <c r="U287" s="23"/>
      <c r="V287" s="23"/>
      <c r="W287" s="23"/>
      <c r="X287" s="23"/>
      <c r="Y287" s="23"/>
    </row>
    <row r="288" spans="1:25" ht="5.0999999999999996" customHeight="1" thickBot="1" x14ac:dyDescent="0.2">
      <c r="A288" s="23"/>
      <c r="B288" s="2"/>
      <c r="C288" s="2"/>
      <c r="D288" s="2"/>
      <c r="E288" s="2"/>
      <c r="F288" s="2"/>
      <c r="G288" s="2"/>
      <c r="H288" s="2"/>
      <c r="I288" s="2"/>
      <c r="J288" s="2"/>
      <c r="K288" s="2"/>
      <c r="L288" s="2"/>
      <c r="M288" s="2"/>
      <c r="N288" s="2"/>
      <c r="O288" s="2"/>
      <c r="P288" s="2"/>
      <c r="Q288" s="2"/>
      <c r="R288" s="2"/>
      <c r="S288" s="23"/>
      <c r="T288" s="23"/>
      <c r="U288" s="23"/>
      <c r="V288" s="23"/>
      <c r="W288" s="23"/>
      <c r="X288" s="23"/>
      <c r="Y288" s="23"/>
    </row>
    <row r="289" spans="1:25" ht="14.25" thickBot="1" x14ac:dyDescent="0.2">
      <c r="A289" s="23"/>
      <c r="B289" s="2"/>
      <c r="C289" s="2"/>
      <c r="D289" s="2"/>
      <c r="E289" s="63" t="s">
        <v>57</v>
      </c>
      <c r="F289" s="63"/>
      <c r="G289" s="267">
        <f>$G$247+$G$259+$G$271+$G$283</f>
        <v>0</v>
      </c>
      <c r="H289" s="268"/>
      <c r="I289" s="269"/>
      <c r="J289" s="2"/>
      <c r="K289" s="65"/>
      <c r="L289" s="2"/>
      <c r="M289" s="2"/>
      <c r="N289" s="2"/>
      <c r="O289" s="2"/>
      <c r="P289" s="2"/>
      <c r="Q289" s="2"/>
      <c r="R289" s="2"/>
      <c r="S289" s="23"/>
      <c r="T289" s="23"/>
      <c r="U289" s="23"/>
      <c r="V289" s="23"/>
      <c r="W289" s="23"/>
      <c r="X289" s="23"/>
      <c r="Y289" s="23"/>
    </row>
    <row r="290" spans="1:25" ht="5.0999999999999996" customHeight="1" x14ac:dyDescent="0.15">
      <c r="A290" s="23"/>
      <c r="B290" s="2"/>
      <c r="C290" s="2"/>
      <c r="D290" s="2"/>
      <c r="E290" s="2"/>
      <c r="F290" s="2"/>
      <c r="G290" s="2"/>
      <c r="H290" s="2"/>
      <c r="I290" s="2"/>
      <c r="J290" s="2"/>
      <c r="K290" s="2"/>
      <c r="L290" s="2"/>
      <c r="M290" s="2"/>
      <c r="N290" s="2"/>
      <c r="O290" s="2"/>
      <c r="P290" s="2"/>
      <c r="Q290" s="2"/>
      <c r="R290" s="2"/>
      <c r="S290" s="23"/>
      <c r="T290" s="23"/>
      <c r="U290" s="23"/>
      <c r="V290" s="23"/>
      <c r="W290" s="23"/>
      <c r="X290" s="23"/>
      <c r="Y290" s="23"/>
    </row>
    <row r="291" spans="1:25" x14ac:dyDescent="0.15">
      <c r="A291" s="23"/>
      <c r="B291" s="2"/>
      <c r="C291" s="6"/>
      <c r="D291" s="6"/>
      <c r="E291" s="2"/>
      <c r="F291" s="2"/>
      <c r="G291" s="2"/>
      <c r="H291" s="2"/>
      <c r="I291" s="2"/>
      <c r="J291" s="2"/>
      <c r="K291" s="2"/>
      <c r="L291" s="2"/>
      <c r="M291" s="2"/>
      <c r="N291" s="2"/>
      <c r="O291" s="2"/>
      <c r="P291" s="2"/>
      <c r="Q291" s="2"/>
      <c r="R291" s="2"/>
      <c r="S291" s="23"/>
      <c r="T291" s="23"/>
      <c r="U291" s="23"/>
      <c r="V291" s="23"/>
      <c r="W291" s="23"/>
      <c r="X291" s="23"/>
      <c r="Y291" s="23"/>
    </row>
    <row r="292" spans="1:25" ht="5.0999999999999996" customHeight="1" x14ac:dyDescent="0.15">
      <c r="A292" s="23"/>
      <c r="B292" s="2"/>
      <c r="C292" s="2"/>
      <c r="D292" s="2"/>
      <c r="E292" s="2"/>
      <c r="F292" s="2"/>
      <c r="G292" s="2"/>
      <c r="H292" s="2"/>
      <c r="I292" s="2"/>
      <c r="J292" s="2"/>
      <c r="K292" s="2"/>
      <c r="L292" s="2"/>
      <c r="M292" s="2"/>
      <c r="N292" s="2"/>
      <c r="O292" s="2"/>
      <c r="P292" s="2"/>
      <c r="Q292" s="2"/>
      <c r="R292" s="2"/>
      <c r="S292" s="23"/>
      <c r="T292" s="23"/>
      <c r="U292" s="23"/>
      <c r="V292" s="23"/>
      <c r="W292" s="23"/>
      <c r="X292" s="23"/>
      <c r="Y292" s="23"/>
    </row>
    <row r="293" spans="1:25" x14ac:dyDescent="0.15">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row>
    <row r="294" spans="1:25" ht="5.0999999999999996" customHeight="1" x14ac:dyDescent="0.15">
      <c r="A294" s="23"/>
      <c r="B294" s="4"/>
      <c r="C294" s="4"/>
      <c r="D294" s="4"/>
      <c r="E294" s="4"/>
      <c r="F294" s="4"/>
      <c r="G294" s="4"/>
      <c r="H294" s="4"/>
      <c r="I294" s="4"/>
      <c r="J294" s="4"/>
      <c r="K294" s="4"/>
      <c r="L294" s="4"/>
      <c r="M294" s="4"/>
      <c r="N294" s="4"/>
      <c r="O294" s="4"/>
      <c r="P294" s="4"/>
      <c r="Q294" s="4"/>
      <c r="R294" s="4"/>
      <c r="S294" s="23"/>
      <c r="T294" s="23"/>
      <c r="U294" s="23"/>
      <c r="V294" s="23"/>
      <c r="W294" s="23"/>
      <c r="X294" s="23"/>
      <c r="Y294" s="23"/>
    </row>
    <row r="295" spans="1:25" x14ac:dyDescent="0.15">
      <c r="A295" s="23"/>
      <c r="B295" s="28" t="s">
        <v>252</v>
      </c>
      <c r="C295" s="4"/>
      <c r="D295" s="4"/>
      <c r="E295" s="4"/>
      <c r="F295" s="4"/>
      <c r="G295" s="4"/>
      <c r="H295" s="4"/>
      <c r="I295" s="4"/>
      <c r="J295" s="4"/>
      <c r="K295" s="4"/>
      <c r="L295" s="4"/>
      <c r="M295" s="4"/>
      <c r="N295" s="4"/>
      <c r="O295" s="4"/>
      <c r="P295" s="4"/>
      <c r="Q295" s="4"/>
      <c r="R295" s="4"/>
      <c r="S295" s="23"/>
      <c r="T295" s="23"/>
      <c r="U295" s="23"/>
      <c r="V295" s="23"/>
      <c r="W295" s="23"/>
      <c r="X295" s="23"/>
      <c r="Y295" s="23"/>
    </row>
    <row r="296" spans="1:25" ht="5.0999999999999996" customHeight="1" x14ac:dyDescent="0.15">
      <c r="A296" s="23"/>
      <c r="B296" s="4"/>
      <c r="C296" s="4"/>
      <c r="D296" s="4"/>
      <c r="E296" s="4"/>
      <c r="F296" s="4"/>
      <c r="G296" s="4"/>
      <c r="H296" s="4"/>
      <c r="I296" s="4"/>
      <c r="J296" s="4"/>
      <c r="K296" s="4"/>
      <c r="L296" s="4"/>
      <c r="M296" s="4"/>
      <c r="N296" s="4"/>
      <c r="O296" s="4"/>
      <c r="P296" s="4"/>
      <c r="Q296" s="4"/>
      <c r="R296" s="4"/>
      <c r="S296" s="23"/>
      <c r="T296" s="23"/>
      <c r="U296" s="23"/>
      <c r="V296" s="23"/>
      <c r="W296" s="23"/>
      <c r="X296" s="23"/>
      <c r="Y296" s="23"/>
    </row>
    <row r="297" spans="1:25" x14ac:dyDescent="0.15">
      <c r="A297" s="23"/>
      <c r="B297" s="4"/>
      <c r="C297" s="66"/>
      <c r="D297" s="66"/>
      <c r="E297" s="4"/>
      <c r="F297" s="4"/>
      <c r="G297" s="4"/>
      <c r="H297" s="4"/>
      <c r="I297" s="4"/>
      <c r="J297" s="4"/>
      <c r="K297" s="4"/>
      <c r="L297" s="4"/>
      <c r="M297" s="4"/>
      <c r="N297" s="4"/>
      <c r="O297" s="4"/>
      <c r="P297" s="4"/>
      <c r="Q297" s="4"/>
      <c r="R297" s="4"/>
      <c r="S297" s="23"/>
      <c r="T297" s="23"/>
      <c r="U297" s="23"/>
      <c r="V297" s="23"/>
      <c r="W297" s="23"/>
      <c r="X297" s="23"/>
      <c r="Y297" s="23"/>
    </row>
    <row r="298" spans="1:25" ht="5.0999999999999996" customHeight="1" x14ac:dyDescent="0.15">
      <c r="A298" s="23"/>
      <c r="B298" s="4"/>
      <c r="C298" s="4"/>
      <c r="D298" s="4"/>
      <c r="E298" s="4"/>
      <c r="F298" s="4"/>
      <c r="G298" s="4"/>
      <c r="H298" s="4"/>
      <c r="I298" s="4"/>
      <c r="J298" s="4"/>
      <c r="K298" s="4"/>
      <c r="L298" s="4"/>
      <c r="M298" s="4"/>
      <c r="N298" s="4"/>
      <c r="O298" s="4"/>
      <c r="P298" s="4"/>
      <c r="Q298" s="4"/>
      <c r="R298" s="4"/>
      <c r="S298" s="23"/>
      <c r="T298" s="23"/>
      <c r="U298" s="23"/>
      <c r="V298" s="23"/>
      <c r="W298" s="23"/>
      <c r="X298" s="23"/>
      <c r="Y298" s="23"/>
    </row>
    <row r="299" spans="1:25" x14ac:dyDescent="0.15">
      <c r="A299" s="23"/>
      <c r="B299" s="4"/>
      <c r="C299" s="66"/>
      <c r="D299" s="66"/>
      <c r="E299" s="4"/>
      <c r="F299" s="4"/>
      <c r="G299" s="4"/>
      <c r="H299" s="4"/>
      <c r="I299" s="4"/>
      <c r="J299" s="4"/>
      <c r="K299" s="4"/>
      <c r="L299" s="4"/>
      <c r="M299" s="4"/>
      <c r="N299" s="4"/>
      <c r="O299" s="4"/>
      <c r="P299" s="4"/>
      <c r="Q299" s="4"/>
      <c r="R299" s="4"/>
      <c r="S299" s="23"/>
      <c r="T299" s="23"/>
      <c r="U299" s="23"/>
      <c r="V299" s="23"/>
      <c r="W299" s="23"/>
      <c r="X299" s="23"/>
      <c r="Y299" s="23"/>
    </row>
    <row r="300" spans="1:25" ht="5.0999999999999996" customHeight="1" thickBot="1" x14ac:dyDescent="0.2">
      <c r="A300" s="23"/>
      <c r="B300" s="4"/>
      <c r="C300" s="4"/>
      <c r="D300" s="4"/>
      <c r="E300" s="4"/>
      <c r="F300" s="4"/>
      <c r="G300" s="4"/>
      <c r="H300" s="4"/>
      <c r="I300" s="4"/>
      <c r="J300" s="4"/>
      <c r="K300" s="4"/>
      <c r="L300" s="4"/>
      <c r="M300" s="4"/>
      <c r="N300" s="4"/>
      <c r="O300" s="4"/>
      <c r="P300" s="4"/>
      <c r="Q300" s="4"/>
      <c r="R300" s="4"/>
      <c r="S300" s="23"/>
      <c r="T300" s="23"/>
      <c r="U300" s="23"/>
      <c r="V300" s="23"/>
      <c r="W300" s="23"/>
      <c r="X300" s="23"/>
      <c r="Y300" s="23"/>
    </row>
    <row r="301" spans="1:25" ht="14.25" thickBot="1" x14ac:dyDescent="0.2">
      <c r="A301" s="23"/>
      <c r="B301" s="4"/>
      <c r="C301" s="27" t="b">
        <f>IF(入力シート!$C$300="✓",TRUE,FALSE)</f>
        <v>0</v>
      </c>
      <c r="D301" s="4"/>
      <c r="E301" s="4" t="s">
        <v>128</v>
      </c>
      <c r="F301" s="4"/>
      <c r="G301" s="4"/>
      <c r="H301" s="4"/>
      <c r="I301" s="4"/>
      <c r="J301" s="4"/>
      <c r="K301" s="4"/>
      <c r="L301" s="4"/>
      <c r="M301" s="4"/>
      <c r="N301" s="4"/>
      <c r="O301" s="4"/>
      <c r="P301" s="4"/>
      <c r="Q301" s="4"/>
      <c r="R301" s="4"/>
      <c r="S301" s="23"/>
      <c r="T301" s="23"/>
      <c r="U301" s="23"/>
      <c r="V301" s="23"/>
      <c r="W301" s="23"/>
      <c r="X301" s="23"/>
      <c r="Y301" s="23"/>
    </row>
    <row r="302" spans="1:25" ht="5.0999999999999996" customHeight="1" x14ac:dyDescent="0.15">
      <c r="A302" s="23"/>
      <c r="B302" s="4"/>
      <c r="C302" s="4"/>
      <c r="D302" s="4"/>
      <c r="E302" s="4"/>
      <c r="F302" s="4"/>
      <c r="G302" s="4"/>
      <c r="H302" s="4"/>
      <c r="I302" s="4"/>
      <c r="J302" s="4"/>
      <c r="K302" s="4"/>
      <c r="L302" s="4"/>
      <c r="M302" s="4"/>
      <c r="N302" s="4"/>
      <c r="O302" s="4"/>
      <c r="P302" s="4"/>
      <c r="Q302" s="4"/>
      <c r="R302" s="4"/>
      <c r="S302" s="23"/>
      <c r="T302" s="23"/>
      <c r="U302" s="23"/>
      <c r="V302" s="23"/>
      <c r="W302" s="23"/>
      <c r="X302" s="23"/>
      <c r="Y302" s="23"/>
    </row>
    <row r="303" spans="1:25" x14ac:dyDescent="0.15">
      <c r="A303" s="23"/>
      <c r="B303" s="4"/>
      <c r="C303" s="4" t="s">
        <v>43</v>
      </c>
      <c r="D303" s="4"/>
      <c r="E303" s="4"/>
      <c r="F303" s="4"/>
      <c r="G303" s="4"/>
      <c r="H303" s="4"/>
      <c r="I303" s="4"/>
      <c r="J303" s="4"/>
      <c r="K303" s="4"/>
      <c r="L303" s="4"/>
      <c r="M303" s="4"/>
      <c r="N303" s="4"/>
      <c r="O303" s="4"/>
      <c r="P303" s="4"/>
      <c r="Q303" s="4"/>
      <c r="R303" s="4"/>
      <c r="S303" s="23"/>
      <c r="T303" s="23"/>
      <c r="U303" s="23"/>
      <c r="V303" s="23"/>
      <c r="W303" s="23"/>
      <c r="X303" s="23"/>
      <c r="Y303" s="23"/>
    </row>
    <row r="304" spans="1:25" ht="5.0999999999999996" customHeight="1" thickBot="1" x14ac:dyDescent="0.2">
      <c r="A304" s="23"/>
      <c r="B304" s="4"/>
      <c r="C304" s="4"/>
      <c r="D304" s="4"/>
      <c r="E304" s="4"/>
      <c r="F304" s="4"/>
      <c r="G304" s="4"/>
      <c r="H304" s="4"/>
      <c r="I304" s="4"/>
      <c r="J304" s="4"/>
      <c r="K304" s="4"/>
      <c r="L304" s="4"/>
      <c r="M304" s="4"/>
      <c r="N304" s="4"/>
      <c r="O304" s="4"/>
      <c r="P304" s="4"/>
      <c r="Q304" s="4"/>
      <c r="R304" s="4"/>
      <c r="S304" s="23"/>
      <c r="T304" s="23"/>
      <c r="U304" s="23"/>
      <c r="V304" s="23"/>
      <c r="W304" s="23"/>
      <c r="X304" s="23"/>
      <c r="Y304" s="23"/>
    </row>
    <row r="305" spans="1:25" ht="14.25" thickBot="1" x14ac:dyDescent="0.2">
      <c r="A305" s="23"/>
      <c r="B305" s="4"/>
      <c r="C305" s="4"/>
      <c r="D305" s="4"/>
      <c r="E305" s="58" t="s">
        <v>44</v>
      </c>
      <c r="F305" s="58"/>
      <c r="G305" s="270">
        <f>IF($C$116=FALSE,0,IF($C$301=TRUE,反映シート!$G$241,入力シート!$I$304))</f>
        <v>0</v>
      </c>
      <c r="H305" s="271"/>
      <c r="I305" s="272"/>
      <c r="J305" s="4"/>
      <c r="K305" s="66"/>
      <c r="L305" s="4"/>
      <c r="M305" s="4"/>
      <c r="N305" s="4"/>
      <c r="O305" s="4"/>
      <c r="P305" s="4"/>
      <c r="Q305" s="4"/>
      <c r="R305" s="4"/>
      <c r="S305" s="23"/>
      <c r="T305" s="23"/>
      <c r="U305" s="23"/>
      <c r="V305" s="23"/>
      <c r="W305" s="23"/>
      <c r="X305" s="23"/>
      <c r="Y305" s="23"/>
    </row>
    <row r="306" spans="1:25" ht="5.0999999999999996" customHeight="1" thickBot="1" x14ac:dyDescent="0.2">
      <c r="A306" s="23"/>
      <c r="B306" s="4"/>
      <c r="C306" s="4"/>
      <c r="D306" s="4"/>
      <c r="E306" s="4"/>
      <c r="F306" s="4"/>
      <c r="G306" s="4"/>
      <c r="H306" s="4"/>
      <c r="I306" s="4"/>
      <c r="J306" s="4"/>
      <c r="K306" s="4"/>
      <c r="L306" s="4"/>
      <c r="M306" s="4"/>
      <c r="N306" s="4"/>
      <c r="O306" s="4"/>
      <c r="P306" s="4"/>
      <c r="Q306" s="4"/>
      <c r="R306" s="4"/>
      <c r="S306" s="23"/>
      <c r="T306" s="23"/>
      <c r="U306" s="23"/>
      <c r="V306" s="23"/>
      <c r="W306" s="23"/>
      <c r="X306" s="23"/>
      <c r="Y306" s="23"/>
    </row>
    <row r="307" spans="1:25" ht="14.25" thickBot="1" x14ac:dyDescent="0.2">
      <c r="A307" s="23"/>
      <c r="B307" s="4"/>
      <c r="C307" s="4"/>
      <c r="D307" s="4"/>
      <c r="E307" s="58" t="s">
        <v>45</v>
      </c>
      <c r="F307" s="58"/>
      <c r="G307" s="270">
        <f>IF($C$116=FALSE,0,IF($C$301=TRUE,反映シート!$G$243,入力シート!$I$306))</f>
        <v>0</v>
      </c>
      <c r="H307" s="271"/>
      <c r="I307" s="272"/>
      <c r="J307" s="4"/>
      <c r="K307" s="66"/>
      <c r="L307" s="4"/>
      <c r="M307" s="4"/>
      <c r="N307" s="4"/>
      <c r="O307" s="4"/>
      <c r="P307" s="4"/>
      <c r="Q307" s="4"/>
      <c r="R307" s="4"/>
      <c r="S307" s="23"/>
      <c r="T307" s="23"/>
      <c r="U307" s="23"/>
      <c r="V307" s="23"/>
      <c r="W307" s="23"/>
      <c r="X307" s="23"/>
      <c r="Y307" s="23"/>
    </row>
    <row r="308" spans="1:25" ht="5.0999999999999996" customHeight="1" thickBot="1" x14ac:dyDescent="0.2">
      <c r="A308" s="23"/>
      <c r="B308" s="4"/>
      <c r="C308" s="4"/>
      <c r="D308" s="4"/>
      <c r="E308" s="4"/>
      <c r="F308" s="4"/>
      <c r="G308" s="4"/>
      <c r="H308" s="4"/>
      <c r="I308" s="4"/>
      <c r="J308" s="4"/>
      <c r="K308" s="4"/>
      <c r="L308" s="4"/>
      <c r="M308" s="4"/>
      <c r="N308" s="4"/>
      <c r="O308" s="4"/>
      <c r="P308" s="4"/>
      <c r="Q308" s="4"/>
      <c r="R308" s="4"/>
      <c r="S308" s="23"/>
      <c r="T308" s="23"/>
      <c r="U308" s="23"/>
      <c r="V308" s="23"/>
      <c r="W308" s="23"/>
      <c r="X308" s="23"/>
      <c r="Y308" s="23"/>
    </row>
    <row r="309" spans="1:25" ht="14.25" thickBot="1" x14ac:dyDescent="0.2">
      <c r="A309" s="23"/>
      <c r="B309" s="4"/>
      <c r="C309" s="4"/>
      <c r="D309" s="4"/>
      <c r="E309" s="58" t="s">
        <v>47</v>
      </c>
      <c r="F309" s="58"/>
      <c r="G309" s="273">
        <f>$G$305+$G$307</f>
        <v>0</v>
      </c>
      <c r="H309" s="274"/>
      <c r="I309" s="275"/>
      <c r="J309" s="4"/>
      <c r="K309" s="4"/>
      <c r="L309" s="4"/>
      <c r="M309" s="4"/>
      <c r="N309" s="4"/>
      <c r="O309" s="4"/>
      <c r="P309" s="4"/>
      <c r="Q309" s="4"/>
      <c r="R309" s="4"/>
      <c r="S309" s="23"/>
      <c r="T309" s="23"/>
      <c r="U309" s="23"/>
      <c r="V309" s="23"/>
      <c r="W309" s="23"/>
      <c r="X309" s="23"/>
      <c r="Y309" s="23"/>
    </row>
    <row r="310" spans="1:25" ht="5.0999999999999996" customHeight="1" x14ac:dyDescent="0.15">
      <c r="A310" s="23"/>
      <c r="B310" s="4"/>
      <c r="C310" s="4"/>
      <c r="D310" s="4"/>
      <c r="E310" s="4"/>
      <c r="F310" s="4"/>
      <c r="G310" s="4"/>
      <c r="H310" s="4"/>
      <c r="I310" s="4"/>
      <c r="J310" s="4"/>
      <c r="K310" s="4"/>
      <c r="L310" s="4"/>
      <c r="M310" s="4"/>
      <c r="N310" s="4"/>
      <c r="O310" s="4"/>
      <c r="P310" s="4"/>
      <c r="Q310" s="4"/>
      <c r="R310" s="4"/>
      <c r="S310" s="23"/>
      <c r="T310" s="23"/>
      <c r="U310" s="23"/>
      <c r="V310" s="23"/>
      <c r="W310" s="23"/>
      <c r="X310" s="23"/>
      <c r="Y310" s="23"/>
    </row>
    <row r="311" spans="1:25" x14ac:dyDescent="0.15">
      <c r="A311" s="23"/>
      <c r="B311" s="4"/>
      <c r="C311" s="4" t="s">
        <v>49</v>
      </c>
      <c r="D311" s="4"/>
      <c r="E311" s="4"/>
      <c r="F311" s="4"/>
      <c r="G311" s="4"/>
      <c r="H311" s="4"/>
      <c r="I311" s="4"/>
      <c r="J311" s="4"/>
      <c r="K311" s="4"/>
      <c r="L311" s="4"/>
      <c r="M311" s="4"/>
      <c r="N311" s="4"/>
      <c r="O311" s="4"/>
      <c r="P311" s="4"/>
      <c r="Q311" s="4"/>
      <c r="R311" s="4"/>
      <c r="S311" s="23"/>
      <c r="T311" s="23"/>
      <c r="U311" s="23"/>
      <c r="V311" s="23"/>
      <c r="W311" s="23"/>
      <c r="X311" s="23"/>
      <c r="Y311" s="23"/>
    </row>
    <row r="312" spans="1:25" ht="5.0999999999999996" customHeight="1" thickBot="1" x14ac:dyDescent="0.2">
      <c r="A312" s="23"/>
      <c r="B312" s="4"/>
      <c r="C312" s="4"/>
      <c r="D312" s="4"/>
      <c r="E312" s="4"/>
      <c r="F312" s="4"/>
      <c r="G312" s="4"/>
      <c r="H312" s="4"/>
      <c r="I312" s="4"/>
      <c r="J312" s="4"/>
      <c r="K312" s="4"/>
      <c r="L312" s="4"/>
      <c r="M312" s="4"/>
      <c r="N312" s="4"/>
      <c r="O312" s="4"/>
      <c r="P312" s="4"/>
      <c r="Q312" s="4"/>
      <c r="R312" s="4"/>
      <c r="S312" s="23"/>
      <c r="T312" s="23"/>
      <c r="U312" s="23"/>
      <c r="V312" s="23"/>
      <c r="W312" s="23"/>
      <c r="X312" s="23"/>
      <c r="Y312" s="23"/>
    </row>
    <row r="313" spans="1:25" ht="14.25" thickBot="1" x14ac:dyDescent="0.2">
      <c r="A313" s="23"/>
      <c r="B313" s="4"/>
      <c r="C313" s="4"/>
      <c r="D313" s="4"/>
      <c r="E313" s="58" t="s">
        <v>50</v>
      </c>
      <c r="F313" s="58"/>
      <c r="G313" s="270">
        <f>IF(AND($C$120=FALSE,$C$122=FALSE,$C$124=FALSE,$C$126=FALSE,$C$128=FALSE),0,IF($C$301=TRUE,$G$251,入力シート!$I$312))</f>
        <v>0</v>
      </c>
      <c r="H313" s="271"/>
      <c r="I313" s="272"/>
      <c r="J313" s="4"/>
      <c r="K313" s="66"/>
      <c r="L313" s="4"/>
      <c r="M313" s="4"/>
      <c r="N313" s="4"/>
      <c r="O313" s="4"/>
      <c r="P313" s="4"/>
      <c r="Q313" s="4"/>
      <c r="R313" s="4"/>
      <c r="S313" s="23"/>
      <c r="T313" s="23"/>
      <c r="U313" s="23"/>
      <c r="V313" s="23"/>
      <c r="W313" s="23"/>
      <c r="X313" s="23"/>
      <c r="Y313" s="23"/>
    </row>
    <row r="314" spans="1:25" ht="5.0999999999999996" customHeight="1" thickBot="1" x14ac:dyDescent="0.2">
      <c r="A314" s="23"/>
      <c r="B314" s="4"/>
      <c r="C314" s="4"/>
      <c r="D314" s="4"/>
      <c r="E314" s="4"/>
      <c r="F314" s="4"/>
      <c r="G314" s="4"/>
      <c r="H314" s="4"/>
      <c r="I314" s="4"/>
      <c r="J314" s="4"/>
      <c r="K314" s="4"/>
      <c r="L314" s="4"/>
      <c r="M314" s="4"/>
      <c r="N314" s="4"/>
      <c r="O314" s="4"/>
      <c r="P314" s="4"/>
      <c r="Q314" s="4"/>
      <c r="R314" s="4"/>
      <c r="S314" s="23"/>
      <c r="T314" s="23"/>
      <c r="U314" s="23"/>
      <c r="V314" s="23"/>
      <c r="W314" s="23"/>
      <c r="X314" s="23"/>
      <c r="Y314" s="23"/>
    </row>
    <row r="315" spans="1:25" ht="14.25" thickBot="1" x14ac:dyDescent="0.2">
      <c r="A315" s="23"/>
      <c r="B315" s="4"/>
      <c r="C315" s="4"/>
      <c r="D315" s="4"/>
      <c r="E315" s="58" t="s">
        <v>44</v>
      </c>
      <c r="F315" s="58"/>
      <c r="G315" s="270">
        <f>IF(AND($C$120=FALSE,$C$122=FALSE,$C$124=FALSE,$C$126=FALSE,$C$128=FALSE),0,IF($C$301=TRUE,$G$253,入力シート!$I$314))</f>
        <v>0</v>
      </c>
      <c r="H315" s="271"/>
      <c r="I315" s="272"/>
      <c r="J315" s="4"/>
      <c r="K315" s="66"/>
      <c r="L315" s="4"/>
      <c r="M315" s="4"/>
      <c r="N315" s="4"/>
      <c r="O315" s="4"/>
      <c r="P315" s="4"/>
      <c r="Q315" s="4"/>
      <c r="R315" s="4"/>
      <c r="S315" s="23"/>
      <c r="T315" s="23"/>
      <c r="U315" s="23"/>
      <c r="V315" s="23"/>
      <c r="W315" s="23"/>
      <c r="X315" s="23"/>
      <c r="Y315" s="23"/>
    </row>
    <row r="316" spans="1:25" ht="5.0999999999999996" customHeight="1" thickBot="1" x14ac:dyDescent="0.2">
      <c r="A316" s="23"/>
      <c r="B316" s="4"/>
      <c r="C316" s="4"/>
      <c r="D316" s="4"/>
      <c r="E316" s="4"/>
      <c r="F316" s="4"/>
      <c r="G316" s="4"/>
      <c r="H316" s="4"/>
      <c r="I316" s="4"/>
      <c r="J316" s="4"/>
      <c r="K316" s="4"/>
      <c r="L316" s="4"/>
      <c r="M316" s="4"/>
      <c r="N316" s="4"/>
      <c r="O316" s="4"/>
      <c r="P316" s="4"/>
      <c r="Q316" s="4"/>
      <c r="R316" s="4"/>
      <c r="S316" s="23"/>
      <c r="T316" s="23"/>
      <c r="U316" s="23"/>
      <c r="V316" s="23"/>
      <c r="W316" s="23"/>
      <c r="X316" s="23"/>
      <c r="Y316" s="23"/>
    </row>
    <row r="317" spans="1:25" ht="14.25" thickBot="1" x14ac:dyDescent="0.2">
      <c r="A317" s="23"/>
      <c r="B317" s="4"/>
      <c r="C317" s="4"/>
      <c r="D317" s="4"/>
      <c r="E317" s="58" t="s">
        <v>45</v>
      </c>
      <c r="F317" s="58"/>
      <c r="G317" s="270">
        <f>IF(AND($C$120=FALSE,$C$122=FALSE,$C$124=FALSE,$C$126=FALSE,$C$128=FALSE),0,IF($C$301=TRUE,$G$255,入力シート!$I$316))</f>
        <v>0</v>
      </c>
      <c r="H317" s="271"/>
      <c r="I317" s="272"/>
      <c r="J317" s="4"/>
      <c r="K317" s="66"/>
      <c r="L317" s="4"/>
      <c r="M317" s="4"/>
      <c r="N317" s="4"/>
      <c r="O317" s="4"/>
      <c r="P317" s="4"/>
      <c r="Q317" s="4"/>
      <c r="R317" s="4"/>
      <c r="S317" s="23"/>
      <c r="T317" s="23"/>
      <c r="U317" s="23"/>
      <c r="V317" s="23"/>
      <c r="W317" s="23"/>
      <c r="X317" s="23"/>
      <c r="Y317" s="23"/>
    </row>
    <row r="318" spans="1:25" ht="5.0999999999999996" customHeight="1" thickBot="1" x14ac:dyDescent="0.2">
      <c r="A318" s="23"/>
      <c r="B318" s="4"/>
      <c r="C318" s="4"/>
      <c r="D318" s="4"/>
      <c r="E318" s="4"/>
      <c r="F318" s="4"/>
      <c r="G318" s="4"/>
      <c r="H318" s="4"/>
      <c r="I318" s="4"/>
      <c r="J318" s="4"/>
      <c r="K318" s="4"/>
      <c r="L318" s="4"/>
      <c r="M318" s="4"/>
      <c r="N318" s="4"/>
      <c r="O318" s="4"/>
      <c r="P318" s="4"/>
      <c r="Q318" s="4"/>
      <c r="R318" s="4"/>
      <c r="S318" s="23"/>
      <c r="T318" s="23"/>
      <c r="U318" s="23"/>
      <c r="V318" s="23"/>
      <c r="W318" s="23"/>
      <c r="X318" s="23"/>
      <c r="Y318" s="23"/>
    </row>
    <row r="319" spans="1:25" ht="14.25" thickBot="1" x14ac:dyDescent="0.2">
      <c r="A319" s="23"/>
      <c r="B319" s="4"/>
      <c r="C319" s="4"/>
      <c r="D319" s="4"/>
      <c r="E319" s="58" t="s">
        <v>47</v>
      </c>
      <c r="F319" s="58"/>
      <c r="G319" s="273">
        <f>$G$313+$G$315+$G$317</f>
        <v>0</v>
      </c>
      <c r="H319" s="274"/>
      <c r="I319" s="275"/>
      <c r="J319" s="4"/>
      <c r="K319" s="4"/>
      <c r="L319" s="4"/>
      <c r="M319" s="4"/>
      <c r="N319" s="4"/>
      <c r="O319" s="4"/>
      <c r="P319" s="4"/>
      <c r="Q319" s="4"/>
      <c r="R319" s="4"/>
      <c r="S319" s="23"/>
      <c r="T319" s="23"/>
      <c r="U319" s="23"/>
      <c r="V319" s="23"/>
      <c r="W319" s="23"/>
      <c r="X319" s="23"/>
      <c r="Y319" s="23"/>
    </row>
    <row r="320" spans="1:25" ht="5.0999999999999996" customHeight="1" x14ac:dyDescent="0.15">
      <c r="A320" s="23"/>
      <c r="B320" s="4"/>
      <c r="C320" s="4"/>
      <c r="D320" s="4"/>
      <c r="E320" s="4"/>
      <c r="F320" s="4"/>
      <c r="G320" s="4"/>
      <c r="H320" s="4"/>
      <c r="I320" s="4"/>
      <c r="J320" s="4"/>
      <c r="K320" s="4"/>
      <c r="L320" s="4"/>
      <c r="M320" s="4"/>
      <c r="N320" s="4"/>
      <c r="O320" s="4"/>
      <c r="P320" s="4"/>
      <c r="Q320" s="4"/>
      <c r="R320" s="4"/>
      <c r="S320" s="23"/>
      <c r="T320" s="23"/>
      <c r="U320" s="23"/>
      <c r="V320" s="23"/>
      <c r="W320" s="23"/>
      <c r="X320" s="23"/>
      <c r="Y320" s="23"/>
    </row>
    <row r="321" spans="1:25" x14ac:dyDescent="0.15">
      <c r="A321" s="23"/>
      <c r="B321" s="4"/>
      <c r="C321" s="4" t="s">
        <v>53</v>
      </c>
      <c r="D321" s="4"/>
      <c r="E321" s="4"/>
      <c r="F321" s="4"/>
      <c r="G321" s="4"/>
      <c r="H321" s="4"/>
      <c r="I321" s="4"/>
      <c r="J321" s="4"/>
      <c r="K321" s="4"/>
      <c r="L321" s="4"/>
      <c r="M321" s="4"/>
      <c r="N321" s="4"/>
      <c r="O321" s="4"/>
      <c r="P321" s="4"/>
      <c r="Q321" s="4"/>
      <c r="R321" s="4"/>
      <c r="S321" s="23"/>
      <c r="T321" s="23"/>
      <c r="U321" s="23"/>
      <c r="V321" s="23"/>
      <c r="W321" s="23"/>
      <c r="X321" s="23"/>
      <c r="Y321" s="23"/>
    </row>
    <row r="322" spans="1:25" ht="5.0999999999999996" customHeight="1" thickBot="1" x14ac:dyDescent="0.2">
      <c r="A322" s="23"/>
      <c r="B322" s="4"/>
      <c r="C322" s="4"/>
      <c r="D322" s="4"/>
      <c r="E322" s="4"/>
      <c r="F322" s="4"/>
      <c r="G322" s="4"/>
      <c r="H322" s="4"/>
      <c r="I322" s="4"/>
      <c r="J322" s="4"/>
      <c r="K322" s="4"/>
      <c r="L322" s="4"/>
      <c r="M322" s="4"/>
      <c r="N322" s="4"/>
      <c r="O322" s="4"/>
      <c r="P322" s="4"/>
      <c r="Q322" s="4"/>
      <c r="R322" s="4"/>
      <c r="S322" s="23"/>
      <c r="T322" s="23"/>
      <c r="U322" s="23"/>
      <c r="V322" s="23"/>
      <c r="W322" s="23"/>
      <c r="X322" s="23"/>
      <c r="Y322" s="23"/>
    </row>
    <row r="323" spans="1:25" ht="14.25" thickBot="1" x14ac:dyDescent="0.2">
      <c r="A323" s="23"/>
      <c r="B323" s="4"/>
      <c r="C323" s="4"/>
      <c r="D323" s="4"/>
      <c r="E323" s="58" t="s">
        <v>50</v>
      </c>
      <c r="F323" s="58"/>
      <c r="G323" s="270">
        <f>IF($C$130=FALSE,0,IF($C$301=TRUE,$G$263,入力シート!$I$322))</f>
        <v>0</v>
      </c>
      <c r="H323" s="271"/>
      <c r="I323" s="272"/>
      <c r="J323" s="4"/>
      <c r="K323" s="66"/>
      <c r="L323" s="4"/>
      <c r="M323" s="4"/>
      <c r="N323" s="4"/>
      <c r="O323" s="4"/>
      <c r="P323" s="4"/>
      <c r="Q323" s="4"/>
      <c r="R323" s="4"/>
      <c r="S323" s="23"/>
      <c r="T323" s="23"/>
      <c r="U323" s="23"/>
      <c r="V323" s="23"/>
      <c r="W323" s="23"/>
      <c r="X323" s="23"/>
      <c r="Y323" s="23"/>
    </row>
    <row r="324" spans="1:25" ht="5.0999999999999996" customHeight="1" thickBot="1" x14ac:dyDescent="0.2">
      <c r="A324" s="23"/>
      <c r="B324" s="4"/>
      <c r="C324" s="4"/>
      <c r="D324" s="4"/>
      <c r="E324" s="4"/>
      <c r="F324" s="4"/>
      <c r="G324" s="4"/>
      <c r="H324" s="4"/>
      <c r="I324" s="4"/>
      <c r="J324" s="4"/>
      <c r="K324" s="4"/>
      <c r="L324" s="4"/>
      <c r="M324" s="4"/>
      <c r="N324" s="4"/>
      <c r="O324" s="4"/>
      <c r="P324" s="4"/>
      <c r="Q324" s="4"/>
      <c r="R324" s="4"/>
      <c r="S324" s="23"/>
      <c r="T324" s="23"/>
      <c r="U324" s="23"/>
      <c r="V324" s="23"/>
      <c r="W324" s="23"/>
      <c r="X324" s="23"/>
      <c r="Y324" s="23"/>
    </row>
    <row r="325" spans="1:25" ht="14.25" thickBot="1" x14ac:dyDescent="0.2">
      <c r="A325" s="23"/>
      <c r="B325" s="4"/>
      <c r="C325" s="4"/>
      <c r="D325" s="4"/>
      <c r="E325" s="58" t="s">
        <v>44</v>
      </c>
      <c r="F325" s="58"/>
      <c r="G325" s="270">
        <f>IF($C$130=FALSE,0,IF($C$301=TRUE,$G$265,入力シート!$I$324))</f>
        <v>0</v>
      </c>
      <c r="H325" s="271"/>
      <c r="I325" s="272"/>
      <c r="J325" s="4"/>
      <c r="K325" s="66"/>
      <c r="L325" s="4"/>
      <c r="M325" s="4"/>
      <c r="N325" s="4"/>
      <c r="O325" s="4"/>
      <c r="P325" s="4"/>
      <c r="Q325" s="4"/>
      <c r="R325" s="4"/>
      <c r="S325" s="23"/>
      <c r="T325" s="23"/>
      <c r="U325" s="23"/>
      <c r="V325" s="23"/>
      <c r="W325" s="23"/>
      <c r="X325" s="23"/>
      <c r="Y325" s="23"/>
    </row>
    <row r="326" spans="1:25" ht="5.0999999999999996" customHeight="1" thickBot="1" x14ac:dyDescent="0.2">
      <c r="A326" s="23"/>
      <c r="B326" s="4"/>
      <c r="C326" s="4"/>
      <c r="D326" s="4"/>
      <c r="E326" s="4"/>
      <c r="F326" s="4"/>
      <c r="G326" s="4"/>
      <c r="H326" s="4"/>
      <c r="I326" s="4"/>
      <c r="J326" s="4"/>
      <c r="K326" s="4"/>
      <c r="L326" s="4"/>
      <c r="M326" s="4"/>
      <c r="N326" s="4"/>
      <c r="O326" s="4"/>
      <c r="P326" s="4"/>
      <c r="Q326" s="4"/>
      <c r="R326" s="4"/>
      <c r="S326" s="23"/>
      <c r="T326" s="23"/>
      <c r="U326" s="23"/>
      <c r="V326" s="23"/>
      <c r="W326" s="23"/>
      <c r="X326" s="23"/>
      <c r="Y326" s="23"/>
    </row>
    <row r="327" spans="1:25" ht="14.25" thickBot="1" x14ac:dyDescent="0.2">
      <c r="A327" s="23"/>
      <c r="B327" s="4"/>
      <c r="C327" s="4"/>
      <c r="D327" s="4"/>
      <c r="E327" s="58" t="s">
        <v>45</v>
      </c>
      <c r="F327" s="58"/>
      <c r="G327" s="270">
        <f>IF($C$130=FALSE,0,IF($C$301=TRUE,$G$267,入力シート!$I$326))</f>
        <v>0</v>
      </c>
      <c r="H327" s="271"/>
      <c r="I327" s="272"/>
      <c r="J327" s="4"/>
      <c r="K327" s="66"/>
      <c r="L327" s="4"/>
      <c r="M327" s="4"/>
      <c r="N327" s="4"/>
      <c r="O327" s="4"/>
      <c r="P327" s="4"/>
      <c r="Q327" s="4"/>
      <c r="R327" s="4"/>
      <c r="S327" s="23"/>
      <c r="T327" s="23"/>
      <c r="U327" s="23"/>
      <c r="V327" s="23"/>
      <c r="W327" s="23"/>
      <c r="X327" s="23"/>
      <c r="Y327" s="23"/>
    </row>
    <row r="328" spans="1:25" ht="5.0999999999999996" customHeight="1" thickBot="1" x14ac:dyDescent="0.2">
      <c r="A328" s="23"/>
      <c r="B328" s="4"/>
      <c r="C328" s="4"/>
      <c r="D328" s="4"/>
      <c r="E328" s="4"/>
      <c r="F328" s="4"/>
      <c r="G328" s="4"/>
      <c r="H328" s="4"/>
      <c r="I328" s="4"/>
      <c r="J328" s="4"/>
      <c r="K328" s="4"/>
      <c r="L328" s="4"/>
      <c r="M328" s="4"/>
      <c r="N328" s="4"/>
      <c r="O328" s="4"/>
      <c r="P328" s="4"/>
      <c r="Q328" s="4"/>
      <c r="R328" s="4"/>
      <c r="S328" s="23"/>
      <c r="T328" s="23"/>
      <c r="U328" s="23"/>
      <c r="V328" s="23"/>
      <c r="W328" s="23"/>
      <c r="X328" s="23"/>
      <c r="Y328" s="23"/>
    </row>
    <row r="329" spans="1:25" ht="14.25" thickBot="1" x14ac:dyDescent="0.2">
      <c r="A329" s="23"/>
      <c r="B329" s="4"/>
      <c r="C329" s="4"/>
      <c r="D329" s="4"/>
      <c r="E329" s="58" t="s">
        <v>47</v>
      </c>
      <c r="F329" s="58"/>
      <c r="G329" s="273">
        <f>$G$323+$G$325+$G$327</f>
        <v>0</v>
      </c>
      <c r="H329" s="274"/>
      <c r="I329" s="275"/>
      <c r="J329" s="4"/>
      <c r="K329" s="4"/>
      <c r="L329" s="4"/>
      <c r="M329" s="4"/>
      <c r="N329" s="4"/>
      <c r="O329" s="4"/>
      <c r="P329" s="4"/>
      <c r="Q329" s="4"/>
      <c r="R329" s="4"/>
      <c r="S329" s="23"/>
      <c r="T329" s="23"/>
      <c r="U329" s="23"/>
      <c r="V329" s="23"/>
      <c r="W329" s="23"/>
      <c r="X329" s="23"/>
      <c r="Y329" s="23"/>
    </row>
    <row r="330" spans="1:25" ht="5.0999999999999996" customHeight="1" x14ac:dyDescent="0.15">
      <c r="A330" s="23"/>
      <c r="B330" s="4"/>
      <c r="C330" s="4"/>
      <c r="D330" s="4"/>
      <c r="E330" s="4"/>
      <c r="F330" s="4"/>
      <c r="G330" s="4"/>
      <c r="H330" s="4"/>
      <c r="I330" s="4"/>
      <c r="J330" s="4"/>
      <c r="K330" s="4"/>
      <c r="L330" s="4"/>
      <c r="M330" s="4"/>
      <c r="N330" s="4"/>
      <c r="O330" s="4"/>
      <c r="P330" s="4"/>
      <c r="Q330" s="4"/>
      <c r="R330" s="4"/>
      <c r="S330" s="23"/>
      <c r="T330" s="23"/>
      <c r="U330" s="23"/>
      <c r="V330" s="23"/>
      <c r="W330" s="23"/>
      <c r="X330" s="23"/>
      <c r="Y330" s="23"/>
    </row>
    <row r="331" spans="1:25" x14ac:dyDescent="0.15">
      <c r="A331" s="23"/>
      <c r="B331" s="4"/>
      <c r="C331" s="4" t="s">
        <v>54</v>
      </c>
      <c r="D331" s="4"/>
      <c r="E331" s="4"/>
      <c r="F331" s="4"/>
      <c r="G331" s="4"/>
      <c r="H331" s="4"/>
      <c r="I331" s="4"/>
      <c r="J331" s="4"/>
      <c r="K331" s="4"/>
      <c r="L331" s="4"/>
      <c r="M331" s="4"/>
      <c r="N331" s="4"/>
      <c r="O331" s="4"/>
      <c r="P331" s="4"/>
      <c r="Q331" s="4"/>
      <c r="R331" s="4"/>
      <c r="S331" s="23"/>
      <c r="T331" s="23"/>
      <c r="U331" s="23"/>
      <c r="V331" s="23"/>
      <c r="W331" s="23"/>
      <c r="X331" s="23"/>
      <c r="Y331" s="23"/>
    </row>
    <row r="332" spans="1:25" ht="5.0999999999999996" customHeight="1" thickBot="1" x14ac:dyDescent="0.2">
      <c r="A332" s="23"/>
      <c r="B332" s="4"/>
      <c r="C332" s="4"/>
      <c r="D332" s="4"/>
      <c r="E332" s="4"/>
      <c r="F332" s="4"/>
      <c r="G332" s="4"/>
      <c r="H332" s="4"/>
      <c r="I332" s="4"/>
      <c r="J332" s="4"/>
      <c r="K332" s="4"/>
      <c r="L332" s="4"/>
      <c r="M332" s="4"/>
      <c r="N332" s="4"/>
      <c r="O332" s="4"/>
      <c r="P332" s="4"/>
      <c r="Q332" s="4"/>
      <c r="R332" s="4"/>
      <c r="S332" s="23"/>
      <c r="T332" s="23"/>
      <c r="U332" s="23"/>
      <c r="V332" s="23"/>
      <c r="W332" s="23"/>
      <c r="X332" s="23"/>
      <c r="Y332" s="23"/>
    </row>
    <row r="333" spans="1:25" ht="14.25" thickBot="1" x14ac:dyDescent="0.2">
      <c r="A333" s="23"/>
      <c r="B333" s="4"/>
      <c r="C333" s="4"/>
      <c r="D333" s="4"/>
      <c r="E333" s="58" t="s">
        <v>50</v>
      </c>
      <c r="F333" s="58"/>
      <c r="G333" s="270">
        <f>IF($C$132=FALSE,0,IF($C$301=TRUE,$G$275,入力シート!$I$332))</f>
        <v>0</v>
      </c>
      <c r="H333" s="271"/>
      <c r="I333" s="272"/>
      <c r="J333" s="4"/>
      <c r="K333" s="66"/>
      <c r="L333" s="4"/>
      <c r="M333" s="4"/>
      <c r="N333" s="4"/>
      <c r="O333" s="4"/>
      <c r="P333" s="4"/>
      <c r="Q333" s="4"/>
      <c r="R333" s="4"/>
      <c r="S333" s="23"/>
      <c r="T333" s="23"/>
      <c r="U333" s="23"/>
      <c r="V333" s="23"/>
      <c r="W333" s="23"/>
      <c r="X333" s="23"/>
      <c r="Y333" s="23"/>
    </row>
    <row r="334" spans="1:25" ht="5.0999999999999996" customHeight="1" thickBot="1" x14ac:dyDescent="0.2">
      <c r="A334" s="23"/>
      <c r="B334" s="4"/>
      <c r="C334" s="4"/>
      <c r="D334" s="4"/>
      <c r="E334" s="4"/>
      <c r="F334" s="4"/>
      <c r="G334" s="4"/>
      <c r="H334" s="4"/>
      <c r="I334" s="4"/>
      <c r="J334" s="4"/>
      <c r="K334" s="4"/>
      <c r="L334" s="4"/>
      <c r="M334" s="4"/>
      <c r="N334" s="4"/>
      <c r="O334" s="4"/>
      <c r="P334" s="4"/>
      <c r="Q334" s="4"/>
      <c r="R334" s="4"/>
      <c r="S334" s="23"/>
      <c r="T334" s="23"/>
      <c r="U334" s="23"/>
      <c r="V334" s="23"/>
      <c r="W334" s="23"/>
      <c r="X334" s="23"/>
      <c r="Y334" s="23"/>
    </row>
    <row r="335" spans="1:25" ht="14.25" thickBot="1" x14ac:dyDescent="0.2">
      <c r="A335" s="23"/>
      <c r="B335" s="4"/>
      <c r="C335" s="4"/>
      <c r="D335" s="4"/>
      <c r="E335" s="58" t="s">
        <v>44</v>
      </c>
      <c r="F335" s="58"/>
      <c r="G335" s="270">
        <f>IF($C$132=FALSE,0,IF($C$301=TRUE,$G$277,入力シート!$I$334))</f>
        <v>0</v>
      </c>
      <c r="H335" s="271"/>
      <c r="I335" s="272"/>
      <c r="J335" s="4"/>
      <c r="K335" s="66"/>
      <c r="L335" s="4"/>
      <c r="M335" s="4"/>
      <c r="N335" s="4"/>
      <c r="O335" s="4"/>
      <c r="P335" s="4"/>
      <c r="Q335" s="4"/>
      <c r="R335" s="4"/>
      <c r="S335" s="23"/>
      <c r="T335" s="23"/>
      <c r="U335" s="23"/>
      <c r="V335" s="23"/>
      <c r="W335" s="23"/>
      <c r="X335" s="23"/>
      <c r="Y335" s="23"/>
    </row>
    <row r="336" spans="1:25" ht="5.0999999999999996" customHeight="1" thickBot="1" x14ac:dyDescent="0.2">
      <c r="A336" s="23"/>
      <c r="B336" s="4"/>
      <c r="C336" s="4"/>
      <c r="D336" s="4"/>
      <c r="E336" s="4"/>
      <c r="F336" s="4"/>
      <c r="G336" s="4"/>
      <c r="H336" s="4"/>
      <c r="I336" s="4"/>
      <c r="J336" s="4"/>
      <c r="K336" s="4"/>
      <c r="L336" s="4"/>
      <c r="M336" s="4"/>
      <c r="N336" s="4"/>
      <c r="O336" s="4"/>
      <c r="P336" s="4"/>
      <c r="Q336" s="4"/>
      <c r="R336" s="4"/>
      <c r="S336" s="23"/>
      <c r="T336" s="23"/>
      <c r="U336" s="23"/>
      <c r="V336" s="23"/>
      <c r="W336" s="23"/>
      <c r="X336" s="23"/>
      <c r="Y336" s="23"/>
    </row>
    <row r="337" spans="1:25" ht="14.25" thickBot="1" x14ac:dyDescent="0.2">
      <c r="A337" s="23"/>
      <c r="B337" s="4"/>
      <c r="C337" s="4"/>
      <c r="D337" s="4"/>
      <c r="E337" s="58" t="s">
        <v>45</v>
      </c>
      <c r="F337" s="58"/>
      <c r="G337" s="270">
        <f>IF($C$132=FALSE,0,IF($C$301=TRUE,$G$279,入力シート!$I$336))</f>
        <v>0</v>
      </c>
      <c r="H337" s="271"/>
      <c r="I337" s="272"/>
      <c r="J337" s="4"/>
      <c r="K337" s="66"/>
      <c r="L337" s="4"/>
      <c r="M337" s="4"/>
      <c r="N337" s="4"/>
      <c r="O337" s="4"/>
      <c r="P337" s="4"/>
      <c r="Q337" s="4"/>
      <c r="R337" s="4"/>
      <c r="S337" s="23"/>
      <c r="T337" s="23"/>
      <c r="U337" s="23"/>
      <c r="V337" s="23"/>
      <c r="W337" s="23"/>
      <c r="X337" s="23"/>
      <c r="Y337" s="23"/>
    </row>
    <row r="338" spans="1:25" ht="5.0999999999999996" customHeight="1" thickBot="1" x14ac:dyDescent="0.2">
      <c r="A338" s="23"/>
      <c r="B338" s="4"/>
      <c r="C338" s="4"/>
      <c r="D338" s="4"/>
      <c r="E338" s="4"/>
      <c r="F338" s="4"/>
      <c r="G338" s="4"/>
      <c r="H338" s="4"/>
      <c r="I338" s="4"/>
      <c r="J338" s="4"/>
      <c r="K338" s="4"/>
      <c r="L338" s="4"/>
      <c r="M338" s="4"/>
      <c r="N338" s="4"/>
      <c r="O338" s="4"/>
      <c r="P338" s="4"/>
      <c r="Q338" s="4"/>
      <c r="R338" s="4"/>
      <c r="S338" s="23"/>
      <c r="T338" s="23"/>
      <c r="U338" s="23"/>
      <c r="V338" s="23"/>
      <c r="W338" s="23"/>
      <c r="X338" s="23"/>
      <c r="Y338" s="23"/>
    </row>
    <row r="339" spans="1:25" ht="14.25" thickBot="1" x14ac:dyDescent="0.2">
      <c r="A339" s="23"/>
      <c r="B339" s="4"/>
      <c r="C339" s="4"/>
      <c r="D339" s="4"/>
      <c r="E339" s="58" t="s">
        <v>47</v>
      </c>
      <c r="F339" s="58"/>
      <c r="G339" s="273">
        <f>$G$333+$G$335+$G$337</f>
        <v>0</v>
      </c>
      <c r="H339" s="274"/>
      <c r="I339" s="275"/>
      <c r="J339" s="4"/>
      <c r="K339" s="10" t="str">
        <f>IF(AND(G339&gt;0,G305=0,G317=0,G329=0),"　AI・IoTによるシステム連係ツールのみの申請はできません","")</f>
        <v/>
      </c>
      <c r="L339" s="4"/>
      <c r="M339" s="4"/>
      <c r="N339" s="4"/>
      <c r="O339" s="4"/>
      <c r="P339" s="4"/>
      <c r="Q339" s="4"/>
      <c r="R339" s="4"/>
      <c r="S339" s="23"/>
      <c r="T339" s="23"/>
      <c r="U339" s="23"/>
      <c r="V339" s="23"/>
      <c r="W339" s="23"/>
      <c r="X339" s="23"/>
      <c r="Y339" s="23"/>
    </row>
    <row r="340" spans="1:25" ht="5.0999999999999996" customHeight="1" x14ac:dyDescent="0.15">
      <c r="A340" s="23"/>
      <c r="B340" s="4"/>
      <c r="C340" s="4"/>
      <c r="D340" s="4"/>
      <c r="E340" s="4"/>
      <c r="F340" s="4"/>
      <c r="G340" s="4"/>
      <c r="H340" s="4"/>
      <c r="I340" s="4"/>
      <c r="J340" s="4"/>
      <c r="K340" s="4"/>
      <c r="L340" s="4"/>
      <c r="M340" s="4"/>
      <c r="N340" s="4"/>
      <c r="O340" s="4"/>
      <c r="P340" s="4"/>
      <c r="Q340" s="4"/>
      <c r="R340" s="4"/>
      <c r="S340" s="23"/>
      <c r="T340" s="23"/>
      <c r="U340" s="23"/>
      <c r="V340" s="23"/>
      <c r="W340" s="23"/>
      <c r="X340" s="23"/>
      <c r="Y340" s="23"/>
    </row>
    <row r="341" spans="1:25" x14ac:dyDescent="0.15">
      <c r="A341" s="23"/>
      <c r="B341" s="4"/>
      <c r="C341" s="4" t="s">
        <v>55</v>
      </c>
      <c r="D341" s="4"/>
      <c r="E341" s="4"/>
      <c r="F341" s="4"/>
      <c r="G341" s="4"/>
      <c r="H341" s="4"/>
      <c r="I341" s="4"/>
      <c r="J341" s="4"/>
      <c r="K341" s="4"/>
      <c r="L341" s="4"/>
      <c r="M341" s="4"/>
      <c r="N341" s="4"/>
      <c r="O341" s="4"/>
      <c r="P341" s="4"/>
      <c r="Q341" s="4"/>
      <c r="R341" s="4"/>
      <c r="S341" s="23"/>
      <c r="T341" s="23"/>
      <c r="U341" s="23"/>
      <c r="V341" s="23"/>
      <c r="W341" s="23"/>
      <c r="X341" s="23"/>
      <c r="Y341" s="23"/>
    </row>
    <row r="342" spans="1:25" ht="5.0999999999999996" customHeight="1" thickBot="1" x14ac:dyDescent="0.2">
      <c r="A342" s="23"/>
      <c r="B342" s="4"/>
      <c r="C342" s="4"/>
      <c r="D342" s="4"/>
      <c r="E342" s="4"/>
      <c r="F342" s="4"/>
      <c r="G342" s="4"/>
      <c r="H342" s="4"/>
      <c r="I342" s="4"/>
      <c r="J342" s="4"/>
      <c r="K342" s="4"/>
      <c r="L342" s="4"/>
      <c r="M342" s="4"/>
      <c r="N342" s="4"/>
      <c r="O342" s="4"/>
      <c r="P342" s="4"/>
      <c r="Q342" s="4"/>
      <c r="R342" s="4"/>
      <c r="S342" s="23"/>
      <c r="T342" s="23"/>
      <c r="U342" s="23"/>
      <c r="V342" s="23"/>
      <c r="W342" s="23"/>
      <c r="X342" s="23"/>
      <c r="Y342" s="23"/>
    </row>
    <row r="343" spans="1:25" ht="14.25" thickBot="1" x14ac:dyDescent="0.2">
      <c r="A343" s="23"/>
      <c r="B343" s="4"/>
      <c r="C343" s="4"/>
      <c r="D343" s="4"/>
      <c r="E343" s="58" t="s">
        <v>63</v>
      </c>
      <c r="F343" s="58"/>
      <c r="G343" s="267">
        <f>$G$309+$G$319+$G$329+$G$339</f>
        <v>0</v>
      </c>
      <c r="H343" s="268"/>
      <c r="I343" s="269"/>
      <c r="J343" s="4"/>
      <c r="K343" s="4"/>
      <c r="L343" s="4"/>
      <c r="M343" s="4"/>
      <c r="N343" s="4"/>
      <c r="O343" s="4"/>
      <c r="P343" s="4"/>
      <c r="Q343" s="4"/>
      <c r="R343" s="4"/>
      <c r="S343" s="23"/>
      <c r="T343" s="23"/>
      <c r="U343" s="23"/>
      <c r="V343" s="23"/>
      <c r="W343" s="23"/>
      <c r="X343" s="23"/>
      <c r="Y343" s="23"/>
    </row>
    <row r="344" spans="1:25" ht="5.0999999999999996" customHeight="1" x14ac:dyDescent="0.15">
      <c r="A344" s="23"/>
      <c r="B344" s="4"/>
      <c r="C344" s="4"/>
      <c r="D344" s="4"/>
      <c r="E344" s="4"/>
      <c r="F344" s="4"/>
      <c r="G344" s="4"/>
      <c r="H344" s="4"/>
      <c r="I344" s="4"/>
      <c r="J344" s="4"/>
      <c r="K344" s="4"/>
      <c r="L344" s="4"/>
      <c r="M344" s="4"/>
      <c r="N344" s="4"/>
      <c r="O344" s="4"/>
      <c r="P344" s="4"/>
      <c r="Q344" s="4"/>
      <c r="R344" s="4"/>
      <c r="S344" s="23"/>
      <c r="T344" s="23"/>
      <c r="U344" s="23"/>
      <c r="V344" s="23"/>
      <c r="W344" s="23"/>
      <c r="X344" s="23"/>
      <c r="Y344" s="23"/>
    </row>
    <row r="345" spans="1:25" x14ac:dyDescent="0.15">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row>
    <row r="346" spans="1:25" ht="5.0999999999999996" customHeight="1" x14ac:dyDescent="0.15">
      <c r="A346" s="23"/>
      <c r="B346" s="2"/>
      <c r="C346" s="3"/>
      <c r="D346" s="3"/>
      <c r="E346" s="3"/>
      <c r="F346" s="3"/>
      <c r="G346" s="2"/>
      <c r="H346" s="2"/>
      <c r="I346" s="2"/>
      <c r="J346" s="2"/>
      <c r="K346" s="2"/>
      <c r="L346" s="2"/>
      <c r="M346" s="2"/>
      <c r="N346" s="2"/>
      <c r="O346" s="2"/>
      <c r="P346" s="2"/>
      <c r="Q346" s="2"/>
      <c r="R346" s="2"/>
      <c r="S346" s="23"/>
      <c r="T346" s="23"/>
      <c r="U346" s="23"/>
      <c r="V346" s="23"/>
      <c r="W346" s="23"/>
      <c r="X346" s="23"/>
      <c r="Y346" s="23"/>
    </row>
    <row r="347" spans="1:25" x14ac:dyDescent="0.15">
      <c r="A347" s="23"/>
      <c r="B347" s="2" t="s">
        <v>253</v>
      </c>
      <c r="C347" s="2"/>
      <c r="D347" s="2"/>
      <c r="E347" s="2"/>
      <c r="F347" s="2"/>
      <c r="G347" s="2"/>
      <c r="H347" s="2"/>
      <c r="I347" s="2"/>
      <c r="J347" s="2"/>
      <c r="K347" s="2"/>
      <c r="L347" s="2"/>
      <c r="M347" s="2"/>
      <c r="N347" s="2"/>
      <c r="O347" s="2"/>
      <c r="P347" s="2"/>
      <c r="Q347" s="2"/>
      <c r="R347" s="2"/>
      <c r="S347" s="23"/>
      <c r="T347" s="23"/>
      <c r="U347" s="23"/>
      <c r="V347" s="23"/>
      <c r="W347" s="23"/>
      <c r="X347" s="23"/>
      <c r="Y347" s="23"/>
    </row>
    <row r="348" spans="1:25" ht="5.0999999999999996" customHeight="1" thickBot="1" x14ac:dyDescent="0.2">
      <c r="A348" s="23"/>
      <c r="B348" s="2"/>
      <c r="C348" s="2"/>
      <c r="D348" s="2"/>
      <c r="E348" s="2"/>
      <c r="F348" s="2"/>
      <c r="G348" s="2"/>
      <c r="H348" s="2"/>
      <c r="I348" s="2"/>
      <c r="J348" s="2"/>
      <c r="K348" s="2"/>
      <c r="L348" s="2"/>
      <c r="M348" s="2"/>
      <c r="N348" s="2"/>
      <c r="O348" s="2"/>
      <c r="P348" s="2"/>
      <c r="Q348" s="2"/>
      <c r="R348" s="2"/>
      <c r="S348" s="23"/>
      <c r="T348" s="23"/>
      <c r="U348" s="23"/>
      <c r="V348" s="23"/>
      <c r="W348" s="23"/>
      <c r="X348" s="23"/>
      <c r="Y348" s="23"/>
    </row>
    <row r="349" spans="1:25" ht="14.25" thickBot="1" x14ac:dyDescent="0.2">
      <c r="A349" s="23"/>
      <c r="B349" s="2"/>
      <c r="C349" s="63" t="s">
        <v>115</v>
      </c>
      <c r="D349" s="2"/>
      <c r="E349" s="8" t="str">
        <f>IF(入力シート!$C$348="","",TEXT(入力シート!$C$348,"e")*1)</f>
        <v/>
      </c>
      <c r="F349" s="2"/>
      <c r="G349" s="2" t="s">
        <v>116</v>
      </c>
      <c r="H349" s="2"/>
      <c r="I349" s="8" t="str">
        <f>IF(入力シート!$C$348="","",MONTH(入力シート!$C$348))</f>
        <v/>
      </c>
      <c r="J349" s="2"/>
      <c r="K349" s="2" t="s">
        <v>117</v>
      </c>
      <c r="L349" s="2"/>
      <c r="M349" s="8" t="str">
        <f>IF(入力シート!$C$348="","",DAY(入力シート!$C$348))</f>
        <v/>
      </c>
      <c r="N349" s="2"/>
      <c r="O349" s="2" t="s">
        <v>118</v>
      </c>
      <c r="P349" s="2"/>
      <c r="Q349" s="2"/>
      <c r="R349" s="2"/>
      <c r="S349" s="23"/>
      <c r="T349" s="26"/>
      <c r="U349" s="26"/>
      <c r="V349" s="23"/>
      <c r="W349" s="23"/>
      <c r="X349" s="23"/>
      <c r="Y349" s="23"/>
    </row>
    <row r="350" spans="1:25" ht="5.0999999999999996" customHeight="1" x14ac:dyDescent="0.15">
      <c r="A350" s="23"/>
      <c r="B350" s="2"/>
      <c r="C350" s="2"/>
      <c r="D350" s="2"/>
      <c r="E350" s="2"/>
      <c r="F350" s="2"/>
      <c r="G350" s="2"/>
      <c r="H350" s="2"/>
      <c r="I350" s="2"/>
      <c r="J350" s="2"/>
      <c r="K350" s="2"/>
      <c r="L350" s="2"/>
      <c r="M350" s="2"/>
      <c r="N350" s="2"/>
      <c r="O350" s="2"/>
      <c r="P350" s="2"/>
      <c r="Q350" s="2"/>
      <c r="R350" s="2"/>
      <c r="S350" s="23"/>
      <c r="T350" s="23"/>
      <c r="U350" s="23"/>
      <c r="V350" s="23"/>
      <c r="W350" s="23"/>
      <c r="X350" s="23"/>
      <c r="Y350" s="23"/>
    </row>
    <row r="351" spans="1:25" x14ac:dyDescent="0.15">
      <c r="A351" s="23"/>
      <c r="B351" s="2"/>
      <c r="C351" s="2"/>
      <c r="D351" s="2"/>
      <c r="E351" s="2" t="s">
        <v>119</v>
      </c>
      <c r="F351" s="2"/>
      <c r="G351" s="2"/>
      <c r="H351" s="2"/>
      <c r="I351" s="2"/>
      <c r="J351" s="2"/>
      <c r="K351" s="2"/>
      <c r="L351" s="2"/>
      <c r="M351" s="2"/>
      <c r="N351" s="2"/>
      <c r="O351" s="2"/>
      <c r="P351" s="2"/>
      <c r="Q351" s="2"/>
      <c r="R351" s="2"/>
      <c r="S351" s="23"/>
      <c r="T351" s="23"/>
      <c r="U351" s="23"/>
      <c r="V351" s="23"/>
      <c r="W351" s="23"/>
      <c r="X351" s="23"/>
      <c r="Y351" s="23"/>
    </row>
    <row r="352" spans="1:25" ht="5.0999999999999996" customHeight="1" x14ac:dyDescent="0.15">
      <c r="A352" s="23"/>
      <c r="B352" s="2"/>
      <c r="C352" s="2"/>
      <c r="D352" s="2"/>
      <c r="E352" s="2"/>
      <c r="F352" s="2"/>
      <c r="G352" s="2"/>
      <c r="H352" s="2"/>
      <c r="I352" s="2"/>
      <c r="J352" s="2"/>
      <c r="K352" s="2"/>
      <c r="L352" s="2"/>
      <c r="M352" s="2"/>
      <c r="N352" s="2"/>
      <c r="O352" s="2"/>
      <c r="P352" s="2"/>
      <c r="Q352" s="2"/>
      <c r="R352" s="2"/>
      <c r="S352" s="23"/>
      <c r="T352" s="23"/>
      <c r="U352" s="23"/>
      <c r="V352" s="23"/>
      <c r="W352" s="23"/>
      <c r="X352" s="23"/>
      <c r="Y352" s="23"/>
    </row>
    <row r="353" spans="1:25" x14ac:dyDescent="0.15">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row>
    <row r="354" spans="1:25" ht="5.0999999999999996" customHeight="1" x14ac:dyDescent="0.15">
      <c r="A354" s="23"/>
      <c r="B354" s="4"/>
      <c r="C354" s="4"/>
      <c r="D354" s="4"/>
      <c r="E354" s="4"/>
      <c r="F354" s="4"/>
      <c r="G354" s="4"/>
      <c r="H354" s="4"/>
      <c r="I354" s="4"/>
      <c r="J354" s="4"/>
      <c r="K354" s="4"/>
      <c r="L354" s="4"/>
      <c r="M354" s="4"/>
      <c r="N354" s="4"/>
      <c r="O354" s="4"/>
      <c r="P354" s="4"/>
      <c r="Q354" s="4"/>
      <c r="R354" s="4"/>
      <c r="S354" s="23"/>
      <c r="T354" s="23"/>
      <c r="U354" s="23"/>
      <c r="V354" s="23"/>
      <c r="W354" s="23"/>
      <c r="X354" s="23"/>
      <c r="Y354" s="23"/>
    </row>
    <row r="355" spans="1:25" x14ac:dyDescent="0.15">
      <c r="A355" s="23"/>
      <c r="B355" s="4" t="s">
        <v>254</v>
      </c>
      <c r="C355" s="4"/>
      <c r="D355" s="4"/>
      <c r="E355" s="4"/>
      <c r="F355" s="4"/>
      <c r="G355" s="4"/>
      <c r="H355" s="4"/>
      <c r="I355" s="4"/>
      <c r="J355" s="4"/>
      <c r="K355" s="4"/>
      <c r="L355" s="4"/>
      <c r="M355" s="4"/>
      <c r="N355" s="4"/>
      <c r="O355" s="4"/>
      <c r="P355" s="4"/>
      <c r="Q355" s="4"/>
      <c r="R355" s="4"/>
      <c r="S355" s="23"/>
      <c r="T355" s="23"/>
      <c r="U355" s="23"/>
      <c r="V355" s="23"/>
      <c r="W355" s="23"/>
      <c r="X355" s="23"/>
      <c r="Y355" s="23"/>
    </row>
    <row r="356" spans="1:25" ht="5.0999999999999996" customHeight="1" thickBot="1" x14ac:dyDescent="0.2">
      <c r="A356" s="23"/>
      <c r="B356" s="4"/>
      <c r="C356" s="4"/>
      <c r="D356" s="4"/>
      <c r="E356" s="4"/>
      <c r="F356" s="4"/>
      <c r="G356" s="4"/>
      <c r="H356" s="4"/>
      <c r="I356" s="4"/>
      <c r="J356" s="4"/>
      <c r="K356" s="4"/>
      <c r="L356" s="4"/>
      <c r="M356" s="4"/>
      <c r="N356" s="4"/>
      <c r="O356" s="4"/>
      <c r="P356" s="4"/>
      <c r="Q356" s="4"/>
      <c r="R356" s="4"/>
      <c r="S356" s="23"/>
      <c r="T356" s="23"/>
      <c r="U356" s="23"/>
      <c r="V356" s="23"/>
      <c r="W356" s="23"/>
      <c r="X356" s="23"/>
      <c r="Y356" s="23"/>
    </row>
    <row r="357" spans="1:25" ht="14.25" thickBot="1" x14ac:dyDescent="0.2">
      <c r="A357" s="23"/>
      <c r="B357" s="4"/>
      <c r="C357" s="4"/>
      <c r="D357" s="4"/>
      <c r="E357" s="58" t="s">
        <v>64</v>
      </c>
      <c r="F357" s="58"/>
      <c r="G357" s="351" t="str">
        <f>IF(入力シート!$I$356&lt;&gt;"",DBCS(入力シート!$I$356),"")</f>
        <v/>
      </c>
      <c r="H357" s="352"/>
      <c r="I357" s="352"/>
      <c r="J357" s="352"/>
      <c r="K357" s="352"/>
      <c r="L357" s="352"/>
      <c r="M357" s="352"/>
      <c r="N357" s="353"/>
      <c r="O357" s="4" t="s">
        <v>122</v>
      </c>
      <c r="P357" s="348" t="str">
        <f>IF(入力シート!$I$356&lt;&gt;"",SUBSTITUTE(反映シート!$G$357,"　",""),"")</f>
        <v/>
      </c>
      <c r="Q357" s="349"/>
      <c r="R357" s="349"/>
      <c r="S357" s="349"/>
      <c r="T357" s="349"/>
      <c r="U357" s="349"/>
      <c r="V357" s="350"/>
      <c r="W357" s="23" t="s">
        <v>123</v>
      </c>
      <c r="X357" s="23"/>
      <c r="Y357" s="23"/>
    </row>
    <row r="358" spans="1:25" ht="5.0999999999999996" customHeight="1" thickBot="1" x14ac:dyDescent="0.2">
      <c r="A358" s="23"/>
      <c r="B358" s="4"/>
      <c r="C358" s="4"/>
      <c r="D358" s="4"/>
      <c r="E358" s="4"/>
      <c r="F358" s="4"/>
      <c r="G358" s="4"/>
      <c r="H358" s="4"/>
      <c r="I358" s="4"/>
      <c r="J358" s="4"/>
      <c r="K358" s="4"/>
      <c r="L358" s="4"/>
      <c r="M358" s="4"/>
      <c r="N358" s="4"/>
      <c r="O358" s="4"/>
      <c r="P358" s="4"/>
      <c r="Q358" s="4"/>
      <c r="R358" s="4"/>
      <c r="S358" s="23"/>
      <c r="T358" s="23"/>
      <c r="U358" s="23"/>
      <c r="V358" s="23"/>
      <c r="W358" s="23"/>
      <c r="X358" s="23"/>
      <c r="Y358" s="23"/>
    </row>
    <row r="359" spans="1:25" ht="14.25" hidden="1" thickBot="1" x14ac:dyDescent="0.2">
      <c r="A359" s="23"/>
      <c r="B359" s="4"/>
      <c r="C359" s="4"/>
      <c r="D359" s="4"/>
      <c r="E359" s="4"/>
      <c r="F359" s="4"/>
      <c r="G359" s="4"/>
      <c r="H359" s="4"/>
      <c r="I359" s="4"/>
      <c r="J359" s="4"/>
      <c r="K359" s="4"/>
      <c r="L359" s="4"/>
      <c r="M359" s="4"/>
      <c r="N359" s="4"/>
      <c r="O359" s="4"/>
      <c r="P359" s="4"/>
      <c r="Q359" s="4"/>
      <c r="R359" s="4"/>
      <c r="S359" s="23"/>
      <c r="T359" s="23"/>
      <c r="U359" s="23"/>
      <c r="V359" s="23"/>
      <c r="W359" s="23"/>
      <c r="X359" s="23"/>
      <c r="Y359" s="23"/>
    </row>
    <row r="360" spans="1:25" ht="5.0999999999999996" hidden="1" customHeight="1" thickBot="1" x14ac:dyDescent="0.2">
      <c r="A360" s="23"/>
      <c r="B360" s="4"/>
      <c r="C360" s="4"/>
      <c r="D360" s="4"/>
      <c r="E360" s="4"/>
      <c r="F360" s="4"/>
      <c r="G360" s="4"/>
      <c r="H360" s="4"/>
      <c r="I360" s="4"/>
      <c r="J360" s="4"/>
      <c r="K360" s="4"/>
      <c r="L360" s="4"/>
      <c r="M360" s="4"/>
      <c r="N360" s="4"/>
      <c r="O360" s="4"/>
      <c r="P360" s="4"/>
      <c r="Q360" s="4"/>
      <c r="R360" s="4"/>
      <c r="S360" s="23"/>
      <c r="T360" s="23"/>
      <c r="U360" s="23"/>
      <c r="V360" s="23"/>
      <c r="W360" s="23"/>
      <c r="X360" s="23"/>
      <c r="Y360" s="23"/>
    </row>
    <row r="361" spans="1:25" ht="14.25" thickBot="1" x14ac:dyDescent="0.2">
      <c r="A361" s="23"/>
      <c r="B361" s="4"/>
      <c r="C361" s="4"/>
      <c r="D361" s="4"/>
      <c r="E361" s="58" t="s">
        <v>66</v>
      </c>
      <c r="F361" s="58"/>
      <c r="G361" s="351" t="str">
        <f>IF(入力シート!$I$360&lt;&gt;"",DBCS(入力シート!$I$360),"")</f>
        <v/>
      </c>
      <c r="H361" s="352"/>
      <c r="I361" s="352"/>
      <c r="J361" s="352"/>
      <c r="K361" s="352"/>
      <c r="L361" s="352"/>
      <c r="M361" s="352"/>
      <c r="N361" s="353"/>
      <c r="O361" s="4" t="s">
        <v>122</v>
      </c>
      <c r="P361" s="348" t="str">
        <f>IF(入力シート!$I$360&lt;&gt;"",SUBSTITUTE(反映シート!$G$361,"　",""),"")</f>
        <v/>
      </c>
      <c r="Q361" s="349"/>
      <c r="R361" s="349"/>
      <c r="S361" s="349"/>
      <c r="T361" s="349"/>
      <c r="U361" s="349"/>
      <c r="V361" s="350"/>
      <c r="W361" s="23" t="s">
        <v>123</v>
      </c>
      <c r="X361" s="23"/>
      <c r="Y361" s="23"/>
    </row>
    <row r="362" spans="1:25" ht="5.0999999999999996" customHeight="1" thickBot="1" x14ac:dyDescent="0.2">
      <c r="A362" s="23"/>
      <c r="B362" s="4"/>
      <c r="C362" s="4"/>
      <c r="D362" s="4"/>
      <c r="E362" s="4"/>
      <c r="F362" s="4"/>
      <c r="G362" s="4"/>
      <c r="H362" s="4"/>
      <c r="I362" s="4"/>
      <c r="J362" s="4"/>
      <c r="K362" s="4"/>
      <c r="L362" s="4"/>
      <c r="M362" s="4"/>
      <c r="N362" s="4"/>
      <c r="O362" s="4"/>
      <c r="P362" s="4"/>
      <c r="Q362" s="4"/>
      <c r="R362" s="4"/>
      <c r="S362" s="23"/>
      <c r="T362" s="23"/>
      <c r="U362" s="23"/>
      <c r="V362" s="23"/>
      <c r="W362" s="23"/>
      <c r="X362" s="23"/>
      <c r="Y362" s="23"/>
    </row>
    <row r="363" spans="1:25" ht="14.25" thickBot="1" x14ac:dyDescent="0.2">
      <c r="A363" s="23"/>
      <c r="B363" s="4"/>
      <c r="C363" s="4"/>
      <c r="D363" s="4"/>
      <c r="E363" s="58" t="s">
        <v>67</v>
      </c>
      <c r="F363" s="58"/>
      <c r="G363" s="351" t="str">
        <f>IF(入力シート!$I$362&lt;&gt;"",DBCS(入力シート!$I$362),"")</f>
        <v/>
      </c>
      <c r="H363" s="352"/>
      <c r="I363" s="352"/>
      <c r="J363" s="352"/>
      <c r="K363" s="352"/>
      <c r="L363" s="352"/>
      <c r="M363" s="352"/>
      <c r="N363" s="353"/>
      <c r="O363" s="4" t="s">
        <v>122</v>
      </c>
      <c r="P363" s="348" t="str">
        <f>IF(入力シート!$I$362&lt;&gt;"",SUBSTITUTE(反映シート!$G$363,"　",""),"")</f>
        <v/>
      </c>
      <c r="Q363" s="349"/>
      <c r="R363" s="349"/>
      <c r="S363" s="349"/>
      <c r="T363" s="349"/>
      <c r="U363" s="349"/>
      <c r="V363" s="350"/>
      <c r="W363" s="23" t="s">
        <v>123</v>
      </c>
      <c r="X363" s="23"/>
      <c r="Y363" s="23"/>
    </row>
    <row r="364" spans="1:25" ht="5.0999999999999996" customHeight="1" x14ac:dyDescent="0.15">
      <c r="A364" s="23"/>
      <c r="B364" s="4"/>
      <c r="C364" s="4"/>
      <c r="D364" s="4"/>
      <c r="E364" s="4"/>
      <c r="F364" s="4"/>
      <c r="G364" s="4"/>
      <c r="H364" s="4"/>
      <c r="I364" s="4"/>
      <c r="J364" s="4"/>
      <c r="K364" s="4"/>
      <c r="L364" s="4"/>
      <c r="M364" s="4"/>
      <c r="N364" s="4"/>
      <c r="O364" s="4"/>
      <c r="P364" s="4"/>
      <c r="Q364" s="4"/>
      <c r="R364" s="4"/>
      <c r="S364" s="23"/>
      <c r="T364" s="23"/>
      <c r="U364" s="23"/>
      <c r="V364" s="23"/>
      <c r="W364" s="23"/>
      <c r="X364" s="23"/>
      <c r="Y364" s="23"/>
    </row>
    <row r="365" spans="1:25" x14ac:dyDescent="0.15">
      <c r="A365" s="23"/>
      <c r="B365" s="4"/>
      <c r="C365" s="4" t="s">
        <v>68</v>
      </c>
      <c r="D365" s="4"/>
      <c r="E365" s="4"/>
      <c r="F365" s="4"/>
      <c r="G365" s="4"/>
      <c r="H365" s="4"/>
      <c r="I365" s="4"/>
      <c r="J365" s="4"/>
      <c r="K365" s="4"/>
      <c r="L365" s="4"/>
      <c r="M365" s="4"/>
      <c r="N365" s="4"/>
      <c r="O365" s="4"/>
      <c r="P365" s="4"/>
      <c r="Q365" s="4"/>
      <c r="R365" s="4"/>
      <c r="S365" s="23"/>
      <c r="T365" s="23"/>
      <c r="U365" s="23"/>
      <c r="V365" s="23"/>
      <c r="W365" s="23"/>
      <c r="X365" s="23"/>
      <c r="Y365" s="23"/>
    </row>
    <row r="366" spans="1:25" ht="5.0999999999999996" customHeight="1" thickBot="1" x14ac:dyDescent="0.2">
      <c r="A366" s="23"/>
      <c r="B366" s="4"/>
      <c r="C366" s="4"/>
      <c r="D366" s="4"/>
      <c r="E366" s="4"/>
      <c r="F366" s="4"/>
      <c r="G366" s="4"/>
      <c r="H366" s="4"/>
      <c r="I366" s="4"/>
      <c r="J366" s="4"/>
      <c r="K366" s="4"/>
      <c r="L366" s="4"/>
      <c r="M366" s="4"/>
      <c r="N366" s="4"/>
      <c r="O366" s="4"/>
      <c r="P366" s="4"/>
      <c r="Q366" s="4"/>
      <c r="R366" s="4"/>
      <c r="S366" s="23"/>
      <c r="T366" s="23"/>
      <c r="U366" s="23"/>
      <c r="V366" s="23"/>
      <c r="W366" s="23"/>
      <c r="X366" s="23"/>
      <c r="Y366" s="23"/>
    </row>
    <row r="367" spans="1:25" ht="14.25" thickBot="1" x14ac:dyDescent="0.2">
      <c r="A367" s="23"/>
      <c r="B367" s="4"/>
      <c r="C367" s="4"/>
      <c r="D367" s="4"/>
      <c r="E367" s="58" t="s">
        <v>69</v>
      </c>
      <c r="F367" s="58"/>
      <c r="G367" s="351" t="str">
        <f>IF(入力シート!$I$366&lt;&gt;"",DBCS(入力シート!$I$366),"")</f>
        <v/>
      </c>
      <c r="H367" s="352"/>
      <c r="I367" s="352"/>
      <c r="J367" s="352"/>
      <c r="K367" s="352"/>
      <c r="L367" s="352"/>
      <c r="M367" s="352"/>
      <c r="N367" s="353"/>
      <c r="O367" s="4" t="s">
        <v>122</v>
      </c>
      <c r="P367" s="348" t="str">
        <f>IF(入力シート!$I$366&lt;&gt;"",SUBSTITUTE(反映シート!$G$367,"　",""),"")</f>
        <v/>
      </c>
      <c r="Q367" s="349"/>
      <c r="R367" s="349"/>
      <c r="S367" s="349"/>
      <c r="T367" s="349"/>
      <c r="U367" s="349"/>
      <c r="V367" s="350"/>
      <c r="W367" s="23" t="s">
        <v>123</v>
      </c>
      <c r="X367" s="23"/>
      <c r="Y367" s="23"/>
    </row>
    <row r="368" spans="1:25" ht="5.0999999999999996" customHeight="1" thickBot="1" x14ac:dyDescent="0.2">
      <c r="A368" s="23"/>
      <c r="B368" s="4"/>
      <c r="C368" s="4"/>
      <c r="D368" s="4"/>
      <c r="E368" s="4"/>
      <c r="F368" s="4"/>
      <c r="G368" s="66"/>
      <c r="H368" s="66"/>
      <c r="I368" s="66"/>
      <c r="J368" s="66"/>
      <c r="K368" s="66"/>
      <c r="L368" s="66"/>
      <c r="M368" s="66"/>
      <c r="N368" s="66"/>
      <c r="O368" s="4"/>
      <c r="P368" s="4"/>
      <c r="Q368" s="4"/>
      <c r="R368" s="4"/>
      <c r="S368" s="23"/>
      <c r="T368" s="23"/>
      <c r="U368" s="23"/>
      <c r="V368" s="23"/>
      <c r="W368" s="23"/>
      <c r="X368" s="23"/>
      <c r="Y368" s="23"/>
    </row>
    <row r="369" spans="1:25" ht="14.25" thickBot="1" x14ac:dyDescent="0.2">
      <c r="A369" s="23"/>
      <c r="B369" s="4"/>
      <c r="C369" s="4"/>
      <c r="D369" s="4"/>
      <c r="E369" s="58" t="s">
        <v>70</v>
      </c>
      <c r="F369" s="58"/>
      <c r="G369" s="351" t="str">
        <f>IF(入力シート!$I$368&lt;&gt;"",DBCS(入力シート!$I$368),"")</f>
        <v/>
      </c>
      <c r="H369" s="352"/>
      <c r="I369" s="352"/>
      <c r="J369" s="352"/>
      <c r="K369" s="352"/>
      <c r="L369" s="352"/>
      <c r="M369" s="352"/>
      <c r="N369" s="353"/>
      <c r="O369" s="4" t="s">
        <v>122</v>
      </c>
      <c r="P369" s="348" t="str">
        <f>IF(入力シート!$I$368&lt;&gt;"",SUBSTITUTE(反映シート!$G$369,"　",""),"")</f>
        <v/>
      </c>
      <c r="Q369" s="349"/>
      <c r="R369" s="349"/>
      <c r="S369" s="349"/>
      <c r="T369" s="349"/>
      <c r="U369" s="349"/>
      <c r="V369" s="350"/>
      <c r="W369" s="23" t="s">
        <v>123</v>
      </c>
      <c r="X369" s="23"/>
      <c r="Y369" s="23"/>
    </row>
    <row r="370" spans="1:25" ht="5.0999999999999996" customHeight="1" x14ac:dyDescent="0.15">
      <c r="A370" s="23"/>
      <c r="B370" s="4"/>
      <c r="C370" s="4"/>
      <c r="D370" s="4"/>
      <c r="E370" s="4"/>
      <c r="F370" s="4"/>
      <c r="G370" s="4"/>
      <c r="H370" s="4"/>
      <c r="I370" s="4"/>
      <c r="J370" s="4"/>
      <c r="K370" s="4"/>
      <c r="L370" s="4"/>
      <c r="M370" s="4"/>
      <c r="N370" s="4"/>
      <c r="O370" s="4"/>
      <c r="P370" s="4"/>
      <c r="Q370" s="4"/>
      <c r="R370" s="4"/>
      <c r="S370" s="23"/>
      <c r="T370" s="23"/>
      <c r="U370" s="23"/>
      <c r="V370" s="23"/>
      <c r="W370" s="23"/>
      <c r="X370" s="23"/>
      <c r="Y370" s="23"/>
    </row>
    <row r="371" spans="1:25" x14ac:dyDescent="0.15">
      <c r="A371" s="23"/>
      <c r="B371" s="4"/>
      <c r="C371" s="4" t="s">
        <v>71</v>
      </c>
      <c r="D371" s="4"/>
      <c r="E371" s="4"/>
      <c r="F371" s="4"/>
      <c r="G371" s="4"/>
      <c r="H371" s="4"/>
      <c r="I371" s="4"/>
      <c r="J371" s="4"/>
      <c r="K371" s="4"/>
      <c r="L371" s="4"/>
      <c r="M371" s="4"/>
      <c r="N371" s="4"/>
      <c r="O371" s="4"/>
      <c r="P371" s="4"/>
      <c r="Q371" s="4"/>
      <c r="R371" s="4"/>
      <c r="S371" s="23"/>
      <c r="T371" s="23"/>
      <c r="U371" s="23"/>
      <c r="V371" s="23"/>
      <c r="W371" s="23"/>
      <c r="X371" s="23"/>
      <c r="Y371" s="23"/>
    </row>
    <row r="372" spans="1:25" ht="5.0999999999999996" customHeight="1" thickBot="1" x14ac:dyDescent="0.2">
      <c r="A372" s="23"/>
      <c r="B372" s="4"/>
      <c r="C372" s="4"/>
      <c r="D372" s="4"/>
      <c r="E372" s="4"/>
      <c r="F372" s="4"/>
      <c r="G372" s="4"/>
      <c r="H372" s="4"/>
      <c r="I372" s="4"/>
      <c r="J372" s="4"/>
      <c r="K372" s="4"/>
      <c r="L372" s="4"/>
      <c r="M372" s="4"/>
      <c r="N372" s="4"/>
      <c r="O372" s="4"/>
      <c r="P372" s="4"/>
      <c r="Q372" s="4"/>
      <c r="R372" s="4"/>
      <c r="S372" s="23"/>
      <c r="T372" s="23"/>
      <c r="U372" s="23"/>
      <c r="V372" s="23"/>
      <c r="W372" s="23"/>
      <c r="X372" s="23"/>
      <c r="Y372" s="23"/>
    </row>
    <row r="373" spans="1:25" ht="14.25" thickBot="1" x14ac:dyDescent="0.2">
      <c r="A373" s="23"/>
      <c r="B373" s="4"/>
      <c r="C373" s="4"/>
      <c r="D373" s="4"/>
      <c r="E373" s="58" t="s">
        <v>72</v>
      </c>
      <c r="F373" s="58"/>
      <c r="G373" s="250" t="str">
        <f>IF(入力シート!I372&lt;&gt;"",SUBSTITUTE(入力シート!$I$372,"-",""),"")</f>
        <v/>
      </c>
      <c r="H373" s="251"/>
      <c r="I373" s="251"/>
      <c r="J373" s="251"/>
      <c r="K373" s="252"/>
      <c r="L373" s="4"/>
      <c r="M373" s="4"/>
      <c r="N373" s="4"/>
      <c r="O373" s="4"/>
      <c r="P373" s="4"/>
      <c r="Q373" s="4"/>
      <c r="R373" s="4"/>
      <c r="S373" s="23"/>
      <c r="T373" s="23"/>
      <c r="U373" s="23"/>
      <c r="V373" s="23"/>
      <c r="W373" s="23"/>
      <c r="X373" s="23"/>
      <c r="Y373" s="23"/>
    </row>
    <row r="374" spans="1:25" ht="5.0999999999999996" customHeight="1" thickBot="1" x14ac:dyDescent="0.2">
      <c r="A374" s="23"/>
      <c r="B374" s="4"/>
      <c r="C374" s="4"/>
      <c r="D374" s="4"/>
      <c r="E374" s="4"/>
      <c r="F374" s="4"/>
      <c r="G374" s="4"/>
      <c r="H374" s="4"/>
      <c r="I374" s="4"/>
      <c r="J374" s="4"/>
      <c r="K374" s="4"/>
      <c r="L374" s="4"/>
      <c r="M374" s="4"/>
      <c r="N374" s="4"/>
      <c r="O374" s="4"/>
      <c r="P374" s="4"/>
      <c r="Q374" s="4"/>
      <c r="R374" s="4"/>
      <c r="S374" s="23"/>
      <c r="T374" s="23"/>
      <c r="U374" s="23"/>
      <c r="V374" s="23"/>
      <c r="W374" s="23"/>
      <c r="X374" s="23"/>
      <c r="Y374" s="23"/>
    </row>
    <row r="375" spans="1:25" ht="14.25" thickBot="1" x14ac:dyDescent="0.2">
      <c r="A375" s="23"/>
      <c r="B375" s="4"/>
      <c r="C375" s="4"/>
      <c r="D375" s="4"/>
      <c r="E375" s="58" t="s">
        <v>73</v>
      </c>
      <c r="F375" s="58"/>
      <c r="G375" s="250" t="str">
        <f>IF(入力シート!I374&lt;&gt;"",SUBSTITUTE(入力シート!$I$374,"-",""),"")</f>
        <v/>
      </c>
      <c r="H375" s="251"/>
      <c r="I375" s="251"/>
      <c r="J375" s="251"/>
      <c r="K375" s="252"/>
      <c r="L375" s="4"/>
      <c r="M375" s="4"/>
      <c r="N375" s="4"/>
      <c r="O375" s="4"/>
      <c r="P375" s="4"/>
      <c r="Q375" s="4"/>
      <c r="R375" s="4"/>
      <c r="S375" s="23"/>
      <c r="T375" s="23"/>
      <c r="U375" s="23"/>
      <c r="V375" s="23"/>
      <c r="W375" s="23"/>
      <c r="X375" s="23"/>
      <c r="Y375" s="23"/>
    </row>
    <row r="376" spans="1:25" ht="5.0999999999999996" customHeight="1" thickBot="1" x14ac:dyDescent="0.2">
      <c r="A376" s="23"/>
      <c r="B376" s="4"/>
      <c r="C376" s="4"/>
      <c r="D376" s="4"/>
      <c r="E376" s="4"/>
      <c r="F376" s="4"/>
      <c r="G376" s="4"/>
      <c r="H376" s="4"/>
      <c r="I376" s="4"/>
      <c r="J376" s="4"/>
      <c r="K376" s="4"/>
      <c r="L376" s="4"/>
      <c r="M376" s="4"/>
      <c r="N376" s="4"/>
      <c r="O376" s="4"/>
      <c r="P376" s="4"/>
      <c r="Q376" s="4"/>
      <c r="R376" s="4"/>
      <c r="S376" s="23"/>
      <c r="T376" s="23"/>
      <c r="U376" s="23"/>
      <c r="V376" s="23"/>
      <c r="W376" s="23"/>
      <c r="X376" s="23"/>
      <c r="Y376" s="23"/>
    </row>
    <row r="377" spans="1:25" ht="14.25" thickBot="1" x14ac:dyDescent="0.2">
      <c r="A377" s="23"/>
      <c r="B377" s="4"/>
      <c r="C377" s="4"/>
      <c r="D377" s="4"/>
      <c r="E377" s="58" t="s">
        <v>74</v>
      </c>
      <c r="F377" s="58"/>
      <c r="G377" s="354" t="str">
        <f>IF(AND(入力シート!$K$376&lt;&gt;"",入力シート!$M$378&lt;&gt;""),ASC(入力シート!$K$376&amp;入力シート!$K$378&amp;入力シート!$M$378),"")</f>
        <v/>
      </c>
      <c r="H377" s="355"/>
      <c r="I377" s="355"/>
      <c r="J377" s="355"/>
      <c r="K377" s="355"/>
      <c r="L377" s="355"/>
      <c r="M377" s="356"/>
      <c r="N377" s="4"/>
      <c r="O377" s="4"/>
      <c r="P377" s="4"/>
      <c r="Q377" s="4"/>
      <c r="R377" s="4"/>
      <c r="S377" s="23"/>
      <c r="T377" s="23"/>
      <c r="U377" s="23"/>
      <c r="V377" s="23"/>
      <c r="W377" s="23"/>
      <c r="X377" s="23"/>
      <c r="Y377" s="23"/>
    </row>
    <row r="378" spans="1:25" ht="5.0999999999999996" customHeight="1" thickBot="1" x14ac:dyDescent="0.2">
      <c r="A378" s="23"/>
      <c r="B378" s="4"/>
      <c r="C378" s="4"/>
      <c r="D378" s="4"/>
      <c r="E378" s="4"/>
      <c r="F378" s="4"/>
      <c r="G378" s="4"/>
      <c r="H378" s="4"/>
      <c r="I378" s="4"/>
      <c r="J378" s="4"/>
      <c r="K378" s="4"/>
      <c r="L378" s="4"/>
      <c r="M378" s="4"/>
      <c r="N378" s="4"/>
      <c r="O378" s="4"/>
      <c r="P378" s="4"/>
      <c r="Q378" s="4"/>
      <c r="R378" s="4"/>
      <c r="S378" s="23"/>
      <c r="T378" s="23"/>
      <c r="U378" s="23"/>
      <c r="V378" s="23"/>
      <c r="W378" s="23"/>
      <c r="X378" s="23"/>
      <c r="Y378" s="23"/>
    </row>
    <row r="379" spans="1:25" ht="14.25" thickBot="1" x14ac:dyDescent="0.2">
      <c r="A379" s="23"/>
      <c r="B379" s="4"/>
      <c r="C379" s="4"/>
      <c r="D379" s="4"/>
      <c r="E379" s="58" t="s">
        <v>367</v>
      </c>
      <c r="F379" s="4"/>
      <c r="G379" s="354" t="str">
        <f>IF(入力シート!$I$380&lt;&gt;"",ASC(入力シート!I380),"")</f>
        <v/>
      </c>
      <c r="H379" s="355"/>
      <c r="I379" s="355"/>
      <c r="J379" s="355"/>
      <c r="K379" s="355"/>
      <c r="L379" s="355"/>
      <c r="M379" s="356"/>
      <c r="N379" s="4"/>
      <c r="O379" s="4"/>
      <c r="P379" s="4"/>
      <c r="Q379" s="4"/>
      <c r="R379" s="4"/>
      <c r="S379" s="23"/>
      <c r="T379" s="23"/>
      <c r="U379" s="23"/>
      <c r="V379" s="23"/>
      <c r="W379" s="23"/>
      <c r="X379" s="23"/>
      <c r="Y379" s="23"/>
    </row>
    <row r="380" spans="1:25" ht="5.0999999999999996" customHeight="1" x14ac:dyDescent="0.15">
      <c r="A380" s="23"/>
      <c r="B380" s="4"/>
      <c r="C380" s="4"/>
      <c r="D380" s="4"/>
      <c r="E380" s="4"/>
      <c r="F380" s="4"/>
      <c r="G380" s="4"/>
      <c r="H380" s="4"/>
      <c r="I380" s="4"/>
      <c r="J380" s="4"/>
      <c r="K380" s="4"/>
      <c r="L380" s="4"/>
      <c r="M380" s="4"/>
      <c r="N380" s="4"/>
      <c r="O380" s="4"/>
      <c r="P380" s="4"/>
      <c r="Q380" s="4"/>
      <c r="R380" s="4"/>
      <c r="S380" s="23"/>
      <c r="T380" s="23"/>
      <c r="U380" s="23"/>
      <c r="V380" s="23"/>
      <c r="W380" s="23"/>
      <c r="X380" s="23"/>
      <c r="Y380" s="23"/>
    </row>
    <row r="381" spans="1:25" x14ac:dyDescent="0.15">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row>
    <row r="382" spans="1:25" ht="5.0999999999999996" customHeight="1" x14ac:dyDescent="0.15">
      <c r="A382" s="23"/>
      <c r="B382" s="2"/>
      <c r="C382" s="2"/>
      <c r="D382" s="2"/>
      <c r="E382" s="2"/>
      <c r="F382" s="2"/>
      <c r="G382" s="2"/>
      <c r="H382" s="2"/>
      <c r="I382" s="2"/>
      <c r="J382" s="2"/>
      <c r="K382" s="2"/>
      <c r="L382" s="2"/>
      <c r="M382" s="2"/>
      <c r="N382" s="2"/>
      <c r="O382" s="2"/>
      <c r="P382" s="2"/>
      <c r="Q382" s="2"/>
      <c r="R382" s="2"/>
      <c r="S382" s="23"/>
      <c r="T382" s="23"/>
      <c r="U382" s="23"/>
      <c r="V382" s="23"/>
      <c r="W382" s="23"/>
      <c r="X382" s="23"/>
      <c r="Y382" s="23"/>
    </row>
    <row r="383" spans="1:25" x14ac:dyDescent="0.15">
      <c r="A383" s="23"/>
      <c r="B383" s="2" t="s">
        <v>362</v>
      </c>
      <c r="C383" s="2"/>
      <c r="D383" s="2"/>
      <c r="E383" s="2"/>
      <c r="F383" s="2"/>
      <c r="G383" s="2"/>
      <c r="H383" s="2"/>
      <c r="I383" s="2"/>
      <c r="J383" s="2"/>
      <c r="K383" s="2"/>
      <c r="L383" s="2"/>
      <c r="M383" s="2"/>
      <c r="N383" s="2"/>
      <c r="O383" s="2"/>
      <c r="P383" s="2"/>
      <c r="Q383" s="2"/>
      <c r="R383" s="2"/>
      <c r="S383" s="23"/>
      <c r="T383" s="23"/>
      <c r="U383" s="23"/>
      <c r="V383" s="23"/>
      <c r="W383" s="23"/>
      <c r="X383" s="23"/>
      <c r="Y383" s="23"/>
    </row>
    <row r="384" spans="1:25" ht="5.0999999999999996" customHeight="1" x14ac:dyDescent="0.15">
      <c r="A384" s="23"/>
      <c r="B384" s="2"/>
      <c r="C384" s="2"/>
      <c r="D384" s="2"/>
      <c r="E384" s="2"/>
      <c r="F384" s="2"/>
      <c r="G384" s="2"/>
      <c r="H384" s="2"/>
      <c r="I384" s="2"/>
      <c r="J384" s="2"/>
      <c r="K384" s="2"/>
      <c r="L384" s="2"/>
      <c r="M384" s="2"/>
      <c r="N384" s="2"/>
      <c r="O384" s="2"/>
      <c r="P384" s="2"/>
      <c r="Q384" s="2"/>
      <c r="R384" s="2"/>
      <c r="S384" s="23"/>
      <c r="T384" s="23"/>
      <c r="U384" s="23"/>
      <c r="V384" s="23"/>
      <c r="W384" s="23"/>
      <c r="X384" s="23"/>
      <c r="Y384" s="23"/>
    </row>
    <row r="385" spans="1:25" x14ac:dyDescent="0.15">
      <c r="A385" s="23"/>
      <c r="B385" s="2"/>
      <c r="C385" s="2" t="s">
        <v>71</v>
      </c>
      <c r="D385" s="2"/>
      <c r="E385" s="2"/>
      <c r="F385" s="2"/>
      <c r="G385" s="2"/>
      <c r="H385" s="2"/>
      <c r="I385" s="2"/>
      <c r="J385" s="2"/>
      <c r="K385" s="2"/>
      <c r="L385" s="2"/>
      <c r="M385" s="2"/>
      <c r="N385" s="2"/>
      <c r="O385" s="2"/>
      <c r="P385" s="2"/>
      <c r="Q385" s="2"/>
      <c r="R385" s="2"/>
      <c r="S385" s="23"/>
      <c r="T385" s="23"/>
      <c r="U385" s="23"/>
      <c r="V385" s="23"/>
      <c r="W385" s="23"/>
      <c r="X385" s="23"/>
      <c r="Y385" s="23"/>
    </row>
    <row r="386" spans="1:25" ht="5.0999999999999996" customHeight="1" thickBot="1" x14ac:dyDescent="0.2">
      <c r="A386" s="23"/>
      <c r="B386" s="2"/>
      <c r="C386" s="2"/>
      <c r="D386" s="2"/>
      <c r="E386" s="2"/>
      <c r="F386" s="2"/>
      <c r="G386" s="2"/>
      <c r="H386" s="2"/>
      <c r="I386" s="2"/>
      <c r="J386" s="2"/>
      <c r="K386" s="2"/>
      <c r="L386" s="2"/>
      <c r="M386" s="2"/>
      <c r="N386" s="2"/>
      <c r="O386" s="2"/>
      <c r="P386" s="2"/>
      <c r="Q386" s="2"/>
      <c r="R386" s="2"/>
      <c r="S386" s="23"/>
      <c r="T386" s="23"/>
      <c r="U386" s="23"/>
      <c r="V386" s="23"/>
      <c r="W386" s="23"/>
      <c r="X386" s="23"/>
      <c r="Y386" s="23"/>
    </row>
    <row r="387" spans="1:25" ht="14.25" thickBot="1" x14ac:dyDescent="0.2">
      <c r="A387" s="23"/>
      <c r="B387" s="2"/>
      <c r="C387" s="2"/>
      <c r="D387" s="2"/>
      <c r="E387" s="63" t="s">
        <v>72</v>
      </c>
      <c r="F387" s="63"/>
      <c r="G387" s="250" t="str">
        <f>IF(AND($C$76&lt;&gt;"なし",入力シート!$I$388&lt;&gt;""),SUBSTITUTE(入力シート!$I$388,"-",""),"")</f>
        <v/>
      </c>
      <c r="H387" s="251"/>
      <c r="I387" s="251"/>
      <c r="J387" s="251"/>
      <c r="K387" s="252"/>
      <c r="L387" s="2"/>
      <c r="M387" s="2"/>
      <c r="N387" s="2"/>
      <c r="O387" s="2"/>
      <c r="P387" s="2"/>
      <c r="Q387" s="2"/>
      <c r="R387" s="2"/>
      <c r="S387" s="23"/>
      <c r="T387" s="23"/>
      <c r="U387" s="23"/>
      <c r="V387" s="23"/>
      <c r="W387" s="23"/>
      <c r="X387" s="23"/>
      <c r="Y387" s="23"/>
    </row>
    <row r="388" spans="1:25" ht="5.0999999999999996" customHeight="1" thickBot="1" x14ac:dyDescent="0.2">
      <c r="A388" s="23"/>
      <c r="B388" s="2"/>
      <c r="C388" s="2"/>
      <c r="D388" s="2"/>
      <c r="E388" s="2"/>
      <c r="F388" s="2"/>
      <c r="G388" s="2"/>
      <c r="H388" s="2"/>
      <c r="I388" s="2"/>
      <c r="J388" s="2"/>
      <c r="K388" s="2"/>
      <c r="L388" s="2"/>
      <c r="M388" s="2"/>
      <c r="N388" s="2"/>
      <c r="O388" s="2"/>
      <c r="P388" s="2"/>
      <c r="Q388" s="2"/>
      <c r="R388" s="2"/>
      <c r="S388" s="23"/>
      <c r="T388" s="23"/>
      <c r="U388" s="23"/>
      <c r="V388" s="23"/>
      <c r="W388" s="23"/>
      <c r="X388" s="23"/>
      <c r="Y388" s="23"/>
    </row>
    <row r="389" spans="1:25" ht="14.25" thickBot="1" x14ac:dyDescent="0.2">
      <c r="A389" s="23"/>
      <c r="B389" s="2"/>
      <c r="C389" s="2"/>
      <c r="D389" s="2"/>
      <c r="E389" s="63" t="s">
        <v>73</v>
      </c>
      <c r="F389" s="63"/>
      <c r="G389" s="250" t="str">
        <f>IF(AND($C$76&lt;&gt;"なし",入力シート!$I$390&lt;&gt;""),SUBSTITUTE(入力シート!$I$390,"-",""),"")</f>
        <v/>
      </c>
      <c r="H389" s="251"/>
      <c r="I389" s="251"/>
      <c r="J389" s="251"/>
      <c r="K389" s="252"/>
      <c r="L389" s="2"/>
      <c r="M389" s="2"/>
      <c r="N389" s="2"/>
      <c r="O389" s="2"/>
      <c r="P389" s="2"/>
      <c r="Q389" s="2"/>
      <c r="R389" s="2"/>
      <c r="S389" s="23"/>
      <c r="T389" s="23"/>
      <c r="U389" s="23"/>
      <c r="V389" s="23"/>
      <c r="W389" s="23"/>
      <c r="X389" s="23"/>
      <c r="Y389" s="23"/>
    </row>
    <row r="390" spans="1:25" ht="5.0999999999999996" customHeight="1" thickBot="1" x14ac:dyDescent="0.2">
      <c r="A390" s="23"/>
      <c r="B390" s="2"/>
      <c r="C390" s="2"/>
      <c r="D390" s="2"/>
      <c r="E390" s="2"/>
      <c r="F390" s="2"/>
      <c r="G390" s="2"/>
      <c r="H390" s="2"/>
      <c r="I390" s="2"/>
      <c r="J390" s="2"/>
      <c r="K390" s="2"/>
      <c r="L390" s="2"/>
      <c r="M390" s="2"/>
      <c r="N390" s="2"/>
      <c r="O390" s="2"/>
      <c r="P390" s="2"/>
      <c r="Q390" s="2"/>
      <c r="R390" s="2"/>
      <c r="S390" s="23"/>
      <c r="T390" s="23"/>
      <c r="U390" s="23"/>
      <c r="V390" s="23"/>
      <c r="W390" s="23"/>
      <c r="X390" s="23"/>
      <c r="Y390" s="23"/>
    </row>
    <row r="391" spans="1:25" ht="14.25" thickBot="1" x14ac:dyDescent="0.2">
      <c r="A391" s="23"/>
      <c r="B391" s="2"/>
      <c r="C391" s="2"/>
      <c r="D391" s="2"/>
      <c r="E391" s="63" t="s">
        <v>74</v>
      </c>
      <c r="F391" s="63"/>
      <c r="G391" s="354" t="str">
        <f>IF(AND($C$76&lt;&gt;"なし",入力シート!$K$392&lt;&gt;"",入力シート!$M$394&lt;&gt;""),ASC(入力シート!$K$392&amp;入力シート!$K$394&amp;入力シート!$M$394),"")</f>
        <v/>
      </c>
      <c r="H391" s="355"/>
      <c r="I391" s="355"/>
      <c r="J391" s="355"/>
      <c r="K391" s="355"/>
      <c r="L391" s="355"/>
      <c r="M391" s="356"/>
      <c r="N391" s="2"/>
      <c r="O391" s="2"/>
      <c r="P391" s="2"/>
      <c r="Q391" s="2"/>
      <c r="R391" s="2"/>
      <c r="S391" s="23"/>
      <c r="T391" s="23"/>
      <c r="U391" s="23"/>
      <c r="V391" s="23"/>
      <c r="W391" s="23"/>
      <c r="X391" s="23"/>
      <c r="Y391" s="23"/>
    </row>
    <row r="392" spans="1:25" ht="5.0999999999999996" customHeight="1" thickBot="1" x14ac:dyDescent="0.2">
      <c r="A392" s="23"/>
      <c r="B392" s="2"/>
      <c r="C392" s="2"/>
      <c r="D392" s="2"/>
      <c r="E392" s="2"/>
      <c r="F392" s="2"/>
      <c r="G392" s="2"/>
      <c r="H392" s="2"/>
      <c r="I392" s="2"/>
      <c r="J392" s="2"/>
      <c r="K392" s="2"/>
      <c r="L392" s="2"/>
      <c r="M392" s="2"/>
      <c r="N392" s="2"/>
      <c r="O392" s="2"/>
      <c r="P392" s="2"/>
      <c r="Q392" s="2"/>
      <c r="R392" s="2"/>
      <c r="S392" s="23"/>
      <c r="T392" s="23"/>
      <c r="U392" s="23"/>
      <c r="V392" s="23"/>
      <c r="W392" s="23"/>
      <c r="X392" s="23"/>
      <c r="Y392" s="23"/>
    </row>
    <row r="393" spans="1:25" ht="14.25" thickBot="1" x14ac:dyDescent="0.2">
      <c r="A393" s="23"/>
      <c r="B393" s="2"/>
      <c r="C393" s="2"/>
      <c r="D393" s="2"/>
      <c r="E393" s="63" t="s">
        <v>281</v>
      </c>
      <c r="F393" s="63"/>
      <c r="G393" s="354" t="str">
        <f>IF(AND($C$76&lt;&gt;"なし",入力シート!$I$396&lt;&gt;""),ASC(入力シート!I396),"")</f>
        <v/>
      </c>
      <c r="H393" s="355"/>
      <c r="I393" s="355"/>
      <c r="J393" s="355"/>
      <c r="K393" s="355"/>
      <c r="L393" s="355"/>
      <c r="M393" s="356"/>
      <c r="N393" s="2"/>
      <c r="O393" s="2"/>
      <c r="P393" s="2"/>
      <c r="Q393" s="2"/>
      <c r="R393" s="2"/>
      <c r="S393" s="23"/>
      <c r="T393" s="23"/>
      <c r="U393" s="23"/>
      <c r="V393" s="23"/>
      <c r="W393" s="23"/>
      <c r="X393" s="23"/>
      <c r="Y393" s="23"/>
    </row>
    <row r="394" spans="1:25" ht="5.0999999999999996" customHeight="1" x14ac:dyDescent="0.15">
      <c r="A394" s="23"/>
      <c r="B394" s="2"/>
      <c r="C394" s="2"/>
      <c r="D394" s="2"/>
      <c r="E394" s="2"/>
      <c r="F394" s="2"/>
      <c r="G394" s="2"/>
      <c r="H394" s="2"/>
      <c r="I394" s="2"/>
      <c r="J394" s="2"/>
      <c r="K394" s="2"/>
      <c r="L394" s="2"/>
      <c r="M394" s="2"/>
      <c r="N394" s="2"/>
      <c r="O394" s="2"/>
      <c r="P394" s="2"/>
      <c r="Q394" s="2"/>
      <c r="R394" s="2"/>
      <c r="S394" s="23"/>
      <c r="T394" s="23"/>
      <c r="U394" s="23"/>
      <c r="V394" s="23"/>
      <c r="W394" s="23"/>
      <c r="X394" s="23"/>
      <c r="Y394" s="23"/>
    </row>
    <row r="395" spans="1:25" x14ac:dyDescent="0.15">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row>
    <row r="396" spans="1:25" ht="5.0999999999999996" customHeight="1" x14ac:dyDescent="0.15">
      <c r="A396" s="23"/>
      <c r="B396" s="4"/>
      <c r="C396" s="4"/>
      <c r="D396" s="4"/>
      <c r="E396" s="4"/>
      <c r="F396" s="4"/>
      <c r="G396" s="4"/>
      <c r="H396" s="4"/>
      <c r="I396" s="4"/>
      <c r="J396" s="4"/>
      <c r="K396" s="4"/>
      <c r="L396" s="4"/>
      <c r="M396" s="4"/>
      <c r="N396" s="4"/>
      <c r="O396" s="4"/>
      <c r="P396" s="4"/>
      <c r="Q396" s="4"/>
      <c r="R396" s="4"/>
      <c r="S396" s="23"/>
      <c r="T396" s="23"/>
      <c r="U396" s="23"/>
      <c r="V396" s="23"/>
      <c r="W396" s="23"/>
      <c r="X396" s="23"/>
      <c r="Y396" s="23"/>
    </row>
    <row r="397" spans="1:25" x14ac:dyDescent="0.15">
      <c r="A397" s="23"/>
      <c r="B397" s="28" t="s">
        <v>358</v>
      </c>
      <c r="C397" s="4"/>
      <c r="D397" s="4"/>
      <c r="E397" s="4"/>
      <c r="F397" s="4"/>
      <c r="G397" s="4"/>
      <c r="H397" s="4"/>
      <c r="I397" s="4"/>
      <c r="J397" s="4"/>
      <c r="K397" s="4"/>
      <c r="L397" s="4"/>
      <c r="M397" s="4"/>
      <c r="N397" s="4"/>
      <c r="O397" s="4"/>
      <c r="P397" s="4"/>
      <c r="Q397" s="4"/>
      <c r="R397" s="4"/>
      <c r="S397" s="23"/>
      <c r="T397" s="23"/>
      <c r="U397" s="23"/>
      <c r="V397" s="23"/>
      <c r="W397" s="23"/>
      <c r="X397" s="23"/>
      <c r="Y397" s="23"/>
    </row>
    <row r="398" spans="1:25" x14ac:dyDescent="0.15">
      <c r="A398" s="23"/>
      <c r="B398" s="4"/>
      <c r="C398" s="4"/>
      <c r="D398" s="4"/>
      <c r="E398" s="4"/>
      <c r="F398" s="4"/>
      <c r="G398" s="4"/>
      <c r="H398" s="4"/>
      <c r="I398" s="4"/>
      <c r="J398" s="4"/>
      <c r="K398" s="4"/>
      <c r="L398" s="4"/>
      <c r="M398" s="4"/>
      <c r="N398" s="4"/>
      <c r="O398" s="4"/>
      <c r="P398" s="4"/>
      <c r="Q398" s="4"/>
      <c r="R398" s="4"/>
      <c r="S398" s="23"/>
      <c r="T398" s="23"/>
      <c r="U398" s="23"/>
      <c r="V398" s="23"/>
      <c r="W398" s="23"/>
      <c r="X398" s="23"/>
      <c r="Y398" s="23"/>
    </row>
    <row r="399" spans="1:25" ht="5.0999999999999996" customHeight="1" x14ac:dyDescent="0.15">
      <c r="A399" s="23"/>
      <c r="B399" s="4"/>
      <c r="C399" s="4"/>
      <c r="D399" s="4"/>
      <c r="E399" s="4"/>
      <c r="F399" s="4"/>
      <c r="G399" s="4"/>
      <c r="H399" s="4"/>
      <c r="I399" s="4"/>
      <c r="J399" s="4"/>
      <c r="K399" s="4"/>
      <c r="L399" s="4"/>
      <c r="M399" s="4"/>
      <c r="N399" s="4"/>
      <c r="O399" s="4"/>
      <c r="P399" s="4"/>
      <c r="Q399" s="4"/>
      <c r="R399" s="4"/>
      <c r="S399" s="23"/>
      <c r="T399" s="23"/>
      <c r="U399" s="23"/>
      <c r="V399" s="23"/>
      <c r="W399" s="23"/>
      <c r="X399" s="23"/>
      <c r="Y399" s="23"/>
    </row>
    <row r="400" spans="1:25" x14ac:dyDescent="0.15">
      <c r="A400" s="23"/>
      <c r="B400" s="4"/>
      <c r="C400" s="66"/>
      <c r="D400" s="66"/>
      <c r="E400" s="4"/>
      <c r="F400" s="4"/>
      <c r="G400" s="4"/>
      <c r="H400" s="4"/>
      <c r="I400" s="4"/>
      <c r="J400" s="4"/>
      <c r="K400" s="4"/>
      <c r="L400" s="4"/>
      <c r="M400" s="4"/>
      <c r="N400" s="4"/>
      <c r="O400" s="4"/>
      <c r="P400" s="4"/>
      <c r="Q400" s="4"/>
      <c r="R400" s="4"/>
      <c r="S400" s="23"/>
      <c r="T400" s="23"/>
      <c r="U400" s="23"/>
      <c r="V400" s="23"/>
      <c r="W400" s="23"/>
      <c r="X400" s="23"/>
      <c r="Y400" s="23"/>
    </row>
    <row r="401" spans="1:25" x14ac:dyDescent="0.15">
      <c r="A401" s="23"/>
      <c r="B401" s="4"/>
      <c r="C401" s="4"/>
      <c r="D401" s="4"/>
      <c r="E401" s="4"/>
      <c r="F401" s="4"/>
      <c r="G401" s="4"/>
      <c r="H401" s="4"/>
      <c r="I401" s="4"/>
      <c r="J401" s="4"/>
      <c r="K401" s="4"/>
      <c r="L401" s="4"/>
      <c r="M401" s="4"/>
      <c r="N401" s="4"/>
      <c r="O401" s="4"/>
      <c r="P401" s="4"/>
      <c r="Q401" s="4"/>
      <c r="R401" s="4"/>
      <c r="S401" s="23"/>
      <c r="T401" s="23"/>
      <c r="U401" s="23"/>
      <c r="V401" s="23"/>
      <c r="W401" s="23"/>
      <c r="X401" s="23"/>
      <c r="Y401" s="23"/>
    </row>
    <row r="402" spans="1:25" ht="5.0999999999999996" customHeight="1" thickBot="1" x14ac:dyDescent="0.2">
      <c r="A402" s="23"/>
      <c r="B402" s="4"/>
      <c r="C402" s="4"/>
      <c r="D402" s="4"/>
      <c r="E402" s="4"/>
      <c r="F402" s="4"/>
      <c r="G402" s="4"/>
      <c r="H402" s="4"/>
      <c r="I402" s="4"/>
      <c r="J402" s="4"/>
      <c r="K402" s="4"/>
      <c r="L402" s="4"/>
      <c r="M402" s="4"/>
      <c r="N402" s="4"/>
      <c r="O402" s="4"/>
      <c r="P402" s="4"/>
      <c r="Q402" s="4"/>
      <c r="R402" s="4"/>
      <c r="S402" s="23"/>
      <c r="T402" s="23"/>
      <c r="U402" s="23"/>
      <c r="V402" s="23"/>
      <c r="W402" s="23"/>
      <c r="X402" s="23"/>
      <c r="Y402" s="23"/>
    </row>
    <row r="403" spans="1:25" ht="14.25" thickBot="1" x14ac:dyDescent="0.2">
      <c r="A403" s="23"/>
      <c r="B403" s="4"/>
      <c r="C403" s="58" t="s">
        <v>86</v>
      </c>
      <c r="D403" s="58"/>
      <c r="E403" s="17">
        <f>入力シート!$F$406</f>
        <v>0</v>
      </c>
      <c r="F403" s="58"/>
      <c r="G403" s="4"/>
      <c r="H403" s="4"/>
      <c r="I403" s="4"/>
      <c r="J403" s="4"/>
      <c r="K403" s="4"/>
      <c r="L403" s="4"/>
      <c r="M403" s="4"/>
      <c r="N403" s="4"/>
      <c r="O403" s="4"/>
      <c r="P403" s="4"/>
      <c r="Q403" s="4"/>
      <c r="R403" s="4"/>
      <c r="S403" s="23"/>
      <c r="T403" s="23"/>
      <c r="U403" s="23"/>
      <c r="V403" s="23"/>
      <c r="W403" s="23"/>
      <c r="X403" s="23"/>
      <c r="Y403" s="23"/>
    </row>
    <row r="404" spans="1:25" x14ac:dyDescent="0.15">
      <c r="A404" s="23"/>
      <c r="B404" s="4"/>
      <c r="C404" s="4"/>
      <c r="D404" s="4"/>
      <c r="E404" s="4"/>
      <c r="F404" s="4"/>
      <c r="G404" s="4"/>
      <c r="H404" s="4"/>
      <c r="I404" s="4"/>
      <c r="J404" s="4"/>
      <c r="K404" s="4"/>
      <c r="L404" s="4"/>
      <c r="M404" s="4"/>
      <c r="N404" s="4"/>
      <c r="O404" s="4"/>
      <c r="P404" s="4"/>
      <c r="Q404" s="4"/>
      <c r="R404" s="4"/>
      <c r="S404" s="23"/>
      <c r="T404" s="23"/>
      <c r="U404" s="23"/>
      <c r="V404" s="23"/>
      <c r="W404" s="23"/>
      <c r="X404" s="23"/>
      <c r="Y404" s="23"/>
    </row>
    <row r="405" spans="1:25" x14ac:dyDescent="0.15">
      <c r="A405" s="23"/>
      <c r="B405" s="4"/>
      <c r="C405" s="4"/>
      <c r="D405" s="4"/>
      <c r="E405" s="4"/>
      <c r="F405" s="4"/>
      <c r="G405" s="4"/>
      <c r="H405" s="4"/>
      <c r="I405" s="4"/>
      <c r="J405" s="4"/>
      <c r="K405" s="4"/>
      <c r="L405" s="4"/>
      <c r="M405" s="4"/>
      <c r="N405" s="4"/>
      <c r="O405" s="4"/>
      <c r="P405" s="4"/>
      <c r="Q405" s="4"/>
      <c r="R405" s="4"/>
      <c r="S405" s="23"/>
      <c r="T405" s="23"/>
      <c r="U405" s="23"/>
      <c r="V405" s="23"/>
      <c r="W405" s="23"/>
      <c r="X405" s="23"/>
      <c r="Y405" s="23"/>
    </row>
    <row r="406" spans="1:25" ht="5.0999999999999996" customHeight="1" x14ac:dyDescent="0.15">
      <c r="A406" s="23"/>
      <c r="B406" s="4"/>
      <c r="C406" s="4"/>
      <c r="D406" s="4"/>
      <c r="E406" s="4"/>
      <c r="F406" s="4"/>
      <c r="G406" s="4"/>
      <c r="H406" s="4"/>
      <c r="I406" s="4"/>
      <c r="J406" s="4"/>
      <c r="K406" s="4"/>
      <c r="L406" s="4"/>
      <c r="M406" s="4"/>
      <c r="N406" s="4"/>
      <c r="O406" s="4"/>
      <c r="P406" s="4"/>
      <c r="Q406" s="4"/>
      <c r="R406" s="4"/>
      <c r="S406" s="23"/>
      <c r="T406" s="23"/>
      <c r="U406" s="23"/>
      <c r="V406" s="23"/>
      <c r="W406" s="23"/>
      <c r="X406" s="23"/>
      <c r="Y406" s="23"/>
    </row>
    <row r="407" spans="1:25" x14ac:dyDescent="0.15">
      <c r="A407" s="23"/>
      <c r="B407" s="4"/>
      <c r="C407" s="13" t="s">
        <v>87</v>
      </c>
      <c r="D407" s="4"/>
      <c r="E407" s="13" t="s">
        <v>129</v>
      </c>
      <c r="F407" s="4"/>
      <c r="G407" s="13" t="s">
        <v>130</v>
      </c>
      <c r="H407" s="13"/>
      <c r="I407" s="13" t="s">
        <v>131</v>
      </c>
      <c r="J407" s="4"/>
      <c r="K407" s="13" t="s">
        <v>116</v>
      </c>
      <c r="L407" s="4"/>
      <c r="M407" s="13" t="s">
        <v>117</v>
      </c>
      <c r="N407" s="4"/>
      <c r="O407" s="13" t="s">
        <v>132</v>
      </c>
      <c r="P407" s="13"/>
      <c r="Q407" s="13" t="s">
        <v>91</v>
      </c>
      <c r="R407" s="4"/>
      <c r="S407" s="23"/>
      <c r="T407" s="23"/>
      <c r="U407" s="23"/>
      <c r="V407" s="23"/>
      <c r="W407" s="23"/>
      <c r="X407" s="23"/>
      <c r="Y407" s="23"/>
    </row>
    <row r="408" spans="1:25" ht="5.0999999999999996" customHeight="1" thickBot="1" x14ac:dyDescent="0.2">
      <c r="A408" s="23"/>
      <c r="B408" s="4"/>
      <c r="C408" s="4"/>
      <c r="D408" s="4"/>
      <c r="E408" s="4"/>
      <c r="F408" s="4"/>
      <c r="G408" s="4"/>
      <c r="H408" s="13"/>
      <c r="I408" s="4"/>
      <c r="J408" s="4"/>
      <c r="K408" s="4"/>
      <c r="L408" s="4"/>
      <c r="M408" s="4"/>
      <c r="N408" s="4"/>
      <c r="O408" s="4"/>
      <c r="P408" s="4"/>
      <c r="Q408" s="4"/>
      <c r="R408" s="4"/>
      <c r="S408" s="23"/>
      <c r="T408" s="23"/>
      <c r="U408" s="23"/>
      <c r="V408" s="23"/>
      <c r="W408" s="23"/>
      <c r="X408" s="23"/>
      <c r="Y408" s="23"/>
    </row>
    <row r="409" spans="1:25" ht="14.25" thickBot="1" x14ac:dyDescent="0.2">
      <c r="A409" s="23"/>
      <c r="B409" s="20">
        <v>1</v>
      </c>
      <c r="C409" s="15" t="str">
        <f>IF(入力シート!C412&lt;&gt;"",入力シート!C412,"")</f>
        <v/>
      </c>
      <c r="D409" s="4"/>
      <c r="E409" s="15" t="str">
        <f>IF(AND(入力シート!F412&lt;&gt;"",入力シート!I412&lt;&gt;""),入力シート!F412&amp;"　"&amp;入力シート!I412,"")</f>
        <v/>
      </c>
      <c r="F409" s="4"/>
      <c r="G409" s="15" t="str">
        <f>IF(AND(入力シート!K412&lt;&gt;"",入力シート!M412&lt;&gt;""),入力シート!K412&amp;"　"&amp;入力シート!M412,"")</f>
        <v/>
      </c>
      <c r="H409" s="13"/>
      <c r="I409" s="15" t="str">
        <f>IF(入力シート!O412="","",DBCS(TEXT(入力シート!O412,"g")))</f>
        <v/>
      </c>
      <c r="J409" s="21"/>
      <c r="K409" s="15" t="str">
        <f>IF(入力シート!O412="","",TEXT(入力シート!O412,"e")*1)</f>
        <v/>
      </c>
      <c r="L409" s="4"/>
      <c r="M409" s="15" t="str">
        <f>IF(入力シート!O412="","",MONTH(入力シート!O412))</f>
        <v/>
      </c>
      <c r="N409" s="4"/>
      <c r="O409" s="15" t="str">
        <f>IF(入力シート!O412="","",DAY(入力シート!O412))</f>
        <v/>
      </c>
      <c r="P409" s="4"/>
      <c r="Q409" s="15" t="str">
        <f>IF(入力シート!Q412="","",IF(入力シート!Q412="男","Ｍ",IF(入力シート!Q412="女","Ｆ","エラー")))</f>
        <v/>
      </c>
      <c r="R409" s="4"/>
      <c r="S409" s="23"/>
      <c r="T409" s="23"/>
      <c r="U409" s="23"/>
      <c r="V409" s="23"/>
      <c r="W409" s="23"/>
      <c r="X409" s="23"/>
      <c r="Y409" s="23"/>
    </row>
    <row r="410" spans="1:25" ht="5.0999999999999996" customHeight="1" thickBot="1" x14ac:dyDescent="0.2">
      <c r="A410" s="23"/>
      <c r="B410" s="4"/>
      <c r="C410" s="13"/>
      <c r="D410" s="4"/>
      <c r="E410" s="77"/>
      <c r="F410" s="4"/>
      <c r="G410" s="4"/>
      <c r="H410" s="13"/>
      <c r="I410" s="4"/>
      <c r="J410" s="4"/>
      <c r="K410" s="4"/>
      <c r="L410" s="4"/>
      <c r="M410" s="4"/>
      <c r="N410" s="4"/>
      <c r="O410" s="4"/>
      <c r="P410" s="4"/>
      <c r="Q410" s="4"/>
      <c r="R410" s="4"/>
      <c r="S410" s="23"/>
      <c r="T410" s="23"/>
      <c r="U410" s="23"/>
      <c r="V410" s="23"/>
      <c r="W410" s="23"/>
      <c r="X410" s="23"/>
      <c r="Y410" s="23"/>
    </row>
    <row r="411" spans="1:25" ht="14.25" thickBot="1" x14ac:dyDescent="0.2">
      <c r="A411" s="23"/>
      <c r="B411" s="20">
        <v>2</v>
      </c>
      <c r="C411" s="15" t="str">
        <f>IF(AND($E$403&gt;=$B411,入力シート!C414&lt;&gt;""),入力シート!C414,"")</f>
        <v/>
      </c>
      <c r="D411" s="4"/>
      <c r="E411" s="15" t="str">
        <f>IF(AND($E$403&gt;=$B411,入力シート!F414&lt;&gt;"",入力シート!I414&lt;&gt;""),入力シート!F414&amp;"　"&amp;入力シート!I414,"")</f>
        <v/>
      </c>
      <c r="F411" s="4"/>
      <c r="G411" s="15" t="str">
        <f>IF(AND($E$403&gt;=$B411,入力シート!K414&lt;&gt;"",入力シート!M414&lt;&gt;""),入力シート!K414&amp;"　"&amp;入力シート!M414,"")</f>
        <v/>
      </c>
      <c r="H411" s="13"/>
      <c r="I411" s="15" t="str">
        <f>IF(AND($E$403&gt;=$B411,入力シート!O414&lt;&gt;""),DBCS(TEXT(入力シート!O414,"g")),"")</f>
        <v/>
      </c>
      <c r="J411" s="21"/>
      <c r="K411" s="15" t="str">
        <f>IF(AND($E$403&gt;=$B411,入力シート!O414&lt;&gt;""),TEXT(入力シート!O414,"e")*1,"")</f>
        <v/>
      </c>
      <c r="L411" s="4"/>
      <c r="M411" s="15" t="str">
        <f>IF(AND($E$403&gt;=$B411,入力シート!O414&lt;&gt;""),MONTH(入力シート!O414),"")</f>
        <v/>
      </c>
      <c r="N411" s="4"/>
      <c r="O411" s="15" t="str">
        <f>IF(AND($E$403&gt;=$B411,入力シート!O414&lt;&gt;""),DAY(入力シート!O414),"")</f>
        <v/>
      </c>
      <c r="P411" s="4"/>
      <c r="Q411" s="15" t="str">
        <f>IF(入力シート!Q414="","",IF(AND($E$403&gt;=$B411,入力シート!Q414="男"),"Ｍ",IF(AND($E$403&gt;=$B411,入力シート!Q414="女"),"Ｆ","")))</f>
        <v/>
      </c>
      <c r="R411" s="4"/>
      <c r="S411" s="23"/>
      <c r="T411" s="23"/>
      <c r="U411" s="23"/>
      <c r="V411" s="23"/>
      <c r="W411" s="23"/>
      <c r="X411" s="23"/>
      <c r="Y411" s="23"/>
    </row>
    <row r="412" spans="1:25" ht="5.0999999999999996" customHeight="1" thickBot="1" x14ac:dyDescent="0.2">
      <c r="A412" s="23"/>
      <c r="B412" s="4"/>
      <c r="C412" s="13"/>
      <c r="D412" s="4"/>
      <c r="E412" s="77"/>
      <c r="F412" s="4"/>
      <c r="G412" s="4"/>
      <c r="H412" s="13"/>
      <c r="I412" s="4"/>
      <c r="J412" s="4"/>
      <c r="K412" s="4"/>
      <c r="L412" s="4"/>
      <c r="M412" s="4"/>
      <c r="N412" s="4"/>
      <c r="O412" s="4"/>
      <c r="P412" s="4"/>
      <c r="Q412" s="4"/>
      <c r="R412" s="4"/>
      <c r="S412" s="23"/>
      <c r="T412" s="23"/>
      <c r="U412" s="23"/>
      <c r="V412" s="23"/>
      <c r="W412" s="23"/>
      <c r="X412" s="23"/>
      <c r="Y412" s="23"/>
    </row>
    <row r="413" spans="1:25" ht="14.25" thickBot="1" x14ac:dyDescent="0.2">
      <c r="A413" s="23"/>
      <c r="B413" s="20">
        <v>3</v>
      </c>
      <c r="C413" s="15" t="str">
        <f>IF(AND($E$403&gt;=$B413,入力シート!C416&lt;&gt;""),入力シート!C416,"")</f>
        <v/>
      </c>
      <c r="D413" s="4"/>
      <c r="E413" s="15" t="str">
        <f>IF(AND($E$403&gt;=$B413,入力シート!F416&lt;&gt;"",入力シート!I416&lt;&gt;""),入力シート!F416&amp;"　"&amp;入力シート!I416,"")</f>
        <v/>
      </c>
      <c r="F413" s="4"/>
      <c r="G413" s="15" t="str">
        <f>IF(AND($E$403&gt;=$B413,入力シート!K416&lt;&gt;"",入力シート!M416&lt;&gt;""),入力シート!K416&amp;"　"&amp;入力シート!M416,"")</f>
        <v/>
      </c>
      <c r="H413" s="13"/>
      <c r="I413" s="15" t="str">
        <f>IF(AND($E$403&gt;=$B413,入力シート!O416&lt;&gt;""),DBCS(TEXT(入力シート!O416,"g")),"")</f>
        <v/>
      </c>
      <c r="J413" s="21"/>
      <c r="K413" s="15" t="str">
        <f>IF(AND($E$403&gt;=$B413,入力シート!O416&lt;&gt;""),TEXT(入力シート!O416,"e")*1,"")</f>
        <v/>
      </c>
      <c r="L413" s="4"/>
      <c r="M413" s="15" t="str">
        <f>IF(AND($E$403&gt;=$B413,入力シート!O416&lt;&gt;""),MONTH(入力シート!O416),"")</f>
        <v/>
      </c>
      <c r="N413" s="4"/>
      <c r="O413" s="15" t="str">
        <f>IF(AND($E$403&gt;=$B413,入力シート!O416&lt;&gt;""),DAY(入力シート!O416),"")</f>
        <v/>
      </c>
      <c r="P413" s="4"/>
      <c r="Q413" s="15" t="str">
        <f>IF(入力シート!Q416="","",IF(AND($E$403&gt;=$B413,入力シート!Q416="男"),"Ｍ",IF(AND($E$403&gt;=$B413,入力シート!Q416="女"),"Ｆ","")))</f>
        <v/>
      </c>
      <c r="R413" s="4"/>
      <c r="S413" s="23"/>
      <c r="T413" s="23"/>
      <c r="U413" s="23"/>
      <c r="V413" s="23"/>
      <c r="W413" s="23"/>
      <c r="X413" s="23"/>
      <c r="Y413" s="23"/>
    </row>
    <row r="414" spans="1:25" ht="5.0999999999999996" customHeight="1" thickBot="1" x14ac:dyDescent="0.2">
      <c r="A414" s="23"/>
      <c r="B414" s="4"/>
      <c r="C414" s="13"/>
      <c r="D414" s="4"/>
      <c r="E414" s="77"/>
      <c r="F414" s="4"/>
      <c r="G414" s="4"/>
      <c r="H414" s="13"/>
      <c r="I414" s="4"/>
      <c r="J414" s="4"/>
      <c r="K414" s="4"/>
      <c r="L414" s="4"/>
      <c r="M414" s="4"/>
      <c r="N414" s="4"/>
      <c r="O414" s="4"/>
      <c r="P414" s="4"/>
      <c r="Q414" s="4"/>
      <c r="R414" s="4"/>
      <c r="S414" s="23"/>
      <c r="T414" s="23"/>
      <c r="U414" s="23"/>
      <c r="V414" s="23"/>
      <c r="W414" s="23"/>
      <c r="X414" s="23"/>
      <c r="Y414" s="23"/>
    </row>
    <row r="415" spans="1:25" ht="14.25" thickBot="1" x14ac:dyDescent="0.2">
      <c r="A415" s="23"/>
      <c r="B415" s="20">
        <v>4</v>
      </c>
      <c r="C415" s="15" t="str">
        <f>IF(AND($E$403&gt;=$B415,入力シート!C418&lt;&gt;""),入力シート!C418,"")</f>
        <v/>
      </c>
      <c r="D415" s="4"/>
      <c r="E415" s="15" t="str">
        <f>IF(AND($E$403&gt;=$B415,入力シート!F418&lt;&gt;"",入力シート!I418&lt;&gt;""),入力シート!F418&amp;"　"&amp;入力シート!I418,"")</f>
        <v/>
      </c>
      <c r="F415" s="4"/>
      <c r="G415" s="15" t="str">
        <f>IF(AND($E$403&gt;=$B415,入力シート!K418&lt;&gt;"",入力シート!M418&lt;&gt;""),入力シート!K418&amp;"　"&amp;入力シート!M418,"")</f>
        <v/>
      </c>
      <c r="H415" s="13"/>
      <c r="I415" s="15" t="str">
        <f>IF(AND($E$403&gt;=$B415,入力シート!O418&lt;&gt;""),DBCS(TEXT(入力シート!O418,"g")),"")</f>
        <v/>
      </c>
      <c r="J415" s="21"/>
      <c r="K415" s="15" t="str">
        <f>IF(AND($E$403&gt;=$B415,入力シート!O418&lt;&gt;""),TEXT(入力シート!O418,"e")*1,"")</f>
        <v/>
      </c>
      <c r="L415" s="4"/>
      <c r="M415" s="15" t="str">
        <f>IF(AND($E$403&gt;=$B415,入力シート!O418&lt;&gt;""),MONTH(入力シート!O418),"")</f>
        <v/>
      </c>
      <c r="N415" s="4"/>
      <c r="O415" s="15" t="str">
        <f>IF(AND($E$403&gt;=$B415,入力シート!O418&lt;&gt;""),DAY(入力シート!O418),"")</f>
        <v/>
      </c>
      <c r="P415" s="4"/>
      <c r="Q415" s="15" t="str">
        <f>IF(入力シート!Q418="","",IF(AND($E$403&gt;=$B415,入力シート!Q418="男"),"Ｍ",IF(AND($E$403&gt;=$B415,入力シート!Q418="女"),"Ｆ","")))</f>
        <v/>
      </c>
      <c r="R415" s="4"/>
      <c r="S415" s="23"/>
      <c r="T415" s="23"/>
      <c r="U415" s="23"/>
      <c r="V415" s="23"/>
      <c r="W415" s="23"/>
      <c r="X415" s="23"/>
      <c r="Y415" s="23"/>
    </row>
    <row r="416" spans="1:25" ht="5.0999999999999996" customHeight="1" thickBot="1" x14ac:dyDescent="0.2">
      <c r="A416" s="23"/>
      <c r="B416" s="4"/>
      <c r="C416" s="13"/>
      <c r="D416" s="4"/>
      <c r="E416" s="77"/>
      <c r="F416" s="4"/>
      <c r="G416" s="4"/>
      <c r="H416" s="13"/>
      <c r="I416" s="4"/>
      <c r="J416" s="4"/>
      <c r="K416" s="4"/>
      <c r="L416" s="4"/>
      <c r="M416" s="4"/>
      <c r="N416" s="4"/>
      <c r="O416" s="4"/>
      <c r="P416" s="4"/>
      <c r="Q416" s="4"/>
      <c r="R416" s="4"/>
      <c r="S416" s="23"/>
      <c r="T416" s="23"/>
      <c r="U416" s="23"/>
      <c r="V416" s="23"/>
      <c r="W416" s="23"/>
      <c r="X416" s="23"/>
      <c r="Y416" s="23"/>
    </row>
    <row r="417" spans="1:25" ht="14.25" thickBot="1" x14ac:dyDescent="0.2">
      <c r="A417" s="23"/>
      <c r="B417" s="20">
        <v>5</v>
      </c>
      <c r="C417" s="15" t="str">
        <f>IF(AND($E$403&gt;=$B417,入力シート!C420&lt;&gt;""),入力シート!C420,"")</f>
        <v/>
      </c>
      <c r="D417" s="4"/>
      <c r="E417" s="15" t="str">
        <f>IF(AND($E$403&gt;=$B417,入力シート!F420&lt;&gt;"",入力シート!I420&lt;&gt;""),入力シート!F420&amp;"　"&amp;入力シート!I420,"")</f>
        <v/>
      </c>
      <c r="F417" s="4"/>
      <c r="G417" s="15" t="str">
        <f>IF(AND($E$403&gt;=$B417,入力シート!K420&lt;&gt;"",入力シート!M420&lt;&gt;""),入力シート!K420&amp;"　"&amp;入力シート!M420,"")</f>
        <v/>
      </c>
      <c r="H417" s="13"/>
      <c r="I417" s="15" t="str">
        <f>IF(AND($E$403&gt;=$B417,入力シート!O420&lt;&gt;""),DBCS(TEXT(入力シート!O420,"g")),"")</f>
        <v/>
      </c>
      <c r="J417" s="21"/>
      <c r="K417" s="15" t="str">
        <f>IF(AND($E$403&gt;=$B417,入力シート!O420&lt;&gt;""),TEXT(入力シート!O420,"e")*1,"")</f>
        <v/>
      </c>
      <c r="L417" s="4"/>
      <c r="M417" s="15" t="str">
        <f>IF(AND($E$403&gt;=$B417,入力シート!O420&lt;&gt;""),MONTH(入力シート!O420),"")</f>
        <v/>
      </c>
      <c r="N417" s="4"/>
      <c r="O417" s="15" t="str">
        <f>IF(AND($E$403&gt;=$B417,入力シート!O420&lt;&gt;""),DAY(入力シート!O420),"")</f>
        <v/>
      </c>
      <c r="P417" s="4"/>
      <c r="Q417" s="15" t="str">
        <f>IF(入力シート!Q420="","",IF(AND($E$403&gt;=$B417,入力シート!Q420="男"),"Ｍ",IF(AND($E$403&gt;=$B417,入力シート!Q420="女"),"Ｆ","")))</f>
        <v/>
      </c>
      <c r="R417" s="4"/>
      <c r="S417" s="23"/>
      <c r="T417" s="23"/>
      <c r="U417" s="23"/>
      <c r="V417" s="23"/>
      <c r="W417" s="23"/>
      <c r="X417" s="23"/>
      <c r="Y417" s="23"/>
    </row>
    <row r="418" spans="1:25" ht="5.0999999999999996" customHeight="1" thickBot="1" x14ac:dyDescent="0.2">
      <c r="A418" s="23"/>
      <c r="B418" s="4"/>
      <c r="C418" s="13"/>
      <c r="D418" s="4"/>
      <c r="E418" s="77"/>
      <c r="F418" s="4"/>
      <c r="G418" s="4"/>
      <c r="H418" s="13"/>
      <c r="I418" s="4"/>
      <c r="J418" s="4"/>
      <c r="K418" s="4"/>
      <c r="L418" s="4"/>
      <c r="M418" s="4"/>
      <c r="N418" s="4"/>
      <c r="O418" s="4"/>
      <c r="P418" s="4"/>
      <c r="Q418" s="4"/>
      <c r="R418" s="4"/>
      <c r="S418" s="23"/>
      <c r="T418" s="23"/>
      <c r="U418" s="23"/>
      <c r="V418" s="23"/>
      <c r="W418" s="23"/>
      <c r="X418" s="23"/>
      <c r="Y418" s="23"/>
    </row>
    <row r="419" spans="1:25" ht="14.25" thickBot="1" x14ac:dyDescent="0.2">
      <c r="A419" s="23"/>
      <c r="B419" s="20">
        <v>6</v>
      </c>
      <c r="C419" s="15" t="str">
        <f>IF(AND($E$403&gt;=$B419,入力シート!C422&lt;&gt;""),入力シート!C422,"")</f>
        <v/>
      </c>
      <c r="D419" s="4"/>
      <c r="E419" s="15" t="str">
        <f>IF(AND($E$403&gt;=$B419,入力シート!F422&lt;&gt;"",入力シート!I422&lt;&gt;""),入力シート!F422&amp;"　"&amp;入力シート!I422,"")</f>
        <v/>
      </c>
      <c r="F419" s="4"/>
      <c r="G419" s="15" t="str">
        <f>IF(AND($E$403&gt;=$B419,入力シート!K422&lt;&gt;"",入力シート!M422&lt;&gt;""),入力シート!K422&amp;"　"&amp;入力シート!M422,"")</f>
        <v/>
      </c>
      <c r="H419" s="13"/>
      <c r="I419" s="15" t="str">
        <f>IF(AND($E$403&gt;=$B419,入力シート!O422&lt;&gt;""),DBCS(TEXT(入力シート!O422,"g")),"")</f>
        <v/>
      </c>
      <c r="J419" s="21"/>
      <c r="K419" s="15" t="str">
        <f>IF(AND($E$403&gt;=$B419,入力シート!O422&lt;&gt;""),TEXT(入力シート!O422,"e")*1,"")</f>
        <v/>
      </c>
      <c r="L419" s="4"/>
      <c r="M419" s="15" t="str">
        <f>IF(AND($E$403&gt;=$B419,入力シート!O422&lt;&gt;""),MONTH(入力シート!O422),"")</f>
        <v/>
      </c>
      <c r="N419" s="4"/>
      <c r="O419" s="15" t="str">
        <f>IF(AND($E$403&gt;=$B419,入力シート!O422&lt;&gt;""),DAY(入力シート!O422),"")</f>
        <v/>
      </c>
      <c r="P419" s="4"/>
      <c r="Q419" s="15" t="str">
        <f>IF(入力シート!Q422="","",IF(AND($E$403&gt;=$B419,入力シート!Q422="男"),"Ｍ",IF(AND($E$403&gt;=$B419,入力シート!Q422="女"),"Ｆ","")))</f>
        <v/>
      </c>
      <c r="R419" s="4"/>
      <c r="S419" s="23"/>
      <c r="T419" s="23"/>
      <c r="U419" s="23"/>
      <c r="V419" s="23"/>
      <c r="W419" s="23"/>
      <c r="X419" s="23"/>
      <c r="Y419" s="23"/>
    </row>
    <row r="420" spans="1:25" ht="5.0999999999999996" customHeight="1" thickBot="1" x14ac:dyDescent="0.2">
      <c r="A420" s="23"/>
      <c r="B420" s="4"/>
      <c r="C420" s="13"/>
      <c r="D420" s="4"/>
      <c r="E420" s="77"/>
      <c r="F420" s="4"/>
      <c r="G420" s="4"/>
      <c r="H420" s="13"/>
      <c r="I420" s="4"/>
      <c r="J420" s="4"/>
      <c r="K420" s="4"/>
      <c r="L420" s="4"/>
      <c r="M420" s="4"/>
      <c r="N420" s="4"/>
      <c r="O420" s="4"/>
      <c r="P420" s="4"/>
      <c r="Q420" s="4"/>
      <c r="R420" s="4"/>
      <c r="S420" s="23"/>
      <c r="T420" s="23"/>
      <c r="U420" s="23"/>
      <c r="V420" s="23"/>
      <c r="W420" s="23"/>
      <c r="X420" s="23"/>
      <c r="Y420" s="23"/>
    </row>
    <row r="421" spans="1:25" ht="14.25" thickBot="1" x14ac:dyDescent="0.2">
      <c r="A421" s="23"/>
      <c r="B421" s="20">
        <v>7</v>
      </c>
      <c r="C421" s="15" t="str">
        <f>IF(AND($E$403&gt;=$B421,入力シート!C424&lt;&gt;""),入力シート!C424,"")</f>
        <v/>
      </c>
      <c r="D421" s="4"/>
      <c r="E421" s="15" t="str">
        <f>IF(AND($E$403&gt;=$B421,入力シート!F424&lt;&gt;"",入力シート!I424&lt;&gt;""),入力シート!F424&amp;"　"&amp;入力シート!I424,"")</f>
        <v/>
      </c>
      <c r="F421" s="4"/>
      <c r="G421" s="15" t="str">
        <f>IF(AND($E$403&gt;=$B421,入力シート!K424&lt;&gt;"",入力シート!M424&lt;&gt;""),入力シート!K424&amp;"　"&amp;入力シート!M424,"")</f>
        <v/>
      </c>
      <c r="H421" s="13"/>
      <c r="I421" s="15" t="str">
        <f>IF(AND($E$403&gt;=$B421,入力シート!O424&lt;&gt;""),DBCS(TEXT(入力シート!O424,"g")),"")</f>
        <v/>
      </c>
      <c r="J421" s="21"/>
      <c r="K421" s="15" t="str">
        <f>IF(AND($E$403&gt;=$B421,入力シート!O424&lt;&gt;""),TEXT(入力シート!O424,"e")*1,"")</f>
        <v/>
      </c>
      <c r="L421" s="4"/>
      <c r="M421" s="15" t="str">
        <f>IF(AND($E$403&gt;=$B421,入力シート!O424&lt;&gt;""),MONTH(入力シート!O424),"")</f>
        <v/>
      </c>
      <c r="N421" s="4"/>
      <c r="O421" s="15" t="str">
        <f>IF(AND($E$403&gt;=$B421,入力シート!O424&lt;&gt;""),DAY(入力シート!O424),"")</f>
        <v/>
      </c>
      <c r="P421" s="4"/>
      <c r="Q421" s="15" t="str">
        <f>IF(入力シート!Q424="","",IF(AND($E$403&gt;=$B421,入力シート!Q424="男"),"Ｍ",IF(AND($E$403&gt;=$B421,入力シート!Q424="女"),"Ｆ","")))</f>
        <v/>
      </c>
      <c r="R421" s="4"/>
      <c r="S421" s="23"/>
      <c r="T421" s="23"/>
      <c r="U421" s="23"/>
      <c r="V421" s="23"/>
      <c r="W421" s="23"/>
      <c r="X421" s="23"/>
      <c r="Y421" s="23"/>
    </row>
    <row r="422" spans="1:25" ht="5.0999999999999996" customHeight="1" thickBot="1" x14ac:dyDescent="0.2">
      <c r="A422" s="23"/>
      <c r="B422" s="4"/>
      <c r="C422" s="13"/>
      <c r="D422" s="4"/>
      <c r="E422" s="77"/>
      <c r="F422" s="4"/>
      <c r="G422" s="4"/>
      <c r="H422" s="13"/>
      <c r="I422" s="4"/>
      <c r="J422" s="4"/>
      <c r="K422" s="4"/>
      <c r="L422" s="4"/>
      <c r="M422" s="4"/>
      <c r="N422" s="4"/>
      <c r="O422" s="4"/>
      <c r="P422" s="4"/>
      <c r="Q422" s="4"/>
      <c r="R422" s="4"/>
      <c r="S422" s="23"/>
      <c r="T422" s="23"/>
      <c r="U422" s="23"/>
      <c r="V422" s="23"/>
      <c r="W422" s="23"/>
      <c r="X422" s="23"/>
      <c r="Y422" s="23"/>
    </row>
    <row r="423" spans="1:25" ht="14.25" thickBot="1" x14ac:dyDescent="0.2">
      <c r="A423" s="23"/>
      <c r="B423" s="20">
        <v>8</v>
      </c>
      <c r="C423" s="15" t="str">
        <f>IF(AND($E$403&gt;=$B423,入力シート!C426&lt;&gt;""),入力シート!C426,"")</f>
        <v/>
      </c>
      <c r="D423" s="4"/>
      <c r="E423" s="15" t="str">
        <f>IF(AND($E$403&gt;=$B423,入力シート!F426&lt;&gt;"",入力シート!I426&lt;&gt;""),入力シート!F426&amp;"　"&amp;入力シート!I426,"")</f>
        <v/>
      </c>
      <c r="F423" s="4"/>
      <c r="G423" s="15" t="str">
        <f>IF(AND($E$403&gt;=$B423,入力シート!K426&lt;&gt;"",入力シート!M426&lt;&gt;""),入力シート!K426&amp;"　"&amp;入力シート!M426,"")</f>
        <v/>
      </c>
      <c r="H423" s="13"/>
      <c r="I423" s="15" t="str">
        <f>IF(AND($E$403&gt;=$B423,入力シート!O426&lt;&gt;""),DBCS(TEXT(入力シート!O426,"g")),"")</f>
        <v/>
      </c>
      <c r="J423" s="21"/>
      <c r="K423" s="15" t="str">
        <f>IF(AND($E$403&gt;=$B423,入力シート!O426&lt;&gt;""),TEXT(入力シート!O426,"e")*1,"")</f>
        <v/>
      </c>
      <c r="L423" s="4"/>
      <c r="M423" s="15" t="str">
        <f>IF(AND($E$403&gt;=$B423,入力シート!O426&lt;&gt;""),MONTH(入力シート!O426),"")</f>
        <v/>
      </c>
      <c r="N423" s="4"/>
      <c r="O423" s="15" t="str">
        <f>IF(AND($E$403&gt;=$B423,入力シート!O426&lt;&gt;""),DAY(入力シート!O426),"")</f>
        <v/>
      </c>
      <c r="P423" s="4"/>
      <c r="Q423" s="15" t="str">
        <f>IF(入力シート!Q426="","",IF(AND($E$403&gt;=$B423,入力シート!Q426="男"),"Ｍ",IF(AND($E$403&gt;=$B423,入力シート!Q426="女"),"Ｆ","")))</f>
        <v/>
      </c>
      <c r="R423" s="4"/>
      <c r="S423" s="23"/>
      <c r="T423" s="23"/>
      <c r="U423" s="23"/>
      <c r="V423" s="23"/>
      <c r="W423" s="23"/>
      <c r="X423" s="23"/>
      <c r="Y423" s="23"/>
    </row>
    <row r="424" spans="1:25" ht="5.0999999999999996" customHeight="1" thickBot="1" x14ac:dyDescent="0.2">
      <c r="A424" s="23"/>
      <c r="B424" s="4"/>
      <c r="C424" s="13"/>
      <c r="D424" s="4"/>
      <c r="E424" s="77"/>
      <c r="F424" s="4"/>
      <c r="G424" s="4"/>
      <c r="H424" s="13"/>
      <c r="I424" s="4"/>
      <c r="J424" s="4"/>
      <c r="K424" s="4"/>
      <c r="L424" s="4"/>
      <c r="M424" s="4"/>
      <c r="N424" s="4"/>
      <c r="O424" s="4"/>
      <c r="P424" s="4"/>
      <c r="Q424" s="4"/>
      <c r="R424" s="4"/>
      <c r="S424" s="23"/>
      <c r="T424" s="23"/>
      <c r="U424" s="23"/>
      <c r="V424" s="23"/>
      <c r="W424" s="23"/>
      <c r="X424" s="23"/>
      <c r="Y424" s="23"/>
    </row>
    <row r="425" spans="1:25" ht="14.25" thickBot="1" x14ac:dyDescent="0.2">
      <c r="A425" s="23"/>
      <c r="B425" s="20">
        <v>9</v>
      </c>
      <c r="C425" s="15" t="str">
        <f>IF(AND($E$403&gt;=$B425,入力シート!C428&lt;&gt;""),入力シート!C428,"")</f>
        <v/>
      </c>
      <c r="D425" s="4"/>
      <c r="E425" s="15" t="str">
        <f>IF(AND($E$403&gt;=$B425,入力シート!F428&lt;&gt;"",入力シート!I428&lt;&gt;""),入力シート!F428&amp;"　"&amp;入力シート!I428,"")</f>
        <v/>
      </c>
      <c r="F425" s="4"/>
      <c r="G425" s="15" t="str">
        <f>IF(AND($E$403&gt;=$B425,入力シート!K428&lt;&gt;"",入力シート!M428&lt;&gt;""),入力シート!K428&amp;"　"&amp;入力シート!M428,"")</f>
        <v/>
      </c>
      <c r="H425" s="13"/>
      <c r="I425" s="15" t="str">
        <f>IF(AND($E$403&gt;=$B425,入力シート!O428&lt;&gt;""),DBCS(TEXT(入力シート!O428,"g")),"")</f>
        <v/>
      </c>
      <c r="J425" s="21"/>
      <c r="K425" s="15" t="str">
        <f>IF(AND($E$403&gt;=$B425,入力シート!O428&lt;&gt;""),TEXT(入力シート!O428,"e")*1,"")</f>
        <v/>
      </c>
      <c r="L425" s="4"/>
      <c r="M425" s="15" t="str">
        <f>IF(AND($E$403&gt;=$B425,入力シート!O428&lt;&gt;""),MONTH(入力シート!O428),"")</f>
        <v/>
      </c>
      <c r="N425" s="4"/>
      <c r="O425" s="15" t="str">
        <f>IF(AND($E$403&gt;=$B425,入力シート!O428&lt;&gt;""),DAY(入力シート!O428),"")</f>
        <v/>
      </c>
      <c r="P425" s="4"/>
      <c r="Q425" s="15" t="str">
        <f>IF(入力シート!Q428="","",IF(AND($E$403&gt;=$B425,入力シート!Q428="男"),"Ｍ",IF(AND($E$403&gt;=$B425,入力シート!Q428="女"),"Ｆ","")))</f>
        <v/>
      </c>
      <c r="R425" s="4"/>
      <c r="S425" s="23"/>
      <c r="T425" s="23"/>
      <c r="U425" s="23"/>
      <c r="V425" s="23"/>
      <c r="W425" s="23"/>
      <c r="X425" s="23"/>
      <c r="Y425" s="23"/>
    </row>
    <row r="426" spans="1:25" ht="5.0999999999999996" customHeight="1" thickBot="1" x14ac:dyDescent="0.2">
      <c r="A426" s="23"/>
      <c r="B426" s="4"/>
      <c r="C426" s="13"/>
      <c r="D426" s="4"/>
      <c r="E426" s="77"/>
      <c r="F426" s="4"/>
      <c r="G426" s="4"/>
      <c r="H426" s="13"/>
      <c r="I426" s="4"/>
      <c r="J426" s="4"/>
      <c r="K426" s="4"/>
      <c r="L426" s="4"/>
      <c r="M426" s="4"/>
      <c r="N426" s="4"/>
      <c r="O426" s="4"/>
      <c r="P426" s="4"/>
      <c r="Q426" s="4"/>
      <c r="R426" s="4"/>
      <c r="S426" s="23"/>
      <c r="T426" s="23"/>
      <c r="U426" s="23"/>
      <c r="V426" s="23"/>
      <c r="W426" s="23"/>
      <c r="X426" s="23"/>
      <c r="Y426" s="23"/>
    </row>
    <row r="427" spans="1:25" ht="14.25" thickBot="1" x14ac:dyDescent="0.2">
      <c r="A427" s="23"/>
      <c r="B427" s="20">
        <v>10</v>
      </c>
      <c r="C427" s="15" t="str">
        <f>IF(AND($E$403&gt;=$B427,入力シート!C430&lt;&gt;""),入力シート!C430,"")</f>
        <v/>
      </c>
      <c r="D427" s="4"/>
      <c r="E427" s="15" t="str">
        <f>IF(AND($E$403&gt;=$B427,入力シート!F430&lt;&gt;"",入力シート!I430&lt;&gt;""),入力シート!F430&amp;"　"&amp;入力シート!I430,"")</f>
        <v/>
      </c>
      <c r="F427" s="4"/>
      <c r="G427" s="15" t="str">
        <f>IF(AND($E$403&gt;=$B427,入力シート!K430&lt;&gt;"",入力シート!M430&lt;&gt;""),入力シート!K430&amp;"　"&amp;入力シート!M430,"")</f>
        <v/>
      </c>
      <c r="H427" s="13"/>
      <c r="I427" s="15" t="str">
        <f>IF(AND($E$403&gt;=$B427,入力シート!O430&lt;&gt;""),DBCS(TEXT(入力シート!O430,"g")),"")</f>
        <v/>
      </c>
      <c r="J427" s="21"/>
      <c r="K427" s="15" t="str">
        <f>IF(AND($E$403&gt;=$B427,入力シート!O430&lt;&gt;""),TEXT(入力シート!O430,"e")*1,"")</f>
        <v/>
      </c>
      <c r="L427" s="4"/>
      <c r="M427" s="15" t="str">
        <f>IF(AND($E$403&gt;=$B427,入力シート!O430&lt;&gt;""),MONTH(入力シート!O430),"")</f>
        <v/>
      </c>
      <c r="N427" s="4"/>
      <c r="O427" s="15" t="str">
        <f>IF(AND($E$403&gt;=$B427,入力シート!O430&lt;&gt;""),DAY(入力シート!O430),"")</f>
        <v/>
      </c>
      <c r="P427" s="4"/>
      <c r="Q427" s="15" t="str">
        <f>IF(入力シート!Q430="","",IF(AND($E$403&gt;=$B427,入力シート!Q430="男"),"Ｍ",IF(AND($E$403&gt;=$B427,入力シート!Q430="女"),"Ｆ","")))</f>
        <v/>
      </c>
      <c r="R427" s="4"/>
      <c r="S427" s="23"/>
      <c r="T427" s="23"/>
      <c r="U427" s="23"/>
      <c r="V427" s="23"/>
      <c r="W427" s="23"/>
      <c r="X427" s="23"/>
      <c r="Y427" s="23"/>
    </row>
    <row r="428" spans="1:25" ht="5.0999999999999996" customHeight="1" thickBot="1" x14ac:dyDescent="0.2">
      <c r="A428" s="23"/>
      <c r="B428" s="4"/>
      <c r="C428" s="13"/>
      <c r="D428" s="4"/>
      <c r="E428" s="77"/>
      <c r="F428" s="4"/>
      <c r="G428" s="4"/>
      <c r="H428" s="13"/>
      <c r="I428" s="4"/>
      <c r="J428" s="4"/>
      <c r="K428" s="4"/>
      <c r="L428" s="4"/>
      <c r="M428" s="4"/>
      <c r="N428" s="4"/>
      <c r="O428" s="4"/>
      <c r="P428" s="4"/>
      <c r="Q428" s="4"/>
      <c r="R428" s="4"/>
      <c r="S428" s="23"/>
      <c r="T428" s="23"/>
      <c r="U428" s="23"/>
      <c r="V428" s="23"/>
      <c r="W428" s="23"/>
      <c r="X428" s="23"/>
      <c r="Y428" s="23"/>
    </row>
    <row r="429" spans="1:25" ht="14.25" thickBot="1" x14ac:dyDescent="0.2">
      <c r="A429" s="23"/>
      <c r="B429" s="20">
        <v>11</v>
      </c>
      <c r="C429" s="15" t="str">
        <f>IF(AND($E$403&gt;=$B429,入力シート!C432&lt;&gt;""),入力シート!C432,"")</f>
        <v/>
      </c>
      <c r="D429" s="4"/>
      <c r="E429" s="15" t="str">
        <f>IF(AND($E$403&gt;=$B429,入力シート!F432&lt;&gt;"",入力シート!I432&lt;&gt;""),入力シート!F432&amp;"　"&amp;入力シート!I432,"")</f>
        <v/>
      </c>
      <c r="F429" s="4"/>
      <c r="G429" s="15" t="str">
        <f>IF(AND($E$403&gt;=$B429,入力シート!K432&lt;&gt;"",入力シート!M432&lt;&gt;""),入力シート!K432&amp;"　"&amp;入力シート!M432,"")</f>
        <v/>
      </c>
      <c r="H429" s="13"/>
      <c r="I429" s="15" t="str">
        <f>IF(AND($E$403&gt;=$B429,入力シート!O432&lt;&gt;""),DBCS(TEXT(入力シート!O432,"g")),"")</f>
        <v/>
      </c>
      <c r="J429" s="21"/>
      <c r="K429" s="15" t="str">
        <f>IF(AND($E$403&gt;=$B429,入力シート!O432&lt;&gt;""),TEXT(入力シート!O432,"e")*1,"")</f>
        <v/>
      </c>
      <c r="L429" s="4"/>
      <c r="M429" s="15" t="str">
        <f>IF(AND($E$403&gt;=$B429,入力シート!O432&lt;&gt;""),MONTH(入力シート!O432),"")</f>
        <v/>
      </c>
      <c r="N429" s="4"/>
      <c r="O429" s="15" t="str">
        <f>IF(AND($E$403&gt;=$B429,入力シート!O432&lt;&gt;""),DAY(入力シート!O432),"")</f>
        <v/>
      </c>
      <c r="P429" s="4"/>
      <c r="Q429" s="15" t="str">
        <f>IF(入力シート!Q432="","",IF(AND($E$403&gt;=$B429,入力シート!Q432="男"),"Ｍ",IF(AND($E$403&gt;=$B429,入力シート!Q432="女"),"Ｆ","")))</f>
        <v/>
      </c>
      <c r="R429" s="4"/>
      <c r="S429" s="23"/>
      <c r="T429" s="23"/>
      <c r="U429" s="23"/>
      <c r="V429" s="23"/>
      <c r="W429" s="23"/>
      <c r="X429" s="23"/>
      <c r="Y429" s="23"/>
    </row>
    <row r="430" spans="1:25" ht="5.0999999999999996" customHeight="1" thickBot="1" x14ac:dyDescent="0.2">
      <c r="A430" s="23"/>
      <c r="B430" s="4"/>
      <c r="C430" s="13"/>
      <c r="D430" s="4"/>
      <c r="E430" s="77"/>
      <c r="F430" s="4"/>
      <c r="G430" s="4"/>
      <c r="H430" s="13"/>
      <c r="I430" s="4"/>
      <c r="J430" s="4"/>
      <c r="K430" s="4"/>
      <c r="L430" s="4"/>
      <c r="M430" s="4"/>
      <c r="N430" s="4"/>
      <c r="O430" s="4"/>
      <c r="P430" s="4"/>
      <c r="Q430" s="4"/>
      <c r="R430" s="4"/>
      <c r="S430" s="23"/>
      <c r="T430" s="23"/>
      <c r="U430" s="23"/>
      <c r="V430" s="23"/>
      <c r="W430" s="23"/>
      <c r="X430" s="23"/>
      <c r="Y430" s="23"/>
    </row>
    <row r="431" spans="1:25" ht="14.25" thickBot="1" x14ac:dyDescent="0.2">
      <c r="A431" s="23"/>
      <c r="B431" s="20">
        <v>12</v>
      </c>
      <c r="C431" s="15" t="str">
        <f>IF(AND($E$403&gt;=$B431,入力シート!C434&lt;&gt;""),入力シート!C434,"")</f>
        <v/>
      </c>
      <c r="D431" s="4"/>
      <c r="E431" s="15" t="str">
        <f>IF(AND($E$403&gt;=$B431,入力シート!F434&lt;&gt;"",入力シート!I434&lt;&gt;""),入力シート!F434&amp;"　"&amp;入力シート!I434,"")</f>
        <v/>
      </c>
      <c r="F431" s="4"/>
      <c r="G431" s="15" t="str">
        <f>IF(AND($E$403&gt;=$B431,入力シート!K434&lt;&gt;"",入力シート!M434&lt;&gt;""),入力シート!K434&amp;"　"&amp;入力シート!M434,"")</f>
        <v/>
      </c>
      <c r="H431" s="13"/>
      <c r="I431" s="15" t="str">
        <f>IF(AND($E$403&gt;=$B431,入力シート!O434&lt;&gt;""),DBCS(TEXT(入力シート!O434,"g")),"")</f>
        <v/>
      </c>
      <c r="J431" s="21"/>
      <c r="K431" s="15" t="str">
        <f>IF(AND($E$403&gt;=$B431,入力シート!O434&lt;&gt;""),TEXT(入力シート!O434,"e")*1,"")</f>
        <v/>
      </c>
      <c r="L431" s="4"/>
      <c r="M431" s="15" t="str">
        <f>IF(AND($E$403&gt;=$B431,入力シート!O434&lt;&gt;""),MONTH(入力シート!O434),"")</f>
        <v/>
      </c>
      <c r="N431" s="4"/>
      <c r="O431" s="15" t="str">
        <f>IF(AND($E$403&gt;=$B431,入力シート!O434&lt;&gt;""),DAY(入力シート!O434),"")</f>
        <v/>
      </c>
      <c r="P431" s="4"/>
      <c r="Q431" s="15" t="str">
        <f>IF(入力シート!Q434="","",IF(AND($E$403&gt;=$B431,入力シート!Q434="男"),"Ｍ",IF(AND($E$403&gt;=$B431,入力シート!Q434="女"),"Ｆ","")))</f>
        <v/>
      </c>
      <c r="R431" s="4"/>
      <c r="S431" s="23"/>
      <c r="T431" s="23"/>
      <c r="U431" s="23"/>
      <c r="V431" s="23"/>
      <c r="W431" s="23"/>
      <c r="X431" s="23"/>
      <c r="Y431" s="23"/>
    </row>
    <row r="432" spans="1:25" ht="5.0999999999999996" customHeight="1" thickBot="1" x14ac:dyDescent="0.2">
      <c r="A432" s="23"/>
      <c r="B432" s="4"/>
      <c r="C432" s="13"/>
      <c r="D432" s="4"/>
      <c r="E432" s="77"/>
      <c r="F432" s="4"/>
      <c r="G432" s="4"/>
      <c r="H432" s="13"/>
      <c r="I432" s="4"/>
      <c r="J432" s="4"/>
      <c r="K432" s="4"/>
      <c r="L432" s="4"/>
      <c r="M432" s="4"/>
      <c r="N432" s="4"/>
      <c r="O432" s="4"/>
      <c r="P432" s="4"/>
      <c r="Q432" s="4"/>
      <c r="R432" s="4"/>
      <c r="S432" s="23"/>
      <c r="T432" s="23"/>
      <c r="U432" s="23"/>
      <c r="V432" s="23"/>
      <c r="W432" s="23"/>
      <c r="X432" s="23"/>
      <c r="Y432" s="23"/>
    </row>
    <row r="433" spans="1:25" ht="14.25" thickBot="1" x14ac:dyDescent="0.2">
      <c r="A433" s="23"/>
      <c r="B433" s="20">
        <v>13</v>
      </c>
      <c r="C433" s="15" t="str">
        <f>IF(AND($E$403&gt;=$B433,入力シート!C436&lt;&gt;""),入力シート!C436,"")</f>
        <v/>
      </c>
      <c r="D433" s="4"/>
      <c r="E433" s="15" t="str">
        <f>IF(AND($E$403&gt;=$B433,入力シート!F436&lt;&gt;"",入力シート!I436&lt;&gt;""),入力シート!F436&amp;"　"&amp;入力シート!I436,"")</f>
        <v/>
      </c>
      <c r="F433" s="4"/>
      <c r="G433" s="15" t="str">
        <f>IF(AND($E$403&gt;=$B433,入力シート!K436&lt;&gt;"",入力シート!M436&lt;&gt;""),入力シート!K436&amp;"　"&amp;入力シート!M436,"")</f>
        <v/>
      </c>
      <c r="H433" s="13"/>
      <c r="I433" s="15" t="str">
        <f>IF(AND($E$403&gt;=$B433,入力シート!O436&lt;&gt;""),DBCS(TEXT(入力シート!O436,"g")),"")</f>
        <v/>
      </c>
      <c r="J433" s="21"/>
      <c r="K433" s="15" t="str">
        <f>IF(AND($E$403&gt;=$B433,入力シート!O436&lt;&gt;""),TEXT(入力シート!O436,"e")*1,"")</f>
        <v/>
      </c>
      <c r="L433" s="4"/>
      <c r="M433" s="15" t="str">
        <f>IF(AND($E$403&gt;=$B433,入力シート!O436&lt;&gt;""),MONTH(入力シート!O436),"")</f>
        <v/>
      </c>
      <c r="N433" s="4"/>
      <c r="O433" s="15" t="str">
        <f>IF(AND($E$403&gt;=$B433,入力シート!O436&lt;&gt;""),DAY(入力シート!O436),"")</f>
        <v/>
      </c>
      <c r="P433" s="4"/>
      <c r="Q433" s="15" t="str">
        <f>IF(入力シート!Q436="","",IF(AND($E$403&gt;=$B433,入力シート!Q436="男"),"Ｍ",IF(AND($E$403&gt;=$B433,入力シート!Q436="女"),"Ｆ","")))</f>
        <v/>
      </c>
      <c r="R433" s="4"/>
      <c r="S433" s="23"/>
      <c r="T433" s="23"/>
      <c r="U433" s="23"/>
      <c r="V433" s="23"/>
      <c r="W433" s="23"/>
      <c r="X433" s="23"/>
      <c r="Y433" s="23"/>
    </row>
    <row r="434" spans="1:25" ht="5.0999999999999996" customHeight="1" thickBot="1" x14ac:dyDescent="0.2">
      <c r="A434" s="23"/>
      <c r="B434" s="4"/>
      <c r="C434" s="13"/>
      <c r="D434" s="4"/>
      <c r="E434" s="77"/>
      <c r="F434" s="4"/>
      <c r="G434" s="4"/>
      <c r="H434" s="13"/>
      <c r="I434" s="4"/>
      <c r="J434" s="4"/>
      <c r="K434" s="4"/>
      <c r="L434" s="4"/>
      <c r="M434" s="4"/>
      <c r="N434" s="4"/>
      <c r="O434" s="4"/>
      <c r="P434" s="4"/>
      <c r="Q434" s="4"/>
      <c r="R434" s="4"/>
      <c r="S434" s="23"/>
      <c r="T434" s="23"/>
      <c r="U434" s="23"/>
      <c r="V434" s="23"/>
      <c r="W434" s="23"/>
      <c r="X434" s="23"/>
      <c r="Y434" s="23"/>
    </row>
    <row r="435" spans="1:25" ht="14.25" thickBot="1" x14ac:dyDescent="0.2">
      <c r="A435" s="23"/>
      <c r="B435" s="20">
        <v>14</v>
      </c>
      <c r="C435" s="15" t="str">
        <f>IF(AND($E$403&gt;=$B435,入力シート!C438&lt;&gt;""),入力シート!C438,"")</f>
        <v/>
      </c>
      <c r="D435" s="4"/>
      <c r="E435" s="15" t="str">
        <f>IF(AND($E$403&gt;=$B435,入力シート!F438&lt;&gt;"",入力シート!I438&lt;&gt;""),入力シート!F438&amp;"　"&amp;入力シート!I438,"")</f>
        <v/>
      </c>
      <c r="F435" s="4"/>
      <c r="G435" s="15" t="str">
        <f>IF(AND($E$403&gt;=$B435,入力シート!K438&lt;&gt;"",入力シート!M438&lt;&gt;""),入力シート!K438&amp;"　"&amp;入力シート!M438,"")</f>
        <v/>
      </c>
      <c r="H435" s="13"/>
      <c r="I435" s="15" t="str">
        <f>IF(AND($E$403&gt;=$B435,入力シート!O438&lt;&gt;""),DBCS(TEXT(入力シート!O438,"g")),"")</f>
        <v/>
      </c>
      <c r="J435" s="21"/>
      <c r="K435" s="15" t="str">
        <f>IF(AND($E$403&gt;=$B435,入力シート!O438&lt;&gt;""),TEXT(入力シート!O438,"e")*1,"")</f>
        <v/>
      </c>
      <c r="L435" s="4"/>
      <c r="M435" s="15" t="str">
        <f>IF(AND($E$403&gt;=$B435,入力シート!O438&lt;&gt;""),MONTH(入力シート!O438),"")</f>
        <v/>
      </c>
      <c r="N435" s="4"/>
      <c r="O435" s="15" t="str">
        <f>IF(AND($E$403&gt;=$B435,入力シート!O438&lt;&gt;""),DAY(入力シート!O438),"")</f>
        <v/>
      </c>
      <c r="P435" s="4"/>
      <c r="Q435" s="15" t="str">
        <f>IF(入力シート!Q438="","",IF(AND($E$403&gt;=$B435,入力シート!Q438="男"),"Ｍ",IF(AND($E$403&gt;=$B435,入力シート!Q438="女"),"Ｆ","")))</f>
        <v/>
      </c>
      <c r="R435" s="4"/>
      <c r="S435" s="23"/>
      <c r="T435" s="23"/>
      <c r="U435" s="23"/>
      <c r="V435" s="23"/>
      <c r="W435" s="23"/>
      <c r="X435" s="23"/>
      <c r="Y435" s="23"/>
    </row>
    <row r="436" spans="1:25" ht="5.0999999999999996" customHeight="1" thickBot="1" x14ac:dyDescent="0.2">
      <c r="A436" s="23"/>
      <c r="B436" s="4"/>
      <c r="C436" s="13"/>
      <c r="D436" s="4"/>
      <c r="E436" s="77"/>
      <c r="F436" s="4"/>
      <c r="G436" s="4"/>
      <c r="H436" s="13"/>
      <c r="I436" s="4"/>
      <c r="J436" s="4"/>
      <c r="K436" s="4"/>
      <c r="L436" s="4"/>
      <c r="M436" s="4"/>
      <c r="N436" s="4"/>
      <c r="O436" s="4"/>
      <c r="P436" s="4"/>
      <c r="Q436" s="4"/>
      <c r="R436" s="4"/>
      <c r="S436" s="23"/>
      <c r="T436" s="23"/>
      <c r="U436" s="23"/>
      <c r="V436" s="23"/>
      <c r="W436" s="23"/>
      <c r="X436" s="23"/>
      <c r="Y436" s="23"/>
    </row>
    <row r="437" spans="1:25" ht="14.25" thickBot="1" x14ac:dyDescent="0.2">
      <c r="A437" s="23"/>
      <c r="B437" s="20">
        <v>15</v>
      </c>
      <c r="C437" s="15" t="str">
        <f>IF(AND($E$403&gt;=$B437,入力シート!C440&lt;&gt;""),入力シート!C440,"")</f>
        <v/>
      </c>
      <c r="D437" s="4"/>
      <c r="E437" s="15" t="str">
        <f>IF(AND($E$403&gt;=$B437,入力シート!F440&lt;&gt;"",入力シート!I440&lt;&gt;""),入力シート!F440&amp;"　"&amp;入力シート!I440,"")</f>
        <v/>
      </c>
      <c r="F437" s="4"/>
      <c r="G437" s="15" t="str">
        <f>IF(AND($E$403&gt;=$B437,入力シート!K440&lt;&gt;"",入力シート!M440&lt;&gt;""),入力シート!K440&amp;"　"&amp;入力シート!M440,"")</f>
        <v/>
      </c>
      <c r="H437" s="13"/>
      <c r="I437" s="15" t="str">
        <f>IF(AND($E$403&gt;=$B437,入力シート!O440&lt;&gt;""),DBCS(TEXT(入力シート!O440,"g")),"")</f>
        <v/>
      </c>
      <c r="J437" s="21"/>
      <c r="K437" s="15" t="str">
        <f>IF(AND($E$403&gt;=$B437,入力シート!O440&lt;&gt;""),TEXT(入力シート!O440,"e")*1,"")</f>
        <v/>
      </c>
      <c r="L437" s="4"/>
      <c r="M437" s="15" t="str">
        <f>IF(AND($E$403&gt;=$B437,入力シート!O440&lt;&gt;""),MONTH(入力シート!O440),"")</f>
        <v/>
      </c>
      <c r="N437" s="4"/>
      <c r="O437" s="15" t="str">
        <f>IF(AND($E$403&gt;=$B437,入力シート!O440&lt;&gt;""),DAY(入力シート!O440),"")</f>
        <v/>
      </c>
      <c r="P437" s="4"/>
      <c r="Q437" s="15" t="str">
        <f>IF(入力シート!Q440="","",IF(AND($E$403&gt;=$B437,入力シート!Q440="男"),"Ｍ",IF(AND($E$403&gt;=$B437,入力シート!Q440="女"),"Ｆ","")))</f>
        <v/>
      </c>
      <c r="R437" s="4"/>
      <c r="S437" s="23"/>
      <c r="T437" s="23"/>
      <c r="U437" s="23"/>
      <c r="V437" s="23"/>
      <c r="W437" s="23"/>
      <c r="X437" s="23"/>
      <c r="Y437" s="23"/>
    </row>
    <row r="438" spans="1:25" ht="5.0999999999999996" customHeight="1" x14ac:dyDescent="0.15">
      <c r="A438" s="23"/>
      <c r="B438" s="4"/>
      <c r="C438" s="4"/>
      <c r="D438" s="4"/>
      <c r="E438" s="4"/>
      <c r="F438" s="4"/>
      <c r="G438" s="4"/>
      <c r="H438" s="4"/>
      <c r="I438" s="4"/>
      <c r="J438" s="4"/>
      <c r="K438" s="4"/>
      <c r="L438" s="4"/>
      <c r="M438" s="4"/>
      <c r="N438" s="4"/>
      <c r="O438" s="4"/>
      <c r="P438" s="4"/>
      <c r="Q438" s="4"/>
      <c r="R438" s="4"/>
      <c r="S438" s="23"/>
      <c r="T438" s="23"/>
      <c r="U438" s="23"/>
      <c r="V438" s="23"/>
      <c r="W438" s="23"/>
      <c r="X438" s="23"/>
      <c r="Y438" s="23"/>
    </row>
    <row r="439" spans="1:25" x14ac:dyDescent="0.15">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row>
    <row r="440" spans="1:25" ht="5.0999999999999996" customHeight="1" x14ac:dyDescent="0.15">
      <c r="A440" s="23"/>
      <c r="B440" s="2"/>
      <c r="C440" s="2"/>
      <c r="D440" s="2"/>
      <c r="E440" s="2"/>
      <c r="F440" s="2"/>
      <c r="G440" s="2"/>
      <c r="H440" s="2"/>
      <c r="I440" s="2"/>
      <c r="J440" s="2"/>
      <c r="K440" s="2"/>
      <c r="L440" s="2"/>
      <c r="M440" s="2"/>
      <c r="N440" s="2"/>
      <c r="O440" s="2"/>
      <c r="P440" s="2"/>
      <c r="Q440" s="2"/>
      <c r="R440" s="2"/>
      <c r="S440" s="23"/>
      <c r="T440" s="23"/>
      <c r="U440" s="23"/>
      <c r="V440" s="23"/>
      <c r="W440" s="23"/>
      <c r="X440" s="23"/>
      <c r="Y440" s="23"/>
    </row>
    <row r="441" spans="1:25" x14ac:dyDescent="0.15">
      <c r="A441" s="23"/>
      <c r="B441" s="30" t="s">
        <v>359</v>
      </c>
      <c r="C441" s="2"/>
      <c r="D441" s="2"/>
      <c r="E441" s="2"/>
      <c r="F441" s="2"/>
      <c r="G441" s="2"/>
      <c r="H441" s="2"/>
      <c r="I441" s="2"/>
      <c r="J441" s="2"/>
      <c r="K441" s="2"/>
      <c r="L441" s="2"/>
      <c r="M441" s="2"/>
      <c r="N441" s="2"/>
      <c r="O441" s="2"/>
      <c r="P441" s="2"/>
      <c r="Q441" s="2"/>
      <c r="R441" s="2"/>
      <c r="S441" s="23"/>
      <c r="T441" s="23"/>
      <c r="U441" s="23"/>
      <c r="V441" s="23"/>
      <c r="W441" s="23"/>
      <c r="X441" s="23"/>
      <c r="Y441" s="23"/>
    </row>
    <row r="442" spans="1:25" x14ac:dyDescent="0.15">
      <c r="A442" s="23"/>
      <c r="B442" s="2" t="s">
        <v>84</v>
      </c>
      <c r="C442" s="99"/>
      <c r="D442" s="2"/>
      <c r="E442" s="2"/>
      <c r="F442" s="2"/>
      <c r="G442" s="2"/>
      <c r="H442" s="2"/>
      <c r="I442" s="2"/>
      <c r="J442" s="2"/>
      <c r="K442" s="2"/>
      <c r="L442" s="2"/>
      <c r="M442" s="2"/>
      <c r="N442" s="2"/>
      <c r="O442" s="2"/>
      <c r="P442" s="2"/>
      <c r="Q442" s="2"/>
      <c r="R442" s="2"/>
      <c r="S442" s="23"/>
      <c r="T442" s="23"/>
      <c r="U442" s="23"/>
      <c r="V442" s="23"/>
      <c r="W442" s="23"/>
      <c r="X442" s="23"/>
      <c r="Y442" s="23"/>
    </row>
    <row r="443" spans="1:25" ht="5.0999999999999996" customHeight="1" thickBot="1" x14ac:dyDescent="0.2">
      <c r="A443" s="23"/>
      <c r="B443" s="2"/>
      <c r="C443" s="2"/>
      <c r="D443" s="2"/>
      <c r="E443" s="2"/>
      <c r="F443" s="2"/>
      <c r="G443" s="2"/>
      <c r="H443" s="2"/>
      <c r="I443" s="2"/>
      <c r="J443" s="2"/>
      <c r="K443" s="2"/>
      <c r="L443" s="2"/>
      <c r="M443" s="2"/>
      <c r="N443" s="2"/>
      <c r="O443" s="2"/>
      <c r="P443" s="2"/>
      <c r="Q443" s="2"/>
      <c r="R443" s="2"/>
      <c r="S443" s="23"/>
      <c r="T443" s="23"/>
      <c r="U443" s="23"/>
      <c r="V443" s="23"/>
      <c r="W443" s="23"/>
      <c r="X443" s="23"/>
      <c r="Y443" s="23"/>
    </row>
    <row r="444" spans="1:25" ht="14.25" thickBot="1" x14ac:dyDescent="0.2">
      <c r="A444" s="23"/>
      <c r="B444" s="2"/>
      <c r="C444" s="63" t="s">
        <v>86</v>
      </c>
      <c r="D444" s="63"/>
      <c r="E444" s="17" t="str">
        <f>IF($C$76&lt;&gt;"なし",入力シート!$F$451,"")</f>
        <v/>
      </c>
      <c r="F444" s="2"/>
      <c r="G444" s="2"/>
      <c r="H444" s="2"/>
      <c r="I444" s="2"/>
      <c r="J444" s="2"/>
      <c r="K444" s="2"/>
      <c r="L444" s="2"/>
      <c r="M444" s="2"/>
      <c r="N444" s="2"/>
      <c r="O444" s="2"/>
      <c r="P444" s="2"/>
      <c r="Q444" s="2"/>
      <c r="R444" s="2"/>
      <c r="S444" s="23"/>
      <c r="T444" s="23"/>
      <c r="U444" s="23"/>
      <c r="V444" s="23"/>
      <c r="W444" s="23"/>
      <c r="X444" s="23"/>
      <c r="Y444" s="23"/>
    </row>
    <row r="445" spans="1:25" x14ac:dyDescent="0.15">
      <c r="A445" s="23"/>
      <c r="B445" s="2"/>
      <c r="C445" s="2"/>
      <c r="D445" s="2"/>
      <c r="E445" s="2"/>
      <c r="F445" s="2"/>
      <c r="G445" s="2"/>
      <c r="H445" s="2"/>
      <c r="I445" s="2"/>
      <c r="J445" s="2"/>
      <c r="K445" s="2"/>
      <c r="L445" s="2"/>
      <c r="M445" s="2"/>
      <c r="N445" s="2"/>
      <c r="O445" s="2"/>
      <c r="P445" s="2"/>
      <c r="Q445" s="2"/>
      <c r="R445" s="2"/>
      <c r="S445" s="23"/>
      <c r="T445" s="23"/>
      <c r="U445" s="23"/>
      <c r="V445" s="23"/>
      <c r="W445" s="23"/>
      <c r="X445" s="23"/>
      <c r="Y445" s="23"/>
    </row>
    <row r="446" spans="1:25" x14ac:dyDescent="0.15">
      <c r="A446" s="23"/>
      <c r="B446" s="2"/>
      <c r="C446" s="2"/>
      <c r="D446" s="2"/>
      <c r="E446" s="2"/>
      <c r="F446" s="2"/>
      <c r="G446" s="2"/>
      <c r="H446" s="2"/>
      <c r="I446" s="2"/>
      <c r="J446" s="2"/>
      <c r="K446" s="2"/>
      <c r="L446" s="2"/>
      <c r="M446" s="2"/>
      <c r="N446" s="2"/>
      <c r="O446" s="2"/>
      <c r="P446" s="2"/>
      <c r="Q446" s="2"/>
      <c r="R446" s="2"/>
      <c r="S446" s="23"/>
      <c r="T446" s="23"/>
      <c r="U446" s="23"/>
      <c r="V446" s="23"/>
      <c r="W446" s="23"/>
      <c r="X446" s="23"/>
      <c r="Y446" s="23"/>
    </row>
    <row r="447" spans="1:25" ht="5.0999999999999996" customHeight="1" x14ac:dyDescent="0.15">
      <c r="A447" s="23"/>
      <c r="B447" s="2"/>
      <c r="C447" s="2"/>
      <c r="D447" s="2"/>
      <c r="E447" s="2"/>
      <c r="F447" s="2"/>
      <c r="G447" s="2"/>
      <c r="H447" s="2"/>
      <c r="I447" s="2"/>
      <c r="J447" s="2"/>
      <c r="K447" s="2"/>
      <c r="L447" s="2"/>
      <c r="M447" s="2"/>
      <c r="N447" s="2"/>
      <c r="O447" s="2"/>
      <c r="P447" s="2"/>
      <c r="Q447" s="2"/>
      <c r="R447" s="2"/>
      <c r="S447" s="23"/>
      <c r="T447" s="23"/>
      <c r="U447" s="23"/>
      <c r="V447" s="23"/>
      <c r="W447" s="23"/>
      <c r="X447" s="23"/>
      <c r="Y447" s="23"/>
    </row>
    <row r="448" spans="1:25" x14ac:dyDescent="0.15">
      <c r="A448" s="23"/>
      <c r="B448" s="2"/>
      <c r="C448" s="64" t="s">
        <v>87</v>
      </c>
      <c r="D448" s="2"/>
      <c r="E448" s="64" t="s">
        <v>129</v>
      </c>
      <c r="F448" s="2"/>
      <c r="G448" s="64" t="s">
        <v>130</v>
      </c>
      <c r="H448" s="64"/>
      <c r="I448" s="64" t="s">
        <v>131</v>
      </c>
      <c r="J448" s="2"/>
      <c r="K448" s="64" t="s">
        <v>116</v>
      </c>
      <c r="L448" s="2"/>
      <c r="M448" s="64" t="s">
        <v>117</v>
      </c>
      <c r="N448" s="2"/>
      <c r="O448" s="64" t="s">
        <v>132</v>
      </c>
      <c r="P448" s="64"/>
      <c r="Q448" s="64" t="s">
        <v>91</v>
      </c>
      <c r="R448" s="2"/>
      <c r="S448" s="23"/>
      <c r="T448" s="23"/>
      <c r="U448" s="23"/>
      <c r="V448" s="23"/>
      <c r="W448" s="23"/>
      <c r="X448" s="23"/>
      <c r="Y448" s="23"/>
    </row>
    <row r="449" spans="1:25" ht="5.0999999999999996" customHeight="1" thickBot="1" x14ac:dyDescent="0.2">
      <c r="A449" s="23"/>
      <c r="B449" s="2"/>
      <c r="C449" s="2"/>
      <c r="D449" s="2"/>
      <c r="E449" s="2"/>
      <c r="F449" s="2"/>
      <c r="G449" s="2"/>
      <c r="H449" s="64"/>
      <c r="I449" s="2"/>
      <c r="J449" s="2"/>
      <c r="K449" s="2"/>
      <c r="L449" s="2"/>
      <c r="M449" s="2"/>
      <c r="N449" s="2"/>
      <c r="O449" s="2"/>
      <c r="P449" s="2"/>
      <c r="Q449" s="2"/>
      <c r="R449" s="2"/>
      <c r="S449" s="23"/>
      <c r="T449" s="23"/>
      <c r="U449" s="23"/>
      <c r="V449" s="23"/>
      <c r="W449" s="23"/>
      <c r="X449" s="23"/>
      <c r="Y449" s="23"/>
    </row>
    <row r="450" spans="1:25" ht="14.25" thickBot="1" x14ac:dyDescent="0.2">
      <c r="A450" s="23"/>
      <c r="B450" s="16">
        <v>1</v>
      </c>
      <c r="C450" s="15" t="str">
        <f>IF(AND(入力シート!C457&lt;&gt;"",$C$76&lt;&gt;"なし"),入力シート!C457,"")</f>
        <v/>
      </c>
      <c r="D450" s="2"/>
      <c r="E450" s="15" t="str">
        <f>IF(AND($C$76&lt;&gt;"なし",入力シート!F457&lt;&gt;"",入力シート!I457&lt;&gt;""),入力シート!F457&amp;"　"&amp;入力シート!I457,"")</f>
        <v/>
      </c>
      <c r="F450" s="2"/>
      <c r="G450" s="15" t="str">
        <f>IF(AND($C$76&lt;&gt;"なし",入力シート!K457&lt;&gt;"",入力シート!M457&lt;&gt;""),入力シート!K457&amp;"　"&amp;入力シート!M457,"")</f>
        <v/>
      </c>
      <c r="H450" s="2"/>
      <c r="I450" s="15" t="str">
        <f>IF(AND($C$76&lt;&gt;"なし",入力シート!O457&lt;&gt;""),DBCS(TEXT(入力シート!O457,"g")),"")</f>
        <v/>
      </c>
      <c r="J450" s="2"/>
      <c r="K450" s="15" t="str">
        <f>IF(AND($C$76&lt;&gt;"なし",入力シート!O457&lt;&gt;""),TEXT(入力シート!O457,"e")*1,"")</f>
        <v/>
      </c>
      <c r="L450" s="2"/>
      <c r="M450" s="15" t="str">
        <f>IF(AND($C$76&lt;&gt;"なし",入力シート!O457&lt;&gt;""),MONTH(入力シート!O457),"")</f>
        <v/>
      </c>
      <c r="N450" s="2"/>
      <c r="O450" s="15" t="str">
        <f>IF(AND($C$76&lt;&gt;"なし",入力シート!O457&lt;&gt;""),DAY(入力シート!O457),"")</f>
        <v/>
      </c>
      <c r="P450" s="2"/>
      <c r="Q450" s="15" t="str">
        <f>IF(AND($C$76&lt;&gt;"なし",入力シート!Q457&lt;&gt;"",入力シート!Q457="男"),"Ｍ",IF(AND($C$76&lt;&gt;"なし",入力シート!Q457&lt;&gt;"",入力シート!Q457="女"),"Ｆ",""))</f>
        <v/>
      </c>
      <c r="R450" s="2"/>
      <c r="S450" s="23"/>
      <c r="T450" s="23"/>
      <c r="U450" s="23"/>
      <c r="V450" s="23"/>
      <c r="W450" s="23"/>
      <c r="X450" s="23"/>
      <c r="Y450" s="23"/>
    </row>
    <row r="451" spans="1:25" ht="5.0999999999999996" customHeight="1" thickBot="1" x14ac:dyDescent="0.2">
      <c r="A451" s="23"/>
      <c r="B451" s="2"/>
      <c r="C451" s="64"/>
      <c r="D451" s="64"/>
      <c r="E451" s="64"/>
      <c r="F451" s="64"/>
      <c r="G451" s="64"/>
      <c r="H451" s="64"/>
      <c r="I451" s="64"/>
      <c r="J451" s="64"/>
      <c r="K451" s="64"/>
      <c r="L451" s="64"/>
      <c r="M451" s="64"/>
      <c r="N451" s="64"/>
      <c r="O451" s="64"/>
      <c r="P451" s="64"/>
      <c r="Q451" s="64"/>
      <c r="R451" s="2"/>
      <c r="S451" s="23"/>
      <c r="T451" s="23"/>
      <c r="U451" s="23"/>
      <c r="V451" s="23"/>
      <c r="W451" s="23"/>
      <c r="X451" s="23"/>
      <c r="Y451" s="23"/>
    </row>
    <row r="452" spans="1:25" ht="14.25" thickBot="1" x14ac:dyDescent="0.2">
      <c r="A452" s="23"/>
      <c r="B452" s="16">
        <v>2</v>
      </c>
      <c r="C452" s="15" t="str">
        <f>IF(AND($E$444&gt;=$B452,入力シート!C459&lt;&gt;"",$C$76&lt;&gt;"なし"),入力シート!C459,"")</f>
        <v/>
      </c>
      <c r="D452" s="2"/>
      <c r="E452" s="15" t="str">
        <f>IF(AND($E$444&gt;=$B452,$C$76&lt;&gt;"なし",入力シート!F459&lt;&gt;"",入力シート!I459&lt;&gt;""),入力シート!F459&amp;"　"&amp;入力シート!I459,"")</f>
        <v/>
      </c>
      <c r="F452" s="2"/>
      <c r="G452" s="15" t="str">
        <f>IF(AND($E$444&gt;=$B452,$C$76&lt;&gt;"なし",入力シート!K459&lt;&gt;"",入力シート!M459&lt;&gt;""),入力シート!K459&amp;"　"&amp;入力シート!M459,"")</f>
        <v/>
      </c>
      <c r="H452" s="2"/>
      <c r="I452" s="15" t="str">
        <f>IF(AND($E$444&gt;=$B452,$C$76&lt;&gt;"なし",入力シート!O459&lt;&gt;""),DBCS(TEXT(入力シート!O459,"g")),"")</f>
        <v/>
      </c>
      <c r="J452" s="2"/>
      <c r="K452" s="15" t="str">
        <f>IF(AND($E$444&gt;=$B452,$C$76&lt;&gt;"なし",入力シート!O459&lt;&gt;""),TEXT(入力シート!O459,"e")*1,"")</f>
        <v/>
      </c>
      <c r="L452" s="2"/>
      <c r="M452" s="15" t="str">
        <f>IF(AND($E$444&gt;=$B452,$C$76&lt;&gt;"なし",入力シート!O459&lt;&gt;""),MONTH(入力シート!O459),"")</f>
        <v/>
      </c>
      <c r="N452" s="2"/>
      <c r="O452" s="15" t="str">
        <f>IF(AND($E$444&gt;=$B452,$C$76&lt;&gt;"なし",入力シート!O459&lt;&gt;""),DAY(入力シート!O459),"")</f>
        <v/>
      </c>
      <c r="P452" s="2"/>
      <c r="Q452" s="15" t="str">
        <f>IF(AND($E$444&gt;=$B452,$C$76&lt;&gt;"なし",入力シート!Q459&lt;&gt;"",入力シート!Q459="男"),"Ｍ",IF(AND($C$76&lt;&gt;"なし",入力シート!Q459&lt;&gt;"",入力シート!Q459="女"),"Ｆ",""))</f>
        <v/>
      </c>
      <c r="R452" s="2"/>
      <c r="S452" s="23"/>
      <c r="T452" s="23"/>
      <c r="U452" s="23"/>
      <c r="V452" s="23"/>
      <c r="W452" s="23"/>
      <c r="X452" s="23"/>
      <c r="Y452" s="23"/>
    </row>
    <row r="453" spans="1:25" ht="5.0999999999999996" customHeight="1" thickBot="1" x14ac:dyDescent="0.2">
      <c r="A453" s="23"/>
      <c r="B453" s="2"/>
      <c r="C453" s="64"/>
      <c r="D453" s="64"/>
      <c r="E453" s="64"/>
      <c r="F453" s="64"/>
      <c r="G453" s="64"/>
      <c r="H453" s="64"/>
      <c r="I453" s="64"/>
      <c r="J453" s="64"/>
      <c r="K453" s="64"/>
      <c r="L453" s="64"/>
      <c r="M453" s="64"/>
      <c r="N453" s="64"/>
      <c r="O453" s="64"/>
      <c r="P453" s="64"/>
      <c r="Q453" s="64"/>
      <c r="R453" s="2"/>
      <c r="S453" s="23"/>
      <c r="T453" s="23"/>
      <c r="U453" s="23"/>
      <c r="V453" s="23"/>
      <c r="W453" s="23"/>
      <c r="X453" s="23"/>
      <c r="Y453" s="23"/>
    </row>
    <row r="454" spans="1:25" ht="14.25" thickBot="1" x14ac:dyDescent="0.2">
      <c r="A454" s="23"/>
      <c r="B454" s="16">
        <v>3</v>
      </c>
      <c r="C454" s="15" t="str">
        <f>IF(AND($E$444&gt;=$B454,入力シート!C459&lt;&gt;"",$C$76&lt;&gt;"なし"),入力シート!C461,"")</f>
        <v/>
      </c>
      <c r="D454" s="2"/>
      <c r="E454" s="15" t="str">
        <f>IF(AND($E$444&gt;=$B454,$C$76&lt;&gt;"なし",入力シート!F461&lt;&gt;"",入力シート!I461&lt;&gt;""),入力シート!F461&amp;"　"&amp;入力シート!I461,"")</f>
        <v/>
      </c>
      <c r="F454" s="2"/>
      <c r="G454" s="15" t="str">
        <f>IF(AND($E$444&gt;=$B454,$C$76&lt;&gt;"なし",入力シート!K461&lt;&gt;"",入力シート!M461&lt;&gt;""),入力シート!K461&amp;"　"&amp;入力シート!M461,"")</f>
        <v/>
      </c>
      <c r="H454" s="2"/>
      <c r="I454" s="15" t="str">
        <f>IF(AND($E$444&gt;=$B454,$C$76&lt;&gt;"なし",入力シート!O461&lt;&gt;""),DBCS(TEXT(入力シート!O461,"g")),"")</f>
        <v/>
      </c>
      <c r="J454" s="2"/>
      <c r="K454" s="15" t="str">
        <f>IF(AND($E$444&gt;=$B454,$C$76&lt;&gt;"なし",入力シート!O461&lt;&gt;""),TEXT(入力シート!O461,"e")*1,"")</f>
        <v/>
      </c>
      <c r="L454" s="2"/>
      <c r="M454" s="15" t="str">
        <f>IF(AND($E$444&gt;=$B454,$C$76&lt;&gt;"なし",入力シート!O461&lt;&gt;""),MONTH(入力シート!O461),"")</f>
        <v/>
      </c>
      <c r="N454" s="2"/>
      <c r="O454" s="15" t="str">
        <f>IF(AND($E$444&gt;=$B454,$C$76&lt;&gt;"なし",入力シート!O461&lt;&gt;""),DAY(入力シート!O461),"")</f>
        <v/>
      </c>
      <c r="P454" s="2"/>
      <c r="Q454" s="15" t="str">
        <f>IF(AND($E$444&gt;=$B454,$C$76&lt;&gt;"なし",入力シート!Q461&lt;&gt;"",入力シート!Q461="男"),"Ｍ",IF(AND($C$76&lt;&gt;"なし",入力シート!Q461&lt;&gt;"",入力シート!Q461="女"),"Ｆ",""))</f>
        <v/>
      </c>
      <c r="R454" s="2"/>
      <c r="S454" s="23"/>
      <c r="T454" s="23"/>
      <c r="U454" s="23"/>
      <c r="V454" s="23"/>
      <c r="W454" s="23"/>
      <c r="X454" s="23"/>
      <c r="Y454" s="23"/>
    </row>
    <row r="455" spans="1:25" ht="5.0999999999999996" customHeight="1" thickBot="1" x14ac:dyDescent="0.2">
      <c r="A455" s="23"/>
      <c r="B455" s="2"/>
      <c r="C455" s="64"/>
      <c r="D455" s="64"/>
      <c r="E455" s="64"/>
      <c r="F455" s="64"/>
      <c r="G455" s="64"/>
      <c r="H455" s="64"/>
      <c r="I455" s="64"/>
      <c r="J455" s="64"/>
      <c r="K455" s="64"/>
      <c r="L455" s="64"/>
      <c r="M455" s="64"/>
      <c r="N455" s="64"/>
      <c r="O455" s="64"/>
      <c r="P455" s="64"/>
      <c r="Q455" s="64"/>
      <c r="R455" s="2"/>
      <c r="S455" s="23"/>
      <c r="T455" s="23"/>
      <c r="U455" s="23"/>
      <c r="V455" s="23"/>
      <c r="W455" s="23"/>
      <c r="X455" s="23"/>
      <c r="Y455" s="23"/>
    </row>
    <row r="456" spans="1:25" ht="14.25" thickBot="1" x14ac:dyDescent="0.2">
      <c r="A456" s="23"/>
      <c r="B456" s="16">
        <v>4</v>
      </c>
      <c r="C456" s="15" t="str">
        <f>IF(AND($E$444&gt;=$B456,入力シート!C459&lt;&gt;"",$C$76&lt;&gt;"なし"),入力シート!C463,"")</f>
        <v/>
      </c>
      <c r="D456" s="2"/>
      <c r="E456" s="15" t="str">
        <f>IF(AND($E$444&gt;=$B456,$C$76&lt;&gt;"なし",入力シート!F463&lt;&gt;"",入力シート!I463&lt;&gt;""),入力シート!F463&amp;"　"&amp;入力シート!I463,"")</f>
        <v/>
      </c>
      <c r="F456" s="2"/>
      <c r="G456" s="15" t="str">
        <f>IF(AND($E$444&gt;=$B456,$C$76&lt;&gt;"なし",入力シート!K463&lt;&gt;"",入力シート!M463&lt;&gt;""),入力シート!K463&amp;"　"&amp;入力シート!M463,"")</f>
        <v/>
      </c>
      <c r="H456" s="2"/>
      <c r="I456" s="15" t="str">
        <f>IF(AND($E$444&gt;=$B456,$C$76&lt;&gt;"なし",入力シート!O463&lt;&gt;""),DBCS(TEXT(入力シート!O463,"g")),"")</f>
        <v/>
      </c>
      <c r="J456" s="2"/>
      <c r="K456" s="15" t="str">
        <f>IF(AND($E$444&gt;=$B456,$C$76&lt;&gt;"なし",入力シート!O463&lt;&gt;""),TEXT(入力シート!O463,"e")*1,"")</f>
        <v/>
      </c>
      <c r="L456" s="2"/>
      <c r="M456" s="15" t="str">
        <f>IF(AND($E$444&gt;=$B456,$C$76&lt;&gt;"なし",入力シート!O463&lt;&gt;""),MONTH(入力シート!O463),"")</f>
        <v/>
      </c>
      <c r="N456" s="2"/>
      <c r="O456" s="15" t="str">
        <f>IF(AND($E$444&gt;=$B456,$C$76&lt;&gt;"なし",入力シート!O463&lt;&gt;""),DAY(入力シート!O463),"")</f>
        <v/>
      </c>
      <c r="P456" s="2"/>
      <c r="Q456" s="15" t="str">
        <f>IF(AND($E$444&gt;=$B456,$C$76&lt;&gt;"なし",入力シート!Q463&lt;&gt;"",入力シート!Q463="男"),"Ｍ",IF(AND($C$76&lt;&gt;"なし",入力シート!Q463&lt;&gt;"",入力シート!Q463="女"),"Ｆ",""))</f>
        <v/>
      </c>
      <c r="R456" s="2"/>
      <c r="S456" s="23"/>
      <c r="T456" s="23"/>
      <c r="U456" s="23"/>
      <c r="V456" s="23"/>
      <c r="W456" s="23"/>
      <c r="X456" s="23"/>
      <c r="Y456" s="23"/>
    </row>
    <row r="457" spans="1:25" ht="5.0999999999999996" customHeight="1" thickBot="1" x14ac:dyDescent="0.2">
      <c r="A457" s="23"/>
      <c r="B457" s="2"/>
      <c r="C457" s="64"/>
      <c r="D457" s="64"/>
      <c r="E457" s="64"/>
      <c r="F457" s="64"/>
      <c r="G457" s="64"/>
      <c r="H457" s="64"/>
      <c r="I457" s="64"/>
      <c r="J457" s="64"/>
      <c r="K457" s="64"/>
      <c r="L457" s="64"/>
      <c r="M457" s="64"/>
      <c r="N457" s="64"/>
      <c r="O457" s="64"/>
      <c r="P457" s="64"/>
      <c r="Q457" s="64"/>
      <c r="R457" s="2"/>
      <c r="S457" s="23"/>
      <c r="T457" s="23"/>
      <c r="U457" s="23"/>
      <c r="V457" s="23"/>
      <c r="W457" s="23"/>
      <c r="X457" s="23"/>
      <c r="Y457" s="23"/>
    </row>
    <row r="458" spans="1:25" ht="14.25" thickBot="1" x14ac:dyDescent="0.2">
      <c r="A458" s="23"/>
      <c r="B458" s="16">
        <v>5</v>
      </c>
      <c r="C458" s="15" t="str">
        <f>IF(AND($E$444&gt;=$B458,入力シート!C459&lt;&gt;"",$C$76&lt;&gt;"なし"),入力シート!C465,"")</f>
        <v/>
      </c>
      <c r="D458" s="2"/>
      <c r="E458" s="15" t="str">
        <f>IF(AND($E$444&gt;=$B458,$C$76&lt;&gt;"なし",入力シート!F465&lt;&gt;"",入力シート!I465&lt;&gt;""),入力シート!F465&amp;"　"&amp;入力シート!I465,"")</f>
        <v/>
      </c>
      <c r="F458" s="2"/>
      <c r="G458" s="15" t="str">
        <f>IF(AND($E$444&gt;=$B458,$C$76&lt;&gt;"なし",入力シート!K465&lt;&gt;"",入力シート!M465&lt;&gt;""),入力シート!K465&amp;"　"&amp;入力シート!M465,"")</f>
        <v/>
      </c>
      <c r="H458" s="2"/>
      <c r="I458" s="15" t="str">
        <f>IF(AND($E$444&gt;=$B458,$C$76&lt;&gt;"なし",入力シート!O465&lt;&gt;""),DBCS(TEXT(入力シート!O465,"g")),"")</f>
        <v/>
      </c>
      <c r="J458" s="2"/>
      <c r="K458" s="15" t="str">
        <f>IF(AND($E$444&gt;=$B458,$C$76&lt;&gt;"なし",入力シート!O465&lt;&gt;""),TEXT(入力シート!O465,"e")*1,"")</f>
        <v/>
      </c>
      <c r="L458" s="2"/>
      <c r="M458" s="15" t="str">
        <f>IF(AND($E$444&gt;=$B458,$C$76&lt;&gt;"なし",入力シート!O465&lt;&gt;""),MONTH(入力シート!O465),"")</f>
        <v/>
      </c>
      <c r="N458" s="2"/>
      <c r="O458" s="15" t="str">
        <f>IF(AND($E$444&gt;=$B458,$C$76&lt;&gt;"なし",入力シート!O465&lt;&gt;""),DAY(入力シート!O465),"")</f>
        <v/>
      </c>
      <c r="P458" s="2"/>
      <c r="Q458" s="15" t="str">
        <f>IF(AND($E$444&gt;=$B458,$C$76&lt;&gt;"なし",入力シート!Q465&lt;&gt;"",入力シート!Q465="男"),"Ｍ",IF(AND($C$76&lt;&gt;"なし",入力シート!Q465&lt;&gt;"",入力シート!Q465="女"),"Ｆ",""))</f>
        <v/>
      </c>
      <c r="R458" s="2"/>
      <c r="S458" s="23"/>
      <c r="T458" s="23"/>
      <c r="U458" s="23"/>
      <c r="V458" s="23"/>
      <c r="W458" s="23"/>
      <c r="X458" s="23"/>
      <c r="Y458" s="23"/>
    </row>
    <row r="459" spans="1:25" ht="5.0999999999999996" customHeight="1" thickBot="1" x14ac:dyDescent="0.2">
      <c r="A459" s="23"/>
      <c r="B459" s="2"/>
      <c r="C459" s="64"/>
      <c r="D459" s="64"/>
      <c r="E459" s="64"/>
      <c r="F459" s="64"/>
      <c r="G459" s="64"/>
      <c r="H459" s="64"/>
      <c r="I459" s="64"/>
      <c r="J459" s="64"/>
      <c r="K459" s="64"/>
      <c r="L459" s="64"/>
      <c r="M459" s="64"/>
      <c r="N459" s="64"/>
      <c r="O459" s="64"/>
      <c r="P459" s="64"/>
      <c r="Q459" s="64"/>
      <c r="R459" s="2"/>
      <c r="S459" s="23"/>
      <c r="T459" s="23"/>
      <c r="U459" s="23"/>
      <c r="V459" s="23"/>
      <c r="W459" s="23"/>
      <c r="X459" s="23"/>
      <c r="Y459" s="23"/>
    </row>
    <row r="460" spans="1:25" ht="14.25" thickBot="1" x14ac:dyDescent="0.2">
      <c r="A460" s="23"/>
      <c r="B460" s="16">
        <v>6</v>
      </c>
      <c r="C460" s="15" t="str">
        <f>IF(AND($E$444&gt;=$B460,入力シート!C459&lt;&gt;"",$C$76&lt;&gt;"なし"),入力シート!C467,"")</f>
        <v/>
      </c>
      <c r="D460" s="2"/>
      <c r="E460" s="15" t="str">
        <f>IF(AND($E$444&gt;=$B460,$C$76&lt;&gt;"なし",入力シート!F467&lt;&gt;"",入力シート!I467&lt;&gt;""),入力シート!F467&amp;"　"&amp;入力シート!I467,"")</f>
        <v/>
      </c>
      <c r="F460" s="2"/>
      <c r="G460" s="15" t="str">
        <f>IF(AND($E$444&gt;=$B460,$C$76&lt;&gt;"なし",入力シート!K467&lt;&gt;"",入力シート!M467&lt;&gt;""),入力シート!K467&amp;"　"&amp;入力シート!M467,"")</f>
        <v/>
      </c>
      <c r="H460" s="2"/>
      <c r="I460" s="15" t="str">
        <f>IF(AND($E$444&gt;=$B460,$C$76&lt;&gt;"なし",入力シート!O467&lt;&gt;""),DBCS(TEXT(入力シート!O467,"g")),"")</f>
        <v/>
      </c>
      <c r="J460" s="2"/>
      <c r="K460" s="15" t="str">
        <f>IF(AND($E$444&gt;=$B460,$C$76&lt;&gt;"なし",入力シート!O467&lt;&gt;""),TEXT(入力シート!O467,"e")*1,"")</f>
        <v/>
      </c>
      <c r="L460" s="2"/>
      <c r="M460" s="15" t="str">
        <f>IF(AND($E$444&gt;=$B460,$C$76&lt;&gt;"なし",入力シート!O467&lt;&gt;""),MONTH(入力シート!O467),"")</f>
        <v/>
      </c>
      <c r="N460" s="2"/>
      <c r="O460" s="15" t="str">
        <f>IF(AND($E$444&gt;=$B460,$C$76&lt;&gt;"なし",入力シート!O467&lt;&gt;""),DAY(入力シート!O467),"")</f>
        <v/>
      </c>
      <c r="P460" s="2"/>
      <c r="Q460" s="15" t="str">
        <f>IF(AND($E$444&gt;=$B460,$C$76&lt;&gt;"なし",入力シート!Q467&lt;&gt;"",入力シート!Q467="男"),"Ｍ",IF(AND($C$76&lt;&gt;"なし",入力シート!Q467&lt;&gt;"",入力シート!Q467="女"),"Ｆ",""))</f>
        <v/>
      </c>
      <c r="R460" s="2"/>
      <c r="S460" s="23"/>
      <c r="T460" s="23"/>
      <c r="U460" s="23"/>
      <c r="V460" s="23"/>
      <c r="W460" s="23"/>
      <c r="X460" s="23"/>
      <c r="Y460" s="23"/>
    </row>
    <row r="461" spans="1:25" ht="5.0999999999999996" customHeight="1" thickBot="1" x14ac:dyDescent="0.2">
      <c r="A461" s="23"/>
      <c r="B461" s="2"/>
      <c r="C461" s="64"/>
      <c r="D461" s="64"/>
      <c r="E461" s="64"/>
      <c r="F461" s="64"/>
      <c r="G461" s="64"/>
      <c r="H461" s="64"/>
      <c r="I461" s="64"/>
      <c r="J461" s="64"/>
      <c r="K461" s="64"/>
      <c r="L461" s="64"/>
      <c r="M461" s="64"/>
      <c r="N461" s="64"/>
      <c r="O461" s="64"/>
      <c r="P461" s="64"/>
      <c r="Q461" s="64"/>
      <c r="R461" s="2"/>
      <c r="S461" s="23"/>
      <c r="T461" s="23"/>
      <c r="U461" s="23"/>
      <c r="V461" s="23"/>
      <c r="W461" s="23"/>
      <c r="X461" s="23"/>
      <c r="Y461" s="23"/>
    </row>
    <row r="462" spans="1:25" ht="14.25" thickBot="1" x14ac:dyDescent="0.2">
      <c r="A462" s="23"/>
      <c r="B462" s="16">
        <v>7</v>
      </c>
      <c r="C462" s="15" t="str">
        <f>IF(AND($E$444&gt;=$B462,入力シート!C459&lt;&gt;"",$C$76&lt;&gt;"なし"),入力シート!C469,"")</f>
        <v/>
      </c>
      <c r="D462" s="2"/>
      <c r="E462" s="15" t="str">
        <f>IF(AND($E$444&gt;=$B462,$C$76&lt;&gt;"なし",入力シート!F469&lt;&gt;"",入力シート!I469&lt;&gt;""),入力シート!F469&amp;"　"&amp;入力シート!I469,"")</f>
        <v/>
      </c>
      <c r="F462" s="2"/>
      <c r="G462" s="15" t="str">
        <f>IF(AND($E$444&gt;=$B462,$C$76&lt;&gt;"なし",入力シート!K469&lt;&gt;"",入力シート!M469&lt;&gt;""),入力シート!K469&amp;"　"&amp;入力シート!M469,"")</f>
        <v/>
      </c>
      <c r="H462" s="2"/>
      <c r="I462" s="15" t="str">
        <f>IF(AND($E$444&gt;=$B462,$C$76&lt;&gt;"なし",入力シート!O469&lt;&gt;""),DBCS(TEXT(入力シート!O469,"g")),"")</f>
        <v/>
      </c>
      <c r="J462" s="2"/>
      <c r="K462" s="15" t="str">
        <f>IF(AND($E$444&gt;=$B462,$C$76&lt;&gt;"なし",入力シート!O469&lt;&gt;""),TEXT(入力シート!O469,"e")*1,"")</f>
        <v/>
      </c>
      <c r="L462" s="2"/>
      <c r="M462" s="15" t="str">
        <f>IF(AND($E$444&gt;=$B462,$C$76&lt;&gt;"なし",入力シート!O469&lt;&gt;""),MONTH(入力シート!O469),"")</f>
        <v/>
      </c>
      <c r="N462" s="2"/>
      <c r="O462" s="15" t="str">
        <f>IF(AND($E$444&gt;=$B462,$C$76&lt;&gt;"なし",入力シート!O469&lt;&gt;""),DAY(入力シート!O469),"")</f>
        <v/>
      </c>
      <c r="P462" s="2"/>
      <c r="Q462" s="15" t="str">
        <f>IF(AND($E$444&gt;=$B462,$C$76&lt;&gt;"なし",入力シート!Q469&lt;&gt;"",入力シート!Q469="男"),"Ｍ",IF(AND($C$76&lt;&gt;"なし",入力シート!Q469&lt;&gt;"",入力シート!Q469="女"),"Ｆ",""))</f>
        <v/>
      </c>
      <c r="R462" s="2"/>
      <c r="S462" s="23"/>
      <c r="T462" s="23"/>
      <c r="U462" s="23"/>
      <c r="V462" s="23"/>
      <c r="W462" s="23"/>
      <c r="X462" s="23"/>
      <c r="Y462" s="23"/>
    </row>
    <row r="463" spans="1:25" ht="5.0999999999999996" customHeight="1" thickBot="1" x14ac:dyDescent="0.2">
      <c r="A463" s="23"/>
      <c r="B463" s="2"/>
      <c r="C463" s="64"/>
      <c r="D463" s="64"/>
      <c r="E463" s="64"/>
      <c r="F463" s="64"/>
      <c r="G463" s="64"/>
      <c r="H463" s="64"/>
      <c r="I463" s="64"/>
      <c r="J463" s="64"/>
      <c r="K463" s="64"/>
      <c r="L463" s="64"/>
      <c r="M463" s="64"/>
      <c r="N463" s="64"/>
      <c r="O463" s="64"/>
      <c r="P463" s="64"/>
      <c r="Q463" s="64"/>
      <c r="R463" s="2"/>
      <c r="S463" s="23"/>
      <c r="T463" s="23"/>
      <c r="U463" s="23"/>
      <c r="V463" s="23"/>
      <c r="W463" s="23"/>
      <c r="X463" s="23"/>
      <c r="Y463" s="23"/>
    </row>
    <row r="464" spans="1:25" ht="14.25" thickBot="1" x14ac:dyDescent="0.2">
      <c r="A464" s="23"/>
      <c r="B464" s="16">
        <v>8</v>
      </c>
      <c r="C464" s="15" t="str">
        <f>IF(AND($E$444&gt;=$B464,入力シート!C459&lt;&gt;"",$C$76&lt;&gt;"なし"),入力シート!C471,"")</f>
        <v/>
      </c>
      <c r="D464" s="2"/>
      <c r="E464" s="15" t="str">
        <f>IF(AND($E$444&gt;=$B464,$C$76&lt;&gt;"なし",入力シート!F471&lt;&gt;"",入力シート!I471&lt;&gt;""),入力シート!F471&amp;"　"&amp;入力シート!I471,"")</f>
        <v/>
      </c>
      <c r="F464" s="2"/>
      <c r="G464" s="15" t="str">
        <f>IF(AND($E$444&gt;=$B464,$C$76&lt;&gt;"なし",入力シート!K471&lt;&gt;"",入力シート!M471&lt;&gt;""),入力シート!K471&amp;"　"&amp;入力シート!M471,"")</f>
        <v/>
      </c>
      <c r="H464" s="2"/>
      <c r="I464" s="15" t="str">
        <f>IF(AND($E$444&gt;=$B464,$C$76&lt;&gt;"なし",入力シート!O471&lt;&gt;""),DBCS(TEXT(入力シート!O471,"g")),"")</f>
        <v/>
      </c>
      <c r="J464" s="2"/>
      <c r="K464" s="15" t="str">
        <f>IF(AND($E$444&gt;=$B464,$C$76&lt;&gt;"なし",入力シート!O471&lt;&gt;""),TEXT(入力シート!O471,"e")*1,"")</f>
        <v/>
      </c>
      <c r="L464" s="2"/>
      <c r="M464" s="15" t="str">
        <f>IF(AND($E$444&gt;=$B464,$C$76&lt;&gt;"なし",入力シート!O471&lt;&gt;""),MONTH(入力シート!O471),"")</f>
        <v/>
      </c>
      <c r="N464" s="2"/>
      <c r="O464" s="15" t="str">
        <f>IF(AND($E$444&gt;=$B464,$C$76&lt;&gt;"なし",入力シート!O471&lt;&gt;""),DAY(入力シート!O471),"")</f>
        <v/>
      </c>
      <c r="P464" s="2"/>
      <c r="Q464" s="15" t="str">
        <f>IF(AND($E$444&gt;=$B464,$C$76&lt;&gt;"なし",入力シート!Q471&lt;&gt;"",入力シート!Q471="男"),"Ｍ",IF(AND($C$76&lt;&gt;"なし",入力シート!Q471&lt;&gt;"",入力シート!Q471="女"),"Ｆ",""))</f>
        <v/>
      </c>
      <c r="R464" s="2"/>
      <c r="S464" s="23"/>
      <c r="T464" s="23"/>
      <c r="U464" s="23"/>
      <c r="V464" s="23"/>
      <c r="W464" s="23"/>
      <c r="X464" s="23"/>
      <c r="Y464" s="23"/>
    </row>
    <row r="465" spans="1:25" ht="5.0999999999999996" customHeight="1" thickBot="1" x14ac:dyDescent="0.2">
      <c r="A465" s="23"/>
      <c r="B465" s="2"/>
      <c r="C465" s="64"/>
      <c r="D465" s="64"/>
      <c r="E465" s="64"/>
      <c r="F465" s="64"/>
      <c r="G465" s="64"/>
      <c r="H465" s="64"/>
      <c r="I465" s="64"/>
      <c r="J465" s="64"/>
      <c r="K465" s="64"/>
      <c r="L465" s="64"/>
      <c r="M465" s="64"/>
      <c r="N465" s="64"/>
      <c r="O465" s="64"/>
      <c r="P465" s="64"/>
      <c r="Q465" s="64"/>
      <c r="R465" s="2"/>
      <c r="S465" s="23"/>
      <c r="T465" s="23"/>
      <c r="U465" s="23"/>
      <c r="V465" s="23"/>
      <c r="W465" s="23"/>
      <c r="X465" s="23"/>
      <c r="Y465" s="23"/>
    </row>
    <row r="466" spans="1:25" ht="14.25" thickBot="1" x14ac:dyDescent="0.2">
      <c r="A466" s="23"/>
      <c r="B466" s="16">
        <v>9</v>
      </c>
      <c r="C466" s="15" t="str">
        <f>IF(AND($E$444&gt;=$B466,入力シート!C473&lt;&gt;"",$C$76&lt;&gt;"なし"),入力シート!C473,"")</f>
        <v/>
      </c>
      <c r="D466" s="2"/>
      <c r="E466" s="15" t="str">
        <f>IF(AND($E$444&gt;=$B466,$C$76&lt;&gt;"なし",入力シート!F473&lt;&gt;"",入力シート!I473&lt;&gt;""),入力シート!F473&amp;"　"&amp;入力シート!I473,"")</f>
        <v/>
      </c>
      <c r="F466" s="2"/>
      <c r="G466" s="15" t="str">
        <f>IF(AND($E$444&gt;=$B466,$C$76&lt;&gt;"なし",入力シート!K473&lt;&gt;"",入力シート!M473&lt;&gt;""),入力シート!K473&amp;"　"&amp;入力シート!M473,"")</f>
        <v/>
      </c>
      <c r="H466" s="2"/>
      <c r="I466" s="15" t="str">
        <f>IF(AND($E$444&gt;=$B466,$C$76&lt;&gt;"なし",入力シート!O473&lt;&gt;""),DBCS(TEXT(入力シート!O473,"g")),"")</f>
        <v/>
      </c>
      <c r="J466" s="2"/>
      <c r="K466" s="15" t="str">
        <f>IF(AND($E$444&gt;=$B466,$C$76&lt;&gt;"なし",入力シート!O473&lt;&gt;""),TEXT(入力シート!O473,"e")*1,"")</f>
        <v/>
      </c>
      <c r="L466" s="2"/>
      <c r="M466" s="15" t="str">
        <f>IF(AND($E$444&gt;=$B466,$C$76&lt;&gt;"なし",入力シート!O473&lt;&gt;""),MONTH(入力シート!O473),"")</f>
        <v/>
      </c>
      <c r="N466" s="2"/>
      <c r="O466" s="15" t="str">
        <f>IF(AND($E$444&gt;=$B466,$C$76&lt;&gt;"なし",入力シート!O473&lt;&gt;""),DAY(入力シート!O473),"")</f>
        <v/>
      </c>
      <c r="P466" s="2"/>
      <c r="Q466" s="15" t="str">
        <f>IF(AND($E$444&gt;=$B466,$C$76&lt;&gt;"なし",入力シート!Q473&lt;&gt;"",入力シート!Q473="男"),"Ｍ",IF(AND($C$76&lt;&gt;"なし",入力シート!Q473&lt;&gt;"",入力シート!Q473="女"),"Ｆ",""))</f>
        <v/>
      </c>
      <c r="R466" s="2"/>
      <c r="S466" s="23"/>
      <c r="T466" s="23"/>
      <c r="U466" s="23"/>
      <c r="V466" s="23"/>
      <c r="W466" s="23"/>
      <c r="X466" s="23"/>
      <c r="Y466" s="23"/>
    </row>
    <row r="467" spans="1:25" ht="5.0999999999999996" customHeight="1" thickBot="1" x14ac:dyDescent="0.2">
      <c r="A467" s="23"/>
      <c r="B467" s="2"/>
      <c r="C467" s="64"/>
      <c r="D467" s="64"/>
      <c r="E467" s="64"/>
      <c r="F467" s="64"/>
      <c r="G467" s="64"/>
      <c r="H467" s="64"/>
      <c r="I467" s="64"/>
      <c r="J467" s="64"/>
      <c r="K467" s="64"/>
      <c r="L467" s="64"/>
      <c r="M467" s="64"/>
      <c r="N467" s="64"/>
      <c r="O467" s="64"/>
      <c r="P467" s="64"/>
      <c r="Q467" s="64"/>
      <c r="R467" s="2"/>
      <c r="S467" s="23"/>
      <c r="T467" s="23"/>
      <c r="U467" s="23"/>
      <c r="V467" s="23"/>
      <c r="W467" s="23"/>
      <c r="X467" s="23"/>
      <c r="Y467" s="23"/>
    </row>
    <row r="468" spans="1:25" ht="14.25" thickBot="1" x14ac:dyDescent="0.2">
      <c r="A468" s="23"/>
      <c r="B468" s="16">
        <v>10</v>
      </c>
      <c r="C468" s="15" t="str">
        <f>IF(AND($E$444&gt;=$B468,入力シート!C475&lt;&gt;"",$C$76&lt;&gt;"なし"),入力シート!C475,"")</f>
        <v/>
      </c>
      <c r="D468" s="2"/>
      <c r="E468" s="15" t="str">
        <f>IF(AND($E$444&gt;=$B468,$C$76&lt;&gt;"なし",入力シート!F475&lt;&gt;"",入力シート!I475&lt;&gt;""),入力シート!F475&amp;"　"&amp;入力シート!I475,"")</f>
        <v/>
      </c>
      <c r="F468" s="2"/>
      <c r="G468" s="15" t="str">
        <f>IF(AND($E$444&gt;=$B468,$C$76&lt;&gt;"なし",入力シート!K475&lt;&gt;"",入力シート!M475&lt;&gt;""),入力シート!K475&amp;"　"&amp;入力シート!M475,"")</f>
        <v/>
      </c>
      <c r="H468" s="2"/>
      <c r="I468" s="15" t="str">
        <f>IF(AND($E$444&gt;=$B468,$C$76&lt;&gt;"なし",入力シート!O475&lt;&gt;""),DBCS(TEXT(入力シート!O475,"g")),"")</f>
        <v/>
      </c>
      <c r="J468" s="2"/>
      <c r="K468" s="15" t="str">
        <f>IF(AND($E$444&gt;=$B468,$C$76&lt;&gt;"なし",入力シート!O475&lt;&gt;""),TEXT(入力シート!O475,"e")*1,"")</f>
        <v/>
      </c>
      <c r="L468" s="2"/>
      <c r="M468" s="15" t="str">
        <f>IF(AND($E$444&gt;=$B468,$C$76&lt;&gt;"なし",入力シート!O475&lt;&gt;""),MONTH(入力シート!O475),"")</f>
        <v/>
      </c>
      <c r="N468" s="2"/>
      <c r="O468" s="15" t="str">
        <f>IF(AND($E$444&gt;=$B468,$C$76&lt;&gt;"なし",入力シート!O475&lt;&gt;""),DAY(入力シート!O475),"")</f>
        <v/>
      </c>
      <c r="P468" s="2"/>
      <c r="Q468" s="15" t="str">
        <f>IF(AND($E$444&gt;=$B468,$C$76&lt;&gt;"なし",入力シート!Q475&lt;&gt;"",入力シート!Q475="男"),"Ｍ",IF(AND($C$76&lt;&gt;"なし",入力シート!Q475&lt;&gt;"",入力シート!Q475="女"),"Ｆ",""))</f>
        <v/>
      </c>
      <c r="R468" s="2"/>
      <c r="S468" s="23"/>
      <c r="T468" s="23"/>
      <c r="U468" s="23"/>
      <c r="V468" s="23"/>
      <c r="W468" s="23"/>
      <c r="X468" s="23"/>
      <c r="Y468" s="23"/>
    </row>
    <row r="469" spans="1:25" ht="5.0999999999999996" customHeight="1" thickBot="1" x14ac:dyDescent="0.2">
      <c r="A469" s="23"/>
      <c r="B469" s="2"/>
      <c r="C469" s="64"/>
      <c r="D469" s="64"/>
      <c r="E469" s="64"/>
      <c r="F469" s="64"/>
      <c r="G469" s="64"/>
      <c r="H469" s="64"/>
      <c r="I469" s="64"/>
      <c r="J469" s="64"/>
      <c r="K469" s="64"/>
      <c r="L469" s="64"/>
      <c r="M469" s="64"/>
      <c r="N469" s="64"/>
      <c r="O469" s="64"/>
      <c r="P469" s="64"/>
      <c r="Q469" s="64"/>
      <c r="R469" s="2"/>
      <c r="S469" s="23"/>
      <c r="T469" s="23"/>
      <c r="U469" s="23"/>
      <c r="V469" s="23"/>
      <c r="W469" s="23"/>
      <c r="X469" s="23"/>
      <c r="Y469" s="23"/>
    </row>
    <row r="470" spans="1:25" ht="14.25" thickBot="1" x14ac:dyDescent="0.2">
      <c r="A470" s="23"/>
      <c r="B470" s="16">
        <v>11</v>
      </c>
      <c r="C470" s="15" t="str">
        <f>IF(AND($E$444&gt;=$B470,入力シート!C477&lt;&gt;"",$C$76&lt;&gt;"なし"),入力シート!C477,"")</f>
        <v/>
      </c>
      <c r="D470" s="2"/>
      <c r="E470" s="15" t="str">
        <f>IF(AND($E$444&gt;=$B470,$C$76&lt;&gt;"なし",入力シート!F477&lt;&gt;"",入力シート!I477&lt;&gt;""),入力シート!F477&amp;"　"&amp;入力シート!I477,"")</f>
        <v/>
      </c>
      <c r="F470" s="2"/>
      <c r="G470" s="15" t="str">
        <f>IF(AND($E$444&gt;=$B470,$C$76&lt;&gt;"なし",入力シート!K477&lt;&gt;"",入力シート!M477&lt;&gt;""),入力シート!K477&amp;"　"&amp;入力シート!M477,"")</f>
        <v/>
      </c>
      <c r="H470" s="2"/>
      <c r="I470" s="15" t="str">
        <f>IF(AND($E$444&gt;=$B470,$C$76&lt;&gt;"なし",入力シート!O477&lt;&gt;""),DBCS(TEXT(入力シート!O477,"g")),"")</f>
        <v/>
      </c>
      <c r="J470" s="2"/>
      <c r="K470" s="15" t="str">
        <f>IF(AND($E$444&gt;=$B470,$C$76&lt;&gt;"なし",入力シート!O477&lt;&gt;""),TEXT(入力シート!O477,"e")*1,"")</f>
        <v/>
      </c>
      <c r="L470" s="2"/>
      <c r="M470" s="15" t="str">
        <f>IF(AND($E$444&gt;=$B470,$C$76&lt;&gt;"なし",入力シート!O477&lt;&gt;""),MONTH(入力シート!O477),"")</f>
        <v/>
      </c>
      <c r="N470" s="2"/>
      <c r="O470" s="15" t="str">
        <f>IF(AND($E$444&gt;=$B470,$C$76&lt;&gt;"なし",入力シート!O477&lt;&gt;""),DAY(入力シート!O477),"")</f>
        <v/>
      </c>
      <c r="P470" s="2"/>
      <c r="Q470" s="15" t="str">
        <f>IF(AND($E$444&gt;=$B470,$C$76&lt;&gt;"なし",入力シート!Q477&lt;&gt;"",入力シート!Q477="男"),"Ｍ",IF(AND($C$76&lt;&gt;"なし",入力シート!Q477&lt;&gt;"",入力シート!Q477="女"),"Ｆ",""))</f>
        <v/>
      </c>
      <c r="R470" s="2"/>
      <c r="S470" s="23"/>
      <c r="T470" s="23"/>
      <c r="U470" s="23"/>
      <c r="V470" s="23"/>
      <c r="W470" s="23"/>
      <c r="X470" s="23"/>
      <c r="Y470" s="23"/>
    </row>
    <row r="471" spans="1:25" ht="5.0999999999999996" customHeight="1" thickBot="1" x14ac:dyDescent="0.2">
      <c r="A471" s="23"/>
      <c r="B471" s="2"/>
      <c r="C471" s="64"/>
      <c r="D471" s="64"/>
      <c r="E471" s="64"/>
      <c r="F471" s="64"/>
      <c r="G471" s="64"/>
      <c r="H471" s="64"/>
      <c r="I471" s="64"/>
      <c r="J471" s="64"/>
      <c r="K471" s="64"/>
      <c r="L471" s="64"/>
      <c r="M471" s="64"/>
      <c r="N471" s="64"/>
      <c r="O471" s="64"/>
      <c r="P471" s="64"/>
      <c r="Q471" s="64"/>
      <c r="R471" s="2"/>
      <c r="S471" s="23"/>
      <c r="T471" s="23"/>
      <c r="U471" s="23"/>
      <c r="V471" s="23"/>
      <c r="W471" s="23"/>
      <c r="X471" s="23"/>
      <c r="Y471" s="23"/>
    </row>
    <row r="472" spans="1:25" ht="14.25" thickBot="1" x14ac:dyDescent="0.2">
      <c r="A472" s="23"/>
      <c r="B472" s="16">
        <v>12</v>
      </c>
      <c r="C472" s="15" t="str">
        <f>IF(AND($E$444&gt;=$B472,入力シート!C479&lt;&gt;"",$C$76&lt;&gt;"なし"),入力シート!C479,"")</f>
        <v/>
      </c>
      <c r="D472" s="2"/>
      <c r="E472" s="15" t="str">
        <f>IF(AND($E$444&gt;=$B472,$C$76&lt;&gt;"なし",入力シート!F479&lt;&gt;"",入力シート!I479&lt;&gt;""),入力シート!F479&amp;"　"&amp;入力シート!I479,"")</f>
        <v/>
      </c>
      <c r="F472" s="2"/>
      <c r="G472" s="15" t="str">
        <f>IF(AND($E$444&gt;=$B472,$C$76&lt;&gt;"なし",入力シート!K479&lt;&gt;"",入力シート!M479&lt;&gt;""),入力シート!K479&amp;"　"&amp;入力シート!M479,"")</f>
        <v/>
      </c>
      <c r="H472" s="2"/>
      <c r="I472" s="15" t="str">
        <f>IF(AND($E$444&gt;=$B472,$C$76&lt;&gt;"なし",入力シート!O479&lt;&gt;""),DBCS(TEXT(入力シート!O479,"g")),"")</f>
        <v/>
      </c>
      <c r="J472" s="2"/>
      <c r="K472" s="15" t="str">
        <f>IF(AND($E$444&gt;=$B472,$C$76&lt;&gt;"なし",入力シート!O479&lt;&gt;""),TEXT(入力シート!O479,"e")*1,"")</f>
        <v/>
      </c>
      <c r="L472" s="2"/>
      <c r="M472" s="15" t="str">
        <f>IF(AND($E$444&gt;=$B472,$C$76&lt;&gt;"なし",入力シート!O479&lt;&gt;""),MONTH(入力シート!O479),"")</f>
        <v/>
      </c>
      <c r="N472" s="2"/>
      <c r="O472" s="15" t="str">
        <f>IF(AND($E$444&gt;=$B472,$C$76&lt;&gt;"なし",入力シート!O479&lt;&gt;""),DAY(入力シート!O479),"")</f>
        <v/>
      </c>
      <c r="P472" s="2"/>
      <c r="Q472" s="15" t="str">
        <f>IF(AND($E$444&gt;=$B472,$C$76&lt;&gt;"なし",入力シート!Q479&lt;&gt;"",入力シート!Q479="男"),"Ｍ",IF(AND($C$76&lt;&gt;"なし",入力シート!Q479&lt;&gt;"",入力シート!Q479="女"),"Ｆ",""))</f>
        <v/>
      </c>
      <c r="R472" s="2"/>
      <c r="S472" s="23"/>
      <c r="T472" s="23"/>
      <c r="U472" s="23"/>
      <c r="V472" s="23"/>
      <c r="W472" s="23"/>
      <c r="X472" s="23"/>
      <c r="Y472" s="23"/>
    </row>
    <row r="473" spans="1:25" ht="5.0999999999999996" customHeight="1" thickBot="1" x14ac:dyDescent="0.2">
      <c r="A473" s="23"/>
      <c r="B473" s="2"/>
      <c r="C473" s="64"/>
      <c r="D473" s="64"/>
      <c r="E473" s="64"/>
      <c r="F473" s="64"/>
      <c r="G473" s="64"/>
      <c r="H473" s="64"/>
      <c r="I473" s="64"/>
      <c r="J473" s="64"/>
      <c r="K473" s="64"/>
      <c r="L473" s="64"/>
      <c r="M473" s="64"/>
      <c r="N473" s="64"/>
      <c r="O473" s="64"/>
      <c r="P473" s="64"/>
      <c r="Q473" s="64"/>
      <c r="R473" s="2"/>
      <c r="S473" s="23"/>
      <c r="T473" s="23"/>
      <c r="U473" s="23"/>
      <c r="V473" s="23"/>
      <c r="W473" s="23"/>
      <c r="X473" s="23"/>
      <c r="Y473" s="23"/>
    </row>
    <row r="474" spans="1:25" ht="14.25" thickBot="1" x14ac:dyDescent="0.2">
      <c r="A474" s="23"/>
      <c r="B474" s="16">
        <v>13</v>
      </c>
      <c r="C474" s="15" t="str">
        <f>IF(AND($E$444&gt;=$B474,入力シート!C481&lt;&gt;"",$C$76&lt;&gt;"なし"),入力シート!C481,"")</f>
        <v/>
      </c>
      <c r="D474" s="2"/>
      <c r="E474" s="15" t="str">
        <f>IF(AND($E$444&gt;=$B474,$C$76&lt;&gt;"なし",入力シート!F481&lt;&gt;"",入力シート!I481&lt;&gt;""),入力シート!F481&amp;"　"&amp;入力シート!I481,"")</f>
        <v/>
      </c>
      <c r="F474" s="2"/>
      <c r="G474" s="15" t="str">
        <f>IF(AND($E$444&gt;=$B474,$C$76&lt;&gt;"なし",入力シート!K481&lt;&gt;"",入力シート!M481&lt;&gt;""),入力シート!K481&amp;"　"&amp;入力シート!M481,"")</f>
        <v/>
      </c>
      <c r="H474" s="2"/>
      <c r="I474" s="15" t="str">
        <f>IF(AND($E$444&gt;=$B474,$C$76&lt;&gt;"なし",入力シート!O481&lt;&gt;""),DBCS(TEXT(入力シート!O481,"g")),"")</f>
        <v/>
      </c>
      <c r="J474" s="2"/>
      <c r="K474" s="15" t="str">
        <f>IF(AND($E$444&gt;=$B474,$C$76&lt;&gt;"なし",入力シート!O481&lt;&gt;""),TEXT(入力シート!O481,"e")*1,"")</f>
        <v/>
      </c>
      <c r="L474" s="2"/>
      <c r="M474" s="15" t="str">
        <f>IF(AND($E$444&gt;=$B474,$C$76&lt;&gt;"なし",入力シート!O481&lt;&gt;""),MONTH(入力シート!O481),"")</f>
        <v/>
      </c>
      <c r="N474" s="2"/>
      <c r="O474" s="15" t="str">
        <f>IF(AND($E$444&gt;=$B474,$C$76&lt;&gt;"なし",入力シート!O481&lt;&gt;""),DAY(入力シート!O481),"")</f>
        <v/>
      </c>
      <c r="P474" s="2"/>
      <c r="Q474" s="15" t="str">
        <f>IF(AND($E$444&gt;=$B474,$C$76&lt;&gt;"なし",入力シート!Q481&lt;&gt;"",入力シート!Q481="男"),"Ｍ",IF(AND($C$76&lt;&gt;"なし",入力シート!Q481&lt;&gt;"",入力シート!Q481="女"),"Ｆ",""))</f>
        <v/>
      </c>
      <c r="R474" s="2"/>
      <c r="S474" s="23"/>
      <c r="T474" s="23"/>
      <c r="U474" s="23"/>
      <c r="V474" s="23"/>
      <c r="W474" s="23"/>
      <c r="X474" s="23"/>
      <c r="Y474" s="23"/>
    </row>
    <row r="475" spans="1:25" ht="5.0999999999999996" customHeight="1" thickBot="1" x14ac:dyDescent="0.2">
      <c r="A475" s="23"/>
      <c r="B475" s="2"/>
      <c r="C475" s="64"/>
      <c r="D475" s="64"/>
      <c r="E475" s="64"/>
      <c r="F475" s="64"/>
      <c r="G475" s="64"/>
      <c r="H475" s="64"/>
      <c r="I475" s="64"/>
      <c r="J475" s="64"/>
      <c r="K475" s="64"/>
      <c r="L475" s="64"/>
      <c r="M475" s="64"/>
      <c r="N475" s="64"/>
      <c r="O475" s="64"/>
      <c r="P475" s="64"/>
      <c r="Q475" s="64"/>
      <c r="R475" s="2"/>
      <c r="S475" s="23"/>
      <c r="T475" s="23"/>
      <c r="U475" s="23"/>
      <c r="V475" s="23"/>
      <c r="W475" s="23"/>
      <c r="X475" s="23"/>
      <c r="Y475" s="23"/>
    </row>
    <row r="476" spans="1:25" ht="14.25" thickBot="1" x14ac:dyDescent="0.2">
      <c r="A476" s="23"/>
      <c r="B476" s="16">
        <v>14</v>
      </c>
      <c r="C476" s="15" t="str">
        <f>IF(AND($E$444&gt;=$B476,入力シート!C483&lt;&gt;"",$C$76&lt;&gt;"なし"),入力シート!C483,"")</f>
        <v/>
      </c>
      <c r="D476" s="2"/>
      <c r="E476" s="15" t="str">
        <f>IF(AND($E$444&gt;=$B476,$C$76&lt;&gt;"なし",入力シート!F483&lt;&gt;"",入力シート!I483&lt;&gt;""),入力シート!F483&amp;"　"&amp;入力シート!I483,"")</f>
        <v/>
      </c>
      <c r="F476" s="2"/>
      <c r="G476" s="15" t="str">
        <f>IF(AND($E$444&gt;=$B476,$C$76&lt;&gt;"なし",入力シート!K483&lt;&gt;"",入力シート!M483&lt;&gt;""),入力シート!K483&amp;"　"&amp;入力シート!M483,"")</f>
        <v/>
      </c>
      <c r="H476" s="2"/>
      <c r="I476" s="15" t="str">
        <f>IF(AND($E$444&gt;=$B476,$C$76&lt;&gt;"なし",入力シート!O483&lt;&gt;""),DBCS(TEXT(入力シート!O483,"g")),"")</f>
        <v/>
      </c>
      <c r="J476" s="2"/>
      <c r="K476" s="15" t="str">
        <f>IF(AND($E$444&gt;=$B476,$C$76&lt;&gt;"なし",入力シート!O483&lt;&gt;""),TEXT(入力シート!O483,"e")*1,"")</f>
        <v/>
      </c>
      <c r="L476" s="2"/>
      <c r="M476" s="15" t="str">
        <f>IF(AND($E$444&gt;=$B476,$C$76&lt;&gt;"なし",入力シート!O483&lt;&gt;""),MONTH(入力シート!O483),"")</f>
        <v/>
      </c>
      <c r="N476" s="2"/>
      <c r="O476" s="15" t="str">
        <f>IF(AND($E$444&gt;=$B476,$C$76&lt;&gt;"なし",入力シート!O483&lt;&gt;""),DAY(入力シート!O483),"")</f>
        <v/>
      </c>
      <c r="P476" s="2"/>
      <c r="Q476" s="15" t="str">
        <f>IF(AND($E$444&gt;=$B476,$C$76&lt;&gt;"なし",入力シート!Q483&lt;&gt;"",入力シート!Q483="男"),"Ｍ",IF(AND($C$76&lt;&gt;"なし",入力シート!Q483&lt;&gt;"",入力シート!Q483="女"),"Ｆ",""))</f>
        <v/>
      </c>
      <c r="R476" s="2"/>
      <c r="S476" s="23"/>
      <c r="T476" s="23"/>
      <c r="U476" s="23"/>
      <c r="V476" s="23"/>
      <c r="W476" s="23"/>
      <c r="X476" s="23"/>
      <c r="Y476" s="23"/>
    </row>
    <row r="477" spans="1:25" ht="5.0999999999999996" customHeight="1" thickBot="1" x14ac:dyDescent="0.2">
      <c r="A477" s="23"/>
      <c r="B477" s="2"/>
      <c r="C477" s="64"/>
      <c r="D477" s="64"/>
      <c r="E477" s="64"/>
      <c r="F477" s="64"/>
      <c r="G477" s="64"/>
      <c r="H477" s="64"/>
      <c r="I477" s="64"/>
      <c r="J477" s="64"/>
      <c r="K477" s="64"/>
      <c r="L477" s="64"/>
      <c r="M477" s="64"/>
      <c r="N477" s="64"/>
      <c r="O477" s="64"/>
      <c r="P477" s="64"/>
      <c r="Q477" s="64"/>
      <c r="R477" s="2"/>
      <c r="S477" s="23"/>
      <c r="T477" s="23"/>
      <c r="U477" s="23"/>
      <c r="V477" s="23"/>
      <c r="W477" s="23"/>
      <c r="X477" s="23"/>
      <c r="Y477" s="23"/>
    </row>
    <row r="478" spans="1:25" ht="14.25" thickBot="1" x14ac:dyDescent="0.2">
      <c r="A478" s="23"/>
      <c r="B478" s="16">
        <v>15</v>
      </c>
      <c r="C478" s="15" t="str">
        <f>IF(AND($E$444&gt;=$B478,入力シート!C485&lt;&gt;"",$C$76&lt;&gt;"なし"),入力シート!C485,"")</f>
        <v/>
      </c>
      <c r="D478" s="2"/>
      <c r="E478" s="15" t="str">
        <f>IF(AND($E$444&gt;=$B478,$C$76&lt;&gt;"なし",入力シート!F485&lt;&gt;"",入力シート!I485&lt;&gt;""),入力シート!F485&amp;"　"&amp;入力シート!I485,"")</f>
        <v/>
      </c>
      <c r="F478" s="2"/>
      <c r="G478" s="15" t="str">
        <f>IF(AND($E$444&gt;=$B478,$C$76&lt;&gt;"なし",入力シート!K485&lt;&gt;"",入力シート!M485&lt;&gt;""),入力シート!K485&amp;"　"&amp;入力シート!M485,"")</f>
        <v/>
      </c>
      <c r="H478" s="2"/>
      <c r="I478" s="15" t="str">
        <f>IF(AND($E$444&gt;=$B478,$C$76&lt;&gt;"なし",入力シート!O485&lt;&gt;""),DBCS(TEXT(入力シート!O485,"g")),"")</f>
        <v/>
      </c>
      <c r="J478" s="2"/>
      <c r="K478" s="15" t="str">
        <f>IF(AND($E$444&gt;=$B478,$C$76&lt;&gt;"なし",入力シート!O485&lt;&gt;""),TEXT(入力シート!O485,"e")*1,"")</f>
        <v/>
      </c>
      <c r="L478" s="2"/>
      <c r="M478" s="15" t="str">
        <f>IF(AND($E$444&gt;=$B478,$C$76&lt;&gt;"なし",入力シート!O485&lt;&gt;""),MONTH(入力シート!O485),"")</f>
        <v/>
      </c>
      <c r="N478" s="2"/>
      <c r="O478" s="15" t="str">
        <f>IF(AND($E$444&gt;=$B478,$C$76&lt;&gt;"なし",入力シート!O485&lt;&gt;""),DAY(入力シート!O485),"")</f>
        <v/>
      </c>
      <c r="P478" s="2"/>
      <c r="Q478" s="15" t="str">
        <f>IF(AND($E$444&gt;=$B478,$C$76&lt;&gt;"なし",入力シート!Q485&lt;&gt;"",入力シート!Q485="男"),"Ｍ",IF(AND($C$76&lt;&gt;"なし",入力シート!Q485&lt;&gt;"",入力シート!Q485="女"),"Ｆ",""))</f>
        <v/>
      </c>
      <c r="R478" s="2"/>
      <c r="S478" s="23"/>
      <c r="T478" s="23"/>
      <c r="U478" s="23"/>
      <c r="V478" s="23"/>
      <c r="W478" s="23"/>
      <c r="X478" s="23"/>
      <c r="Y478" s="23"/>
    </row>
    <row r="479" spans="1:25" ht="5.0999999999999996" customHeight="1" x14ac:dyDescent="0.15">
      <c r="A479" s="23"/>
      <c r="B479" s="2"/>
      <c r="C479" s="2"/>
      <c r="D479" s="2"/>
      <c r="E479" s="2"/>
      <c r="F479" s="2"/>
      <c r="G479" s="2"/>
      <c r="H479" s="2"/>
      <c r="I479" s="2"/>
      <c r="J479" s="2"/>
      <c r="K479" s="2"/>
      <c r="L479" s="2"/>
      <c r="M479" s="2"/>
      <c r="N479" s="2"/>
      <c r="O479" s="2"/>
      <c r="P479" s="2"/>
      <c r="Q479" s="2"/>
      <c r="R479" s="2"/>
      <c r="S479" s="23"/>
      <c r="T479" s="23"/>
      <c r="U479" s="23"/>
      <c r="V479" s="23"/>
      <c r="W479" s="23"/>
      <c r="X479" s="23"/>
      <c r="Y479" s="23"/>
    </row>
    <row r="480" spans="1:25" x14ac:dyDescent="0.15">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row>
    <row r="481" spans="1:25" ht="5.0999999999999996" customHeight="1" x14ac:dyDescent="0.15">
      <c r="A481" s="23"/>
      <c r="B481" s="4"/>
      <c r="C481" s="4"/>
      <c r="D481" s="4"/>
      <c r="E481" s="4"/>
      <c r="F481" s="4"/>
      <c r="G481" s="4"/>
      <c r="H481" s="4"/>
      <c r="I481" s="4"/>
      <c r="J481" s="4"/>
      <c r="K481" s="4"/>
      <c r="L481" s="4"/>
      <c r="M481" s="4"/>
      <c r="N481" s="4"/>
      <c r="O481" s="4"/>
      <c r="P481" s="4"/>
      <c r="Q481" s="4"/>
      <c r="R481" s="4"/>
      <c r="S481" s="23"/>
      <c r="T481" s="23"/>
      <c r="U481" s="23"/>
      <c r="V481" s="23"/>
      <c r="W481" s="23"/>
      <c r="X481" s="23"/>
      <c r="Y481" s="23"/>
    </row>
    <row r="482" spans="1:25" x14ac:dyDescent="0.15">
      <c r="A482" s="23"/>
      <c r="B482" s="4" t="s">
        <v>360</v>
      </c>
      <c r="C482" s="4"/>
      <c r="D482" s="4"/>
      <c r="E482" s="4"/>
      <c r="F482" s="4"/>
      <c r="G482" s="4"/>
      <c r="H482" s="4"/>
      <c r="I482" s="4"/>
      <c r="J482" s="4"/>
      <c r="K482" s="4"/>
      <c r="L482" s="4"/>
      <c r="M482" s="4"/>
      <c r="N482" s="4"/>
      <c r="O482" s="4"/>
      <c r="P482" s="4"/>
      <c r="Q482" s="4"/>
      <c r="R482" s="4"/>
      <c r="S482" s="23"/>
      <c r="T482" s="23"/>
      <c r="U482" s="23"/>
      <c r="V482" s="23"/>
      <c r="W482" s="23"/>
      <c r="X482" s="23"/>
      <c r="Y482" s="23"/>
    </row>
    <row r="483" spans="1:25" x14ac:dyDescent="0.15">
      <c r="A483" s="23"/>
      <c r="B483" s="4"/>
      <c r="C483" s="4" t="s">
        <v>93</v>
      </c>
      <c r="D483" s="4"/>
      <c r="E483" s="4"/>
      <c r="F483" s="4"/>
      <c r="G483" s="4"/>
      <c r="H483" s="4"/>
      <c r="I483" s="4"/>
      <c r="J483" s="4"/>
      <c r="K483" s="4"/>
      <c r="L483" s="4"/>
      <c r="M483" s="4"/>
      <c r="N483" s="4"/>
      <c r="O483" s="4"/>
      <c r="P483" s="4"/>
      <c r="Q483" s="4"/>
      <c r="R483" s="4"/>
      <c r="S483" s="23"/>
      <c r="T483" s="23"/>
      <c r="U483" s="23"/>
      <c r="V483" s="23"/>
      <c r="W483" s="23"/>
      <c r="X483" s="23"/>
      <c r="Y483" s="23"/>
    </row>
    <row r="484" spans="1:25" ht="5.0999999999999996" customHeight="1" thickBot="1" x14ac:dyDescent="0.2">
      <c r="A484" s="23"/>
      <c r="B484" s="4"/>
      <c r="C484" s="4"/>
      <c r="D484" s="4"/>
      <c r="E484" s="4"/>
      <c r="F484" s="4"/>
      <c r="G484" s="4"/>
      <c r="H484" s="4"/>
      <c r="I484" s="4"/>
      <c r="J484" s="4"/>
      <c r="K484" s="4"/>
      <c r="L484" s="4"/>
      <c r="M484" s="4"/>
      <c r="N484" s="4"/>
      <c r="O484" s="4"/>
      <c r="P484" s="4"/>
      <c r="Q484" s="4"/>
      <c r="R484" s="4"/>
      <c r="S484" s="23"/>
      <c r="T484" s="23"/>
      <c r="U484" s="23"/>
      <c r="V484" s="23"/>
      <c r="W484" s="23"/>
      <c r="X484" s="23"/>
      <c r="Y484" s="23"/>
    </row>
    <row r="485" spans="1:25" ht="14.25" thickBot="1" x14ac:dyDescent="0.2">
      <c r="A485" s="23"/>
      <c r="B485" s="4"/>
      <c r="C485" s="8" t="b">
        <f>IF(AND(I145&gt;=1,C116=TRUE,I145&lt;&gt;""),TRUE,FALSE)</f>
        <v>0</v>
      </c>
      <c r="D485" s="4"/>
      <c r="E485" s="4"/>
      <c r="F485" s="4"/>
      <c r="G485" s="4"/>
      <c r="H485" s="4"/>
      <c r="I485" s="4"/>
      <c r="J485" s="4"/>
      <c r="K485" s="4"/>
      <c r="L485" s="4"/>
      <c r="M485" s="4"/>
      <c r="N485" s="4"/>
      <c r="O485" s="4"/>
      <c r="P485" s="4"/>
      <c r="Q485" s="4"/>
      <c r="R485" s="4"/>
      <c r="S485" s="23"/>
      <c r="T485" s="23"/>
      <c r="U485" s="23"/>
      <c r="V485" s="23"/>
      <c r="W485" s="23"/>
      <c r="X485" s="23"/>
      <c r="Y485" s="23"/>
    </row>
    <row r="486" spans="1:25" ht="5.0999999999999996" customHeight="1" x14ac:dyDescent="0.15">
      <c r="A486" s="23"/>
      <c r="B486" s="4"/>
      <c r="C486" s="4"/>
      <c r="D486" s="4"/>
      <c r="E486" s="4"/>
      <c r="F486" s="4"/>
      <c r="G486" s="4"/>
      <c r="H486" s="4"/>
      <c r="I486" s="4"/>
      <c r="J486" s="4"/>
      <c r="K486" s="4"/>
      <c r="L486" s="4"/>
      <c r="M486" s="4"/>
      <c r="N486" s="4"/>
      <c r="O486" s="4"/>
      <c r="P486" s="4"/>
      <c r="Q486" s="4"/>
      <c r="R486" s="4"/>
      <c r="S486" s="23"/>
      <c r="T486" s="23"/>
      <c r="U486" s="23"/>
      <c r="V486" s="23"/>
      <c r="W486" s="23"/>
      <c r="X486" s="23"/>
      <c r="Y486" s="23"/>
    </row>
    <row r="487" spans="1:25" x14ac:dyDescent="0.15">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row>
    <row r="488" spans="1:25" x14ac:dyDescent="0.15">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row>
    <row r="489" spans="1:25" x14ac:dyDescent="0.15">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row>
    <row r="490" spans="1:25" x14ac:dyDescent="0.15">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row>
    <row r="491" spans="1:25" x14ac:dyDescent="0.15">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row>
    <row r="492" spans="1:25" x14ac:dyDescent="0.15">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row>
    <row r="493" spans="1:25" x14ac:dyDescent="0.15">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row>
    <row r="494" spans="1:25" x14ac:dyDescent="0.15">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row>
  </sheetData>
  <sheetProtection selectLockedCells="1"/>
  <mergeCells count="123">
    <mergeCell ref="W49:Y49"/>
    <mergeCell ref="W88:Y88"/>
    <mergeCell ref="E53:L53"/>
    <mergeCell ref="O53:U53"/>
    <mergeCell ref="B2:R2"/>
    <mergeCell ref="C21:G21"/>
    <mergeCell ref="E45:L45"/>
    <mergeCell ref="E47:L47"/>
    <mergeCell ref="E49:L49"/>
    <mergeCell ref="E41:G41"/>
    <mergeCell ref="O45:U45"/>
    <mergeCell ref="O47:U47"/>
    <mergeCell ref="O49:U49"/>
    <mergeCell ref="C10:K10"/>
    <mergeCell ref="E13:G13"/>
    <mergeCell ref="E15:G15"/>
    <mergeCell ref="E51:L51"/>
    <mergeCell ref="O51:U51"/>
    <mergeCell ref="E57:L57"/>
    <mergeCell ref="E59:L59"/>
    <mergeCell ref="E61:L61"/>
    <mergeCell ref="E63:L63"/>
    <mergeCell ref="E65:L65"/>
    <mergeCell ref="E67:G67"/>
    <mergeCell ref="G241:I241"/>
    <mergeCell ref="G243:I243"/>
    <mergeCell ref="C137:R137"/>
    <mergeCell ref="O65:U65"/>
    <mergeCell ref="R116:V116"/>
    <mergeCell ref="R120:V120"/>
    <mergeCell ref="R130:V130"/>
    <mergeCell ref="O57:U57"/>
    <mergeCell ref="O59:U59"/>
    <mergeCell ref="O61:U61"/>
    <mergeCell ref="O63:U63"/>
    <mergeCell ref="R134:W134"/>
    <mergeCell ref="B71:C71"/>
    <mergeCell ref="E71:I71"/>
    <mergeCell ref="O71:T71"/>
    <mergeCell ref="B110:C110"/>
    <mergeCell ref="E104:L104"/>
    <mergeCell ref="O104:U104"/>
    <mergeCell ref="E106:G106"/>
    <mergeCell ref="E110:I110"/>
    <mergeCell ref="O110:T110"/>
    <mergeCell ref="E98:L98"/>
    <mergeCell ref="O98:U98"/>
    <mergeCell ref="E100:L100"/>
    <mergeCell ref="G373:K373"/>
    <mergeCell ref="G375:K375"/>
    <mergeCell ref="G377:M377"/>
    <mergeCell ref="G361:N361"/>
    <mergeCell ref="G387:K387"/>
    <mergeCell ref="G389:K389"/>
    <mergeCell ref="G391:M391"/>
    <mergeCell ref="G393:M393"/>
    <mergeCell ref="G379:M379"/>
    <mergeCell ref="G319:I319"/>
    <mergeCell ref="P367:V367"/>
    <mergeCell ref="P369:V369"/>
    <mergeCell ref="P357:V357"/>
    <mergeCell ref="P361:V361"/>
    <mergeCell ref="P363:V363"/>
    <mergeCell ref="G313:I313"/>
    <mergeCell ref="G315:I315"/>
    <mergeCell ref="G323:I323"/>
    <mergeCell ref="G325:I325"/>
    <mergeCell ref="G327:I327"/>
    <mergeCell ref="G329:I329"/>
    <mergeCell ref="G335:I335"/>
    <mergeCell ref="G337:I337"/>
    <mergeCell ref="G339:I339"/>
    <mergeCell ref="G343:I343"/>
    <mergeCell ref="G333:I333"/>
    <mergeCell ref="G357:N357"/>
    <mergeCell ref="G363:N363"/>
    <mergeCell ref="G367:N367"/>
    <mergeCell ref="G369:N369"/>
    <mergeCell ref="E80:G80"/>
    <mergeCell ref="E84:L84"/>
    <mergeCell ref="O84:U84"/>
    <mergeCell ref="E86:L86"/>
    <mergeCell ref="O86:U86"/>
    <mergeCell ref="E92:L92"/>
    <mergeCell ref="O92:U92"/>
    <mergeCell ref="D176:H176"/>
    <mergeCell ref="D166:H166"/>
    <mergeCell ref="D168:H168"/>
    <mergeCell ref="D170:H170"/>
    <mergeCell ref="D172:H172"/>
    <mergeCell ref="D174:H174"/>
    <mergeCell ref="O100:U100"/>
    <mergeCell ref="E102:L102"/>
    <mergeCell ref="O102:U102"/>
    <mergeCell ref="E88:L88"/>
    <mergeCell ref="O88:U88"/>
    <mergeCell ref="E90:L90"/>
    <mergeCell ref="O90:U90"/>
    <mergeCell ref="E96:L96"/>
    <mergeCell ref="O96:U96"/>
    <mergeCell ref="G271:I271"/>
    <mergeCell ref="G275:I275"/>
    <mergeCell ref="G317:I317"/>
    <mergeCell ref="G247:I247"/>
    <mergeCell ref="G245:I245"/>
    <mergeCell ref="G277:I277"/>
    <mergeCell ref="G279:I279"/>
    <mergeCell ref="G281:I281"/>
    <mergeCell ref="G283:I283"/>
    <mergeCell ref="G287:I287"/>
    <mergeCell ref="G289:I289"/>
    <mergeCell ref="G305:I305"/>
    <mergeCell ref="G307:I307"/>
    <mergeCell ref="G309:I309"/>
    <mergeCell ref="G255:I255"/>
    <mergeCell ref="G257:I257"/>
    <mergeCell ref="G259:I259"/>
    <mergeCell ref="G251:I251"/>
    <mergeCell ref="G253:I253"/>
    <mergeCell ref="G263:I263"/>
    <mergeCell ref="G265:I265"/>
    <mergeCell ref="G267:I267"/>
    <mergeCell ref="G269:I269"/>
  </mergeCells>
  <phoneticPr fontId="5"/>
  <conditionalFormatting sqref="K305">
    <cfRule type="expression" dxfId="609" priority="221">
      <formula>$K$305="　補助対象経費より金額が低くなっています。"</formula>
    </cfRule>
  </conditionalFormatting>
  <conditionalFormatting sqref="K307">
    <cfRule type="expression" dxfId="608" priority="220">
      <formula>$K307="　補助対象経費より金額が低くなっています。"</formula>
    </cfRule>
  </conditionalFormatting>
  <conditionalFormatting sqref="K313">
    <cfRule type="expression" dxfId="607" priority="219">
      <formula>$K313="　補助対象経費より金額が低くなっています。"</formula>
    </cfRule>
  </conditionalFormatting>
  <conditionalFormatting sqref="K315">
    <cfRule type="expression" dxfId="606" priority="218">
      <formula>$K315="　補助対象経費より金額が低くなっています。"</formula>
    </cfRule>
  </conditionalFormatting>
  <conditionalFormatting sqref="K317">
    <cfRule type="expression" dxfId="605" priority="217">
      <formula>$K317="　補助対象経費より金額が低くなっています。"</formula>
    </cfRule>
  </conditionalFormatting>
  <conditionalFormatting sqref="K323">
    <cfRule type="expression" dxfId="604" priority="216">
      <formula>$K323="　補助対象経費より金額が低くなっています。"</formula>
    </cfRule>
  </conditionalFormatting>
  <conditionalFormatting sqref="K325">
    <cfRule type="expression" dxfId="603" priority="215">
      <formula>$K325="　補助対象経費より金額が低くなっています。"</formula>
    </cfRule>
  </conditionalFormatting>
  <conditionalFormatting sqref="K327">
    <cfRule type="expression" dxfId="602" priority="214">
      <formula>$K327="　補助対象経費より金額が低くなっています。"</formula>
    </cfRule>
  </conditionalFormatting>
  <conditionalFormatting sqref="K333">
    <cfRule type="expression" dxfId="601" priority="213">
      <formula>$K333="　補助対象経費より金額が低くなっています。"</formula>
    </cfRule>
  </conditionalFormatting>
  <conditionalFormatting sqref="K335">
    <cfRule type="expression" dxfId="600" priority="212">
      <formula>$K335="　補助対象経費より金額が低くなっています。"</formula>
    </cfRule>
  </conditionalFormatting>
  <conditionalFormatting sqref="K337">
    <cfRule type="expression" dxfId="599" priority="211">
      <formula>$K337="　補助対象経費より金額が低くなっています。"</formula>
    </cfRule>
  </conditionalFormatting>
  <conditionalFormatting sqref="L373">
    <cfRule type="expression" dxfId="598" priority="210">
      <formula>$L$373="　ハイフンを使用不可"</formula>
    </cfRule>
  </conditionalFormatting>
  <conditionalFormatting sqref="L375">
    <cfRule type="expression" dxfId="597" priority="209">
      <formula>$L$375="　ハイフンを使用不可"</formula>
    </cfRule>
  </conditionalFormatting>
  <conditionalFormatting sqref="C405:D405">
    <cfRule type="expression" dxfId="596" priority="201">
      <formula>$C$405="役員が16名以上の場合は、16人目以降の情報を「様式第1_別紙2（予備）」シートに直接入力してください。"</formula>
    </cfRule>
  </conditionalFormatting>
  <conditionalFormatting sqref="C446:D446">
    <cfRule type="expression" dxfId="595" priority="186">
      <formula>$C$446="役員が16名以上の場合は、16人目以降の情報を「様式第1_別紙2（予備）」シートに直接入力してください。"</formula>
    </cfRule>
  </conditionalFormatting>
  <conditionalFormatting sqref="C485">
    <cfRule type="expression" dxfId="594" priority="3519">
      <formula>#REF!=TRUE</formula>
    </cfRule>
  </conditionalFormatting>
  <conditionalFormatting sqref="L387">
    <cfRule type="expression" dxfId="593" priority="12">
      <formula>$L$373="　ハイフンを使用不可"</formula>
    </cfRule>
  </conditionalFormatting>
  <conditionalFormatting sqref="L389">
    <cfRule type="expression" dxfId="592" priority="11">
      <formula>$L$375="　ハイフンを使用不可"</formula>
    </cfRule>
  </conditionalFormatting>
  <conditionalFormatting sqref="G387:K387">
    <cfRule type="expression" dxfId="591" priority="10">
      <formula>$L$373="　ハイフンを使用不可"</formula>
    </cfRule>
  </conditionalFormatting>
  <conditionalFormatting sqref="G389:K389">
    <cfRule type="expression" dxfId="590" priority="9">
      <formula>$L$373="　ハイフンを使用不可"</formula>
    </cfRule>
  </conditionalFormatting>
  <conditionalFormatting sqref="G373:K373">
    <cfRule type="expression" dxfId="589" priority="2">
      <formula>$L$373="　ハイフンを使用不可"</formula>
    </cfRule>
  </conditionalFormatting>
  <conditionalFormatting sqref="G375:K375">
    <cfRule type="expression" dxfId="588" priority="1">
      <formula>$L$373="　ハイフンを使用不可"</formula>
    </cfRule>
  </conditionalFormatting>
  <dataValidations count="5">
    <dataValidation type="whole" imeMode="halfAlpha" allowBlank="1" showInputMessage="1" showErrorMessage="1" sqref="G241:I241 G253:I253 G265:I265 G243:I243 G251:I251 G255:I255 G279:I279 G267:I267 G263:I263 G275:I275 G277:I277" xr:uid="{00000000-0002-0000-0400-000000000000}">
      <formula1>0</formula1>
      <formula2>999999999999</formula2>
    </dataValidation>
    <dataValidation imeMode="hiragana" allowBlank="1" showInputMessage="1" showErrorMessage="1" sqref="E45:L45 E47:L47 C411:G437 O51:U51 E49:L49 E57:L57 E59:L59 E67:G67 G357:N357 E65:L65 G361:N361 G363:N363 G367:N367 G369:N369 C409:G409 E63:L63 C476 C450 E61:L61 J474 O88:U88 L474 J450 N474 L450 P474 N450 P450 O102:U102 O104:U104 O90:U90 E51:L51 O84:U84 E450:H450 C452 J476 L476 N476 E478:H478 E452:H452 C454 J452 L452 N452 P452 E454:H454 C456 J454 L454 N454 P454 E456:H456 C458 J456 L456 N456 P456 E458:H458 C460 J458 L458 N458 P458 E460:H460 C462 J460 L460 N460 P460 E462:H462 C464 J462 L462 N462 P462 E464:H464 C466 J464 L464 N464 P464 E466:H466 C468 J466 L466 N466 P466 E468:H468 C470 J468 L468 N468 P468 E470:H470 C472 J470 L470 N470 P470 E472:H472 C474 J472 L472 N472 P472 E474:H474 E476:H476 O45:U45 O49:U49 O47:U47 O86:U86 O57:U57 O59:U59 O61:U61 O63:U63 O65:U65 P367:V367 P363:V363 P361:V361 P357:V357 P369:V369 C137 E71:G71 O53:U53 O96:U96 O92:U92 E53:L53 O98:U98 O100:U100 C478 P476 J478 L478 N478 P478" xr:uid="{00000000-0002-0000-0400-000001000000}"/>
    <dataValidation imeMode="halfAlpha" allowBlank="1" showInputMessage="1" showErrorMessage="1" sqref="I29 M29 G373:K373 E29 I349 M349 E349 G389:K389 G387:K387 G375:K375" xr:uid="{00000000-0002-0000-0400-000002000000}"/>
    <dataValidation type="list" allowBlank="1" showInputMessage="1" showErrorMessage="1" sqref="F403" xr:uid="{00000000-0002-0000-0400-000003000000}">
      <formula1>"1,2,3,4,5,6,7,8,9,10,11,12,13,14,15,16以上"</formula1>
    </dataValidation>
    <dataValidation type="whole" allowBlank="1" showInputMessage="1" showErrorMessage="1" sqref="G247:I247 G245:I245 G259:I259 G287:I287 G281:I281 G271:I271 G257:I257 G283:I283 G289:I289 G269:I269" xr:uid="{00000000-0002-0000-0400-000004000000}">
      <formula1>0</formula1>
      <formula2>9.99999999999999E+28</formula2>
    </dataValidation>
  </dataValidation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1"/>
  </sheetPr>
  <dimension ref="A1:AE343"/>
  <sheetViews>
    <sheetView topLeftCell="A8" workbookViewId="0">
      <selection activeCell="E20" sqref="E20"/>
    </sheetView>
  </sheetViews>
  <sheetFormatPr defaultColWidth="9" defaultRowHeight="13.5" x14ac:dyDescent="0.15"/>
  <cols>
    <col min="1" max="1" width="0.875" style="1" customWidth="1"/>
    <col min="2" max="2" width="2.625" style="1" customWidth="1"/>
    <col min="3" max="3" width="9" style="1"/>
    <col min="4" max="4" width="0.875" style="1" customWidth="1"/>
    <col min="5" max="5" width="9" style="1"/>
    <col min="6" max="6" width="0.875" style="1" customWidth="1"/>
    <col min="7" max="7" width="9" style="1"/>
    <col min="8" max="8" width="0.875" style="1" customWidth="1"/>
    <col min="9" max="9" width="9" style="1"/>
    <col min="10" max="10" width="0.875" style="1" customWidth="1"/>
    <col min="11" max="11" width="9" style="1"/>
    <col min="12" max="12" width="0.875" style="1" customWidth="1"/>
    <col min="13" max="13" width="9" style="1"/>
    <col min="14" max="14" width="0.875" style="1" customWidth="1"/>
    <col min="15" max="15" width="9" style="1"/>
    <col min="16" max="16" width="0.875" style="1" customWidth="1"/>
    <col min="17" max="17" width="9" style="1" customWidth="1"/>
    <col min="18" max="18" width="0.875" style="1" customWidth="1"/>
    <col min="19" max="19" width="9" style="1"/>
    <col min="20" max="23" width="0.875" style="1" customWidth="1"/>
    <col min="24" max="16384" width="9" style="1"/>
  </cols>
  <sheetData>
    <row r="1" spans="1:28" x14ac:dyDescent="0.1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row>
    <row r="2" spans="1:28" ht="30" customHeight="1" x14ac:dyDescent="0.15">
      <c r="A2" s="23"/>
      <c r="B2" s="383" t="s">
        <v>133</v>
      </c>
      <c r="C2" s="384"/>
      <c r="D2" s="384"/>
      <c r="E2" s="384"/>
      <c r="F2" s="384"/>
      <c r="G2" s="384"/>
      <c r="H2" s="384"/>
      <c r="I2" s="384"/>
      <c r="J2" s="384"/>
      <c r="K2" s="384"/>
      <c r="L2" s="384"/>
      <c r="M2" s="384"/>
      <c r="N2" s="384"/>
      <c r="O2" s="384"/>
      <c r="P2" s="384"/>
      <c r="Q2" s="384"/>
      <c r="R2" s="384"/>
      <c r="S2" s="33"/>
      <c r="T2" s="33"/>
      <c r="U2" s="23"/>
      <c r="V2" s="23"/>
      <c r="W2" s="23"/>
      <c r="X2" s="42" t="s">
        <v>474</v>
      </c>
      <c r="Y2" s="23"/>
      <c r="Z2" s="23"/>
      <c r="AA2" s="23"/>
      <c r="AB2" s="23"/>
    </row>
    <row r="3" spans="1:28" ht="30" customHeight="1" x14ac:dyDescent="0.15">
      <c r="A3" s="23"/>
      <c r="B3" s="109"/>
      <c r="C3" s="110" t="str">
        <f>IF(COUNTIF(X3:X334,"NG")=0,"OK","NG")</f>
        <v>NG</v>
      </c>
      <c r="D3" s="109"/>
      <c r="E3" s="109"/>
      <c r="F3" s="109"/>
      <c r="G3" s="109"/>
      <c r="H3" s="109"/>
      <c r="I3" s="109"/>
      <c r="J3" s="109"/>
      <c r="K3" s="109"/>
      <c r="L3" s="109"/>
      <c r="M3" s="109"/>
      <c r="N3" s="109"/>
      <c r="O3" s="109"/>
      <c r="P3" s="109"/>
      <c r="Q3" s="109"/>
      <c r="R3" s="109"/>
      <c r="S3" s="109"/>
      <c r="T3" s="109"/>
      <c r="U3" s="23"/>
      <c r="V3" s="23"/>
      <c r="W3" s="23"/>
      <c r="X3" s="23"/>
      <c r="Y3" s="23"/>
      <c r="Z3" s="23"/>
      <c r="AA3" s="23"/>
      <c r="AB3" s="23"/>
    </row>
    <row r="4" spans="1:28" x14ac:dyDescent="0.15">
      <c r="A4" s="23"/>
      <c r="B4" s="23"/>
      <c r="C4" s="23"/>
      <c r="D4" s="23"/>
      <c r="E4" s="23"/>
      <c r="F4" s="23"/>
      <c r="G4" s="23"/>
      <c r="H4" s="23"/>
      <c r="I4" s="23"/>
      <c r="J4" s="23"/>
      <c r="K4" s="23"/>
      <c r="L4" s="23"/>
      <c r="M4" s="23"/>
      <c r="N4" s="23"/>
      <c r="O4" s="23"/>
      <c r="P4" s="23"/>
      <c r="Q4" s="31"/>
      <c r="R4" s="23"/>
      <c r="S4" s="31"/>
      <c r="T4" s="31"/>
      <c r="U4" s="23"/>
      <c r="V4" s="23"/>
      <c r="W4" s="23"/>
      <c r="X4" s="23"/>
      <c r="Y4" s="23"/>
      <c r="Z4" s="23"/>
      <c r="AA4" s="23"/>
      <c r="AB4" s="23"/>
    </row>
    <row r="5" spans="1:28" ht="5.0999999999999996" customHeight="1" x14ac:dyDescent="0.15">
      <c r="A5" s="23"/>
      <c r="B5" s="67"/>
      <c r="C5" s="69"/>
      <c r="D5" s="69"/>
      <c r="E5" s="69"/>
      <c r="F5" s="69"/>
      <c r="G5" s="67"/>
      <c r="H5" s="67"/>
      <c r="I5" s="67"/>
      <c r="J5" s="67"/>
      <c r="K5" s="67"/>
      <c r="L5" s="67"/>
      <c r="M5" s="67"/>
      <c r="N5" s="67"/>
      <c r="O5" s="67"/>
      <c r="P5" s="67"/>
      <c r="Q5" s="67"/>
      <c r="R5" s="67"/>
      <c r="S5" s="67"/>
      <c r="T5" s="67"/>
      <c r="U5" s="23"/>
      <c r="V5" s="23"/>
      <c r="W5" s="23"/>
      <c r="X5" s="42"/>
      <c r="Y5" s="23"/>
      <c r="Z5" s="23"/>
      <c r="AA5" s="23"/>
      <c r="AB5" s="23"/>
    </row>
    <row r="6" spans="1:28" x14ac:dyDescent="0.15">
      <c r="A6" s="23"/>
      <c r="B6" s="67" t="s">
        <v>302</v>
      </c>
      <c r="C6" s="67"/>
      <c r="D6" s="67"/>
      <c r="E6" s="67"/>
      <c r="F6" s="67"/>
      <c r="G6" s="67"/>
      <c r="H6" s="67"/>
      <c r="I6" s="67"/>
      <c r="J6" s="67"/>
      <c r="K6" s="67"/>
      <c r="L6" s="67"/>
      <c r="M6" s="67"/>
      <c r="N6" s="67"/>
      <c r="O6" s="67"/>
      <c r="P6" s="67"/>
      <c r="Q6" s="67"/>
      <c r="R6" s="67"/>
      <c r="S6" s="67"/>
      <c r="T6" s="67"/>
      <c r="U6" s="23"/>
      <c r="V6" s="23"/>
      <c r="W6" s="23"/>
      <c r="X6" s="42"/>
      <c r="Y6" s="23"/>
      <c r="Z6" s="23"/>
      <c r="AA6" s="23"/>
      <c r="AB6" s="23"/>
    </row>
    <row r="7" spans="1:28" ht="5.0999999999999996" customHeight="1" thickBot="1" x14ac:dyDescent="0.2">
      <c r="A7" s="23"/>
      <c r="B7" s="67"/>
      <c r="C7" s="67"/>
      <c r="D7" s="67"/>
      <c r="E7" s="67"/>
      <c r="F7" s="67"/>
      <c r="G7" s="67"/>
      <c r="H7" s="67"/>
      <c r="I7" s="67"/>
      <c r="J7" s="67"/>
      <c r="K7" s="67"/>
      <c r="L7" s="67"/>
      <c r="M7" s="67"/>
      <c r="N7" s="67"/>
      <c r="O7" s="67"/>
      <c r="P7" s="67"/>
      <c r="Q7" s="67"/>
      <c r="R7" s="67"/>
      <c r="S7" s="67"/>
      <c r="T7" s="67"/>
      <c r="U7" s="23"/>
      <c r="V7" s="23"/>
      <c r="W7" s="23"/>
      <c r="X7" s="42"/>
      <c r="Y7" s="23"/>
      <c r="Z7" s="23"/>
      <c r="AA7" s="23"/>
      <c r="AB7" s="23"/>
    </row>
    <row r="8" spans="1:28" ht="14.25" thickBot="1" x14ac:dyDescent="0.2">
      <c r="A8" s="23"/>
      <c r="B8" s="67"/>
      <c r="C8" s="67"/>
      <c r="D8" s="67"/>
      <c r="E8" s="32" t="str">
        <f>IF(入力シート!$C$10&lt;&gt;"","OK","NG")</f>
        <v>NG</v>
      </c>
      <c r="F8" s="67"/>
      <c r="G8" s="67"/>
      <c r="H8" s="67"/>
      <c r="I8" s="67"/>
      <c r="J8" s="67"/>
      <c r="K8" s="67"/>
      <c r="L8" s="67"/>
      <c r="M8" s="67"/>
      <c r="N8" s="67"/>
      <c r="O8" s="67"/>
      <c r="P8" s="67"/>
      <c r="Q8" s="67"/>
      <c r="R8" s="67"/>
      <c r="S8" s="67"/>
      <c r="T8" s="67"/>
      <c r="U8" s="23"/>
      <c r="V8" s="26"/>
      <c r="W8" s="26"/>
      <c r="X8" s="108" t="str">
        <f>E8</f>
        <v>NG</v>
      </c>
      <c r="Y8" s="23"/>
      <c r="Z8" s="23"/>
      <c r="AA8" s="23"/>
      <c r="AB8" s="23"/>
    </row>
    <row r="9" spans="1:28" ht="5.0999999999999996" customHeight="1" x14ac:dyDescent="0.15">
      <c r="A9" s="23"/>
      <c r="B9" s="67"/>
      <c r="C9" s="67"/>
      <c r="D9" s="67"/>
      <c r="E9" s="67"/>
      <c r="F9" s="67"/>
      <c r="G9" s="67"/>
      <c r="H9" s="67"/>
      <c r="I9" s="67"/>
      <c r="J9" s="67"/>
      <c r="K9" s="67"/>
      <c r="L9" s="67"/>
      <c r="M9" s="67"/>
      <c r="N9" s="67"/>
      <c r="O9" s="67"/>
      <c r="P9" s="67"/>
      <c r="Q9" s="67"/>
      <c r="R9" s="67"/>
      <c r="S9" s="67"/>
      <c r="T9" s="67"/>
      <c r="U9" s="23"/>
      <c r="V9" s="23"/>
      <c r="W9" s="23"/>
      <c r="X9" s="42"/>
      <c r="Y9" s="23"/>
      <c r="Z9" s="23"/>
      <c r="AA9" s="23"/>
      <c r="AB9" s="23"/>
    </row>
    <row r="10" spans="1:28" x14ac:dyDescent="0.15">
      <c r="A10" s="23"/>
      <c r="B10" s="23"/>
      <c r="C10" s="23"/>
      <c r="D10" s="23"/>
      <c r="E10" s="23"/>
      <c r="F10" s="23"/>
      <c r="G10" s="23"/>
      <c r="H10" s="23"/>
      <c r="I10" s="23"/>
      <c r="J10" s="23"/>
      <c r="K10" s="23"/>
      <c r="L10" s="23"/>
      <c r="M10" s="23"/>
      <c r="N10" s="23"/>
      <c r="O10" s="23"/>
      <c r="P10" s="23"/>
      <c r="Q10" s="31"/>
      <c r="R10" s="23"/>
      <c r="S10" s="31"/>
      <c r="T10" s="31"/>
      <c r="U10" s="23"/>
      <c r="V10" s="23"/>
      <c r="W10" s="23"/>
      <c r="X10" s="23"/>
      <c r="Y10" s="23"/>
      <c r="Z10" s="23"/>
      <c r="AA10" s="23"/>
      <c r="AB10" s="23"/>
    </row>
    <row r="11" spans="1:28" ht="5.0999999999999996" customHeight="1" x14ac:dyDescent="0.15">
      <c r="A11" s="23"/>
      <c r="B11" s="4"/>
      <c r="C11" s="4"/>
      <c r="D11" s="4"/>
      <c r="E11" s="4"/>
      <c r="F11" s="4"/>
      <c r="G11" s="4"/>
      <c r="H11" s="4"/>
      <c r="I11" s="4"/>
      <c r="J11" s="4"/>
      <c r="K11" s="4"/>
      <c r="L11" s="4"/>
      <c r="M11" s="4"/>
      <c r="N11" s="4"/>
      <c r="O11" s="4"/>
      <c r="P11" s="4"/>
      <c r="Q11" s="4"/>
      <c r="R11" s="4"/>
      <c r="S11" s="4"/>
      <c r="T11" s="4"/>
      <c r="U11" s="23"/>
      <c r="V11" s="23"/>
      <c r="W11" s="23"/>
      <c r="X11" s="23"/>
      <c r="Y11" s="23"/>
      <c r="Z11" s="23"/>
      <c r="AA11" s="23"/>
      <c r="AB11" s="23"/>
    </row>
    <row r="12" spans="1:28" x14ac:dyDescent="0.15">
      <c r="A12" s="23"/>
      <c r="B12" s="4" t="s">
        <v>113</v>
      </c>
      <c r="C12" s="4"/>
      <c r="D12" s="4"/>
      <c r="E12" s="4"/>
      <c r="F12" s="4"/>
      <c r="G12" s="4"/>
      <c r="H12" s="4"/>
      <c r="I12" s="4"/>
      <c r="J12" s="4"/>
      <c r="K12" s="4"/>
      <c r="L12" s="4"/>
      <c r="M12" s="4"/>
      <c r="N12" s="4"/>
      <c r="O12" s="4"/>
      <c r="P12" s="4"/>
      <c r="Q12" s="4"/>
      <c r="R12" s="4"/>
      <c r="S12" s="4"/>
      <c r="T12" s="4"/>
      <c r="U12" s="23"/>
      <c r="V12" s="23"/>
      <c r="W12" s="23"/>
      <c r="X12" s="23"/>
      <c r="Y12" s="23"/>
      <c r="Z12" s="23"/>
      <c r="AA12" s="23"/>
      <c r="AB12" s="23"/>
    </row>
    <row r="13" spans="1:28" ht="5.0999999999999996" customHeight="1" thickBot="1" x14ac:dyDescent="0.2">
      <c r="A13" s="23"/>
      <c r="B13" s="4"/>
      <c r="C13" s="4"/>
      <c r="D13" s="4"/>
      <c r="E13" s="4"/>
      <c r="F13" s="4"/>
      <c r="G13" s="4"/>
      <c r="H13" s="4"/>
      <c r="I13" s="4"/>
      <c r="J13" s="4"/>
      <c r="K13" s="4"/>
      <c r="L13" s="4"/>
      <c r="M13" s="4"/>
      <c r="N13" s="4"/>
      <c r="O13" s="4"/>
      <c r="P13" s="4"/>
      <c r="Q13" s="4"/>
      <c r="R13" s="4"/>
      <c r="S13" s="4"/>
      <c r="T13" s="4"/>
      <c r="U13" s="23"/>
      <c r="V13" s="23"/>
      <c r="W13" s="23"/>
      <c r="X13" s="23"/>
      <c r="Y13" s="23"/>
      <c r="Z13" s="23"/>
      <c r="AA13" s="23"/>
      <c r="AB13" s="23"/>
    </row>
    <row r="14" spans="1:28" ht="14.25" thickBot="1" x14ac:dyDescent="0.2">
      <c r="A14" s="23"/>
      <c r="B14" s="4"/>
      <c r="C14" s="4"/>
      <c r="D14" s="4"/>
      <c r="E14" s="32" t="str">
        <f>IF(入力シート!$C$17&lt;&gt;"","WRITED","SPACE")</f>
        <v>SPACE</v>
      </c>
      <c r="F14" s="4"/>
      <c r="G14" s="4"/>
      <c r="H14" s="4"/>
      <c r="I14" s="4"/>
      <c r="J14" s="4"/>
      <c r="K14" s="4"/>
      <c r="L14" s="4"/>
      <c r="M14" s="4"/>
      <c r="N14" s="4"/>
      <c r="O14" s="4"/>
      <c r="P14" s="4"/>
      <c r="Q14" s="4"/>
      <c r="R14" s="4"/>
      <c r="S14" s="4"/>
      <c r="T14" s="4"/>
      <c r="U14" s="23"/>
      <c r="V14" s="23"/>
      <c r="W14" s="23"/>
      <c r="X14" s="23"/>
      <c r="Y14" s="23"/>
      <c r="Z14" s="23"/>
      <c r="AA14" s="23"/>
      <c r="AB14" s="23"/>
    </row>
    <row r="15" spans="1:28" ht="5.0999999999999996" customHeight="1" x14ac:dyDescent="0.15">
      <c r="A15" s="23"/>
      <c r="B15" s="4"/>
      <c r="C15" s="5"/>
      <c r="D15" s="5"/>
      <c r="E15" s="5"/>
      <c r="F15" s="5"/>
      <c r="G15" s="4"/>
      <c r="H15" s="4"/>
      <c r="I15" s="4"/>
      <c r="J15" s="4"/>
      <c r="K15" s="4"/>
      <c r="L15" s="4"/>
      <c r="M15" s="4"/>
      <c r="N15" s="4"/>
      <c r="O15" s="4"/>
      <c r="P15" s="4"/>
      <c r="Q15" s="4"/>
      <c r="R15" s="4"/>
      <c r="S15" s="4"/>
      <c r="T15" s="4"/>
      <c r="U15" s="23"/>
      <c r="V15" s="23"/>
      <c r="W15" s="23"/>
      <c r="X15" s="23"/>
      <c r="Y15" s="23"/>
      <c r="Z15" s="23"/>
      <c r="AA15" s="23"/>
      <c r="AB15" s="23"/>
    </row>
    <row r="16" spans="1:28" x14ac:dyDescent="0.15">
      <c r="A16" s="23"/>
      <c r="B16" s="23"/>
      <c r="C16" s="25"/>
      <c r="D16" s="25"/>
      <c r="E16" s="25"/>
      <c r="F16" s="25"/>
      <c r="G16" s="23"/>
      <c r="H16" s="23"/>
      <c r="I16" s="23"/>
      <c r="J16" s="23"/>
      <c r="K16" s="23"/>
      <c r="L16" s="23"/>
      <c r="M16" s="23"/>
      <c r="N16" s="23"/>
      <c r="O16" s="23"/>
      <c r="P16" s="23"/>
      <c r="Q16" s="23"/>
      <c r="R16" s="23"/>
      <c r="S16" s="23"/>
      <c r="T16" s="23"/>
      <c r="U16" s="23"/>
      <c r="V16" s="23"/>
      <c r="W16" s="23"/>
      <c r="X16" s="23"/>
      <c r="Y16" s="23"/>
      <c r="Z16" s="23"/>
      <c r="AA16" s="23"/>
      <c r="AB16" s="23"/>
    </row>
    <row r="17" spans="1:28" ht="5.0999999999999996" customHeight="1" x14ac:dyDescent="0.15">
      <c r="A17" s="23"/>
      <c r="B17" s="2"/>
      <c r="C17" s="3"/>
      <c r="D17" s="3"/>
      <c r="E17" s="3"/>
      <c r="F17" s="3"/>
      <c r="G17" s="2"/>
      <c r="H17" s="2"/>
      <c r="I17" s="2"/>
      <c r="J17" s="2"/>
      <c r="K17" s="2"/>
      <c r="L17" s="2"/>
      <c r="M17" s="2"/>
      <c r="N17" s="2"/>
      <c r="O17" s="2"/>
      <c r="P17" s="2"/>
      <c r="Q17" s="2"/>
      <c r="R17" s="2"/>
      <c r="S17" s="2"/>
      <c r="T17" s="2"/>
      <c r="U17" s="23"/>
      <c r="V17" s="23"/>
      <c r="W17" s="23"/>
      <c r="X17" s="42"/>
      <c r="Y17" s="23"/>
      <c r="Z17" s="23"/>
      <c r="AA17" s="23"/>
      <c r="AB17" s="23"/>
    </row>
    <row r="18" spans="1:28" x14ac:dyDescent="0.15">
      <c r="A18" s="23"/>
      <c r="B18" s="2" t="s">
        <v>476</v>
      </c>
      <c r="C18" s="2"/>
      <c r="D18" s="2"/>
      <c r="E18" s="2"/>
      <c r="F18" s="2"/>
      <c r="G18" s="2"/>
      <c r="H18" s="2"/>
      <c r="I18" s="2"/>
      <c r="J18" s="2"/>
      <c r="K18" s="2"/>
      <c r="L18" s="2"/>
      <c r="M18" s="2"/>
      <c r="N18" s="2"/>
      <c r="O18" s="2"/>
      <c r="P18" s="2"/>
      <c r="Q18" s="2"/>
      <c r="R18" s="2"/>
      <c r="S18" s="2"/>
      <c r="T18" s="2"/>
      <c r="U18" s="23"/>
      <c r="V18" s="23"/>
      <c r="W18" s="23"/>
      <c r="X18" s="42"/>
      <c r="Y18" s="23"/>
      <c r="Z18" s="23"/>
      <c r="AA18" s="23"/>
      <c r="AB18" s="23"/>
    </row>
    <row r="19" spans="1:28" ht="5.0999999999999996" customHeight="1" thickBot="1" x14ac:dyDescent="0.2">
      <c r="A19" s="23"/>
      <c r="B19" s="2"/>
      <c r="C19" s="2"/>
      <c r="D19" s="2"/>
      <c r="E19" s="2"/>
      <c r="F19" s="2"/>
      <c r="G19" s="2"/>
      <c r="H19" s="2"/>
      <c r="I19" s="2"/>
      <c r="J19" s="2"/>
      <c r="K19" s="2"/>
      <c r="L19" s="2"/>
      <c r="M19" s="2"/>
      <c r="N19" s="2"/>
      <c r="O19" s="2"/>
      <c r="P19" s="2"/>
      <c r="Q19" s="2"/>
      <c r="R19" s="2"/>
      <c r="S19" s="2"/>
      <c r="T19" s="2"/>
      <c r="U19" s="23"/>
      <c r="V19" s="23"/>
      <c r="W19" s="23"/>
      <c r="X19" s="42"/>
      <c r="Y19" s="23"/>
      <c r="Z19" s="23"/>
      <c r="AA19" s="23"/>
      <c r="AB19" s="23"/>
    </row>
    <row r="20" spans="1:28" ht="14.25" thickBot="1" x14ac:dyDescent="0.2">
      <c r="A20" s="23"/>
      <c r="B20" s="2"/>
      <c r="C20" s="2"/>
      <c r="D20" s="2"/>
      <c r="E20" s="32" t="str">
        <f>IF(入力シート!$C$25&lt;&gt;"","OK","NG")</f>
        <v>NG</v>
      </c>
      <c r="F20" s="2"/>
      <c r="G20" s="2"/>
      <c r="H20" s="2"/>
      <c r="I20" s="2"/>
      <c r="J20" s="2"/>
      <c r="K20" s="2"/>
      <c r="L20" s="2"/>
      <c r="M20" s="2"/>
      <c r="N20" s="2"/>
      <c r="O20" s="2"/>
      <c r="P20" s="2"/>
      <c r="Q20" s="2"/>
      <c r="R20" s="2"/>
      <c r="S20" s="2"/>
      <c r="T20" s="2"/>
      <c r="U20" s="23"/>
      <c r="V20" s="26"/>
      <c r="W20" s="26"/>
      <c r="X20" s="108" t="str">
        <f>E20</f>
        <v>NG</v>
      </c>
      <c r="Y20" s="23"/>
      <c r="Z20" s="23"/>
      <c r="AA20" s="23"/>
      <c r="AB20" s="23"/>
    </row>
    <row r="21" spans="1:28" ht="5.0999999999999996" customHeight="1" x14ac:dyDescent="0.15">
      <c r="A21" s="23"/>
      <c r="B21" s="2"/>
      <c r="C21" s="2"/>
      <c r="D21" s="2"/>
      <c r="E21" s="2"/>
      <c r="F21" s="2"/>
      <c r="G21" s="2"/>
      <c r="H21" s="2"/>
      <c r="I21" s="2"/>
      <c r="J21" s="2"/>
      <c r="K21" s="2"/>
      <c r="L21" s="2"/>
      <c r="M21" s="2"/>
      <c r="N21" s="2"/>
      <c r="O21" s="2"/>
      <c r="P21" s="2"/>
      <c r="Q21" s="2"/>
      <c r="R21" s="2"/>
      <c r="S21" s="2"/>
      <c r="T21" s="2"/>
      <c r="U21" s="23"/>
      <c r="V21" s="23"/>
      <c r="W21" s="23"/>
      <c r="X21" s="42"/>
      <c r="Y21" s="23"/>
      <c r="Z21" s="23"/>
      <c r="AA21" s="23"/>
      <c r="AB21" s="23"/>
    </row>
    <row r="22" spans="1:28" x14ac:dyDescent="0.15">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row>
    <row r="23" spans="1:28" ht="5.0999999999999996" customHeight="1" x14ac:dyDescent="0.15">
      <c r="A23" s="23"/>
      <c r="B23" s="4"/>
      <c r="C23" s="4"/>
      <c r="D23" s="4"/>
      <c r="E23" s="4"/>
      <c r="F23" s="4"/>
      <c r="G23" s="4"/>
      <c r="H23" s="4"/>
      <c r="I23" s="4"/>
      <c r="J23" s="4"/>
      <c r="K23" s="4"/>
      <c r="L23" s="4"/>
      <c r="M23" s="4"/>
      <c r="N23" s="4"/>
      <c r="O23" s="4"/>
      <c r="P23" s="4"/>
      <c r="Q23" s="4"/>
      <c r="R23" s="4"/>
      <c r="S23" s="4"/>
      <c r="T23" s="4"/>
      <c r="U23" s="23"/>
      <c r="V23" s="23"/>
      <c r="W23" s="23"/>
      <c r="X23" s="42"/>
      <c r="Y23" s="23"/>
      <c r="Z23" s="23"/>
      <c r="AA23" s="23"/>
      <c r="AB23" s="23"/>
    </row>
    <row r="24" spans="1:28" x14ac:dyDescent="0.15">
      <c r="A24" s="23"/>
      <c r="B24" s="4" t="s">
        <v>134</v>
      </c>
      <c r="C24" s="4"/>
      <c r="D24" s="4"/>
      <c r="E24" s="4"/>
      <c r="F24" s="4"/>
      <c r="G24" s="4"/>
      <c r="H24" s="4"/>
      <c r="I24" s="4"/>
      <c r="J24" s="4"/>
      <c r="K24" s="4"/>
      <c r="L24" s="4"/>
      <c r="M24" s="4"/>
      <c r="N24" s="4"/>
      <c r="O24" s="4"/>
      <c r="P24" s="4"/>
      <c r="Q24" s="4"/>
      <c r="R24" s="4"/>
      <c r="S24" s="4"/>
      <c r="T24" s="4"/>
      <c r="U24" s="23"/>
      <c r="V24" s="23"/>
      <c r="W24" s="23"/>
      <c r="X24" s="42"/>
      <c r="Y24" s="23"/>
      <c r="Z24" s="23"/>
      <c r="AA24" s="23"/>
      <c r="AB24" s="23"/>
    </row>
    <row r="25" spans="1:28" ht="5.0999999999999996" customHeight="1" x14ac:dyDescent="0.15">
      <c r="A25" s="23"/>
      <c r="B25" s="4"/>
      <c r="C25" s="4"/>
      <c r="D25" s="4"/>
      <c r="E25" s="4"/>
      <c r="F25" s="4"/>
      <c r="G25" s="4"/>
      <c r="H25" s="4"/>
      <c r="I25" s="4"/>
      <c r="J25" s="4"/>
      <c r="K25" s="4"/>
      <c r="L25" s="4"/>
      <c r="M25" s="4"/>
      <c r="N25" s="4"/>
      <c r="O25" s="4"/>
      <c r="P25" s="4"/>
      <c r="Q25" s="4"/>
      <c r="R25" s="4"/>
      <c r="S25" s="4"/>
      <c r="T25" s="4"/>
      <c r="U25" s="23"/>
      <c r="V25" s="23"/>
      <c r="W25" s="23"/>
      <c r="X25" s="42"/>
      <c r="Y25" s="23"/>
      <c r="Z25" s="23"/>
      <c r="AA25" s="23"/>
      <c r="AB25" s="23"/>
    </row>
    <row r="26" spans="1:28" x14ac:dyDescent="0.15">
      <c r="A26" s="23"/>
      <c r="B26" s="4"/>
      <c r="C26" s="66" t="s">
        <v>7</v>
      </c>
      <c r="D26" s="66"/>
      <c r="E26" s="4"/>
      <c r="F26" s="4"/>
      <c r="G26" s="4"/>
      <c r="H26" s="4"/>
      <c r="I26" s="4"/>
      <c r="J26" s="4"/>
      <c r="K26" s="4"/>
      <c r="L26" s="4"/>
      <c r="M26" s="4"/>
      <c r="N26" s="4"/>
      <c r="O26" s="4"/>
      <c r="P26" s="4"/>
      <c r="Q26" s="4"/>
      <c r="R26" s="4"/>
      <c r="S26" s="4"/>
      <c r="T26" s="4"/>
      <c r="U26" s="23"/>
      <c r="V26" s="23"/>
      <c r="W26" s="23"/>
      <c r="X26" s="42"/>
      <c r="Y26" s="23"/>
      <c r="Z26" s="23"/>
      <c r="AA26" s="23"/>
      <c r="AB26" s="23"/>
    </row>
    <row r="27" spans="1:28" ht="5.0999999999999996" customHeight="1" thickBot="1" x14ac:dyDescent="0.2">
      <c r="A27" s="23"/>
      <c r="B27" s="4"/>
      <c r="C27" s="4"/>
      <c r="D27" s="4"/>
      <c r="E27" s="4"/>
      <c r="F27" s="4"/>
      <c r="G27" s="4"/>
      <c r="H27" s="4"/>
      <c r="I27" s="4"/>
      <c r="J27" s="4"/>
      <c r="K27" s="4"/>
      <c r="L27" s="4"/>
      <c r="M27" s="4"/>
      <c r="N27" s="4"/>
      <c r="O27" s="4"/>
      <c r="P27" s="4"/>
      <c r="Q27" s="4"/>
      <c r="R27" s="4"/>
      <c r="S27" s="4"/>
      <c r="T27" s="4"/>
      <c r="U27" s="23"/>
      <c r="V27" s="23"/>
      <c r="W27" s="23"/>
      <c r="X27" s="42"/>
      <c r="Y27" s="23"/>
      <c r="Z27" s="23"/>
      <c r="AA27" s="23"/>
      <c r="AB27" s="23"/>
    </row>
    <row r="28" spans="1:28" ht="14.25" thickBot="1" x14ac:dyDescent="0.2">
      <c r="A28" s="23"/>
      <c r="B28" s="4"/>
      <c r="C28" s="58" t="s">
        <v>78</v>
      </c>
      <c r="D28" s="58"/>
      <c r="E28" s="32" t="str">
        <f>IF(反映シート!E41&lt;&gt;"","OK","NG")</f>
        <v>NG</v>
      </c>
      <c r="F28" s="4"/>
      <c r="G28" s="4"/>
      <c r="H28" s="13"/>
      <c r="I28" s="13"/>
      <c r="J28" s="4"/>
      <c r="K28" s="4"/>
      <c r="L28" s="4"/>
      <c r="M28" s="4"/>
      <c r="N28" s="4"/>
      <c r="O28" s="4"/>
      <c r="P28" s="4"/>
      <c r="Q28" s="34" t="str">
        <f>S28&amp;S30&amp;S32&amp;S34&amp;S36</f>
        <v>22225</v>
      </c>
      <c r="R28" s="4"/>
      <c r="S28" s="27">
        <f>IF(E28="OK",1,2)</f>
        <v>2</v>
      </c>
      <c r="T28" s="4"/>
      <c r="U28" s="23"/>
      <c r="V28" s="23"/>
      <c r="W28" s="23"/>
      <c r="X28" s="42" t="str">
        <f>IF(COUNTIF($E$28:$E$36,"NG")=0,"OK","NG")</f>
        <v>NG</v>
      </c>
      <c r="Y28" s="23"/>
      <c r="Z28" s="23"/>
      <c r="AA28" s="23"/>
      <c r="AB28" s="23"/>
    </row>
    <row r="29" spans="1:28" ht="5.0999999999999996" customHeight="1" thickBot="1" x14ac:dyDescent="0.2">
      <c r="A29" s="23"/>
      <c r="B29" s="4"/>
      <c r="C29" s="4"/>
      <c r="D29" s="4"/>
      <c r="E29" s="4"/>
      <c r="F29" s="4"/>
      <c r="G29" s="4"/>
      <c r="H29" s="4"/>
      <c r="I29" s="4"/>
      <c r="J29" s="4"/>
      <c r="K29" s="4"/>
      <c r="L29" s="4"/>
      <c r="M29" s="4"/>
      <c r="N29" s="4"/>
      <c r="O29" s="4"/>
      <c r="P29" s="4"/>
      <c r="Q29" s="4"/>
      <c r="R29" s="4"/>
      <c r="S29" s="4"/>
      <c r="T29" s="4"/>
      <c r="U29" s="23"/>
      <c r="V29" s="23"/>
      <c r="W29" s="23"/>
      <c r="X29" s="42"/>
      <c r="Y29" s="23"/>
      <c r="Z29" s="23"/>
      <c r="AA29" s="23"/>
      <c r="AB29" s="23"/>
    </row>
    <row r="30" spans="1:28" ht="14.25" thickBot="1" x14ac:dyDescent="0.2">
      <c r="A30" s="23"/>
      <c r="B30" s="4"/>
      <c r="C30" s="58" t="s">
        <v>79</v>
      </c>
      <c r="D30" s="58"/>
      <c r="E30" s="32" t="str">
        <f>IF(OR(COUNTIF(反映シート!E43,"*都"),COUNTIF(反映シート!E43,"*道"),COUNTIF(反映シート!E43,"*府"),COUNTIF(反映シート!E43,"*県")),"OK","NG")</f>
        <v>NG</v>
      </c>
      <c r="F30" s="4"/>
      <c r="G30" s="4"/>
      <c r="H30" s="4"/>
      <c r="I30" s="4"/>
      <c r="J30" s="4"/>
      <c r="K30" s="4"/>
      <c r="L30" s="4"/>
      <c r="M30" s="4"/>
      <c r="N30" s="4"/>
      <c r="O30" s="4"/>
      <c r="P30" s="4"/>
      <c r="Q30" s="4"/>
      <c r="R30" s="4"/>
      <c r="S30" s="27">
        <f>IF(E30="OK",1,2)</f>
        <v>2</v>
      </c>
      <c r="T30" s="4"/>
      <c r="U30" s="23"/>
      <c r="V30" s="23"/>
      <c r="W30" s="23"/>
      <c r="X30" s="42"/>
      <c r="Y30" s="23"/>
      <c r="Z30" s="23"/>
      <c r="AA30" s="23"/>
      <c r="AB30" s="23"/>
    </row>
    <row r="31" spans="1:28" ht="5.0999999999999996" customHeight="1" thickBot="1" x14ac:dyDescent="0.2">
      <c r="A31" s="23"/>
      <c r="B31" s="4"/>
      <c r="C31" s="4"/>
      <c r="D31" s="4"/>
      <c r="E31" s="4"/>
      <c r="F31" s="4"/>
      <c r="G31" s="4"/>
      <c r="H31" s="4"/>
      <c r="I31" s="4"/>
      <c r="J31" s="4"/>
      <c r="K31" s="4"/>
      <c r="L31" s="4"/>
      <c r="M31" s="4"/>
      <c r="N31" s="4"/>
      <c r="O31" s="4"/>
      <c r="P31" s="4"/>
      <c r="Q31" s="4"/>
      <c r="R31" s="4"/>
      <c r="S31" s="4"/>
      <c r="T31" s="4"/>
      <c r="U31" s="23"/>
      <c r="V31" s="23"/>
      <c r="W31" s="23"/>
      <c r="X31" s="42"/>
      <c r="Y31" s="23"/>
      <c r="Z31" s="23"/>
      <c r="AA31" s="23"/>
      <c r="AB31" s="23"/>
    </row>
    <row r="32" spans="1:28" ht="14.25" thickBot="1" x14ac:dyDescent="0.2">
      <c r="A32" s="23"/>
      <c r="B32" s="4"/>
      <c r="C32" s="58" t="s">
        <v>81</v>
      </c>
      <c r="D32" s="58"/>
      <c r="E32" s="32" t="str">
        <f>IF(OR(反映シート!$G$43=TRUE,AND(反映シート!$G$43=FALSE,反映シート!E45&lt;&gt;"")),"OK","NG")</f>
        <v>NG</v>
      </c>
      <c r="F32" s="4"/>
      <c r="G32" s="4"/>
      <c r="H32" s="4"/>
      <c r="I32" s="4"/>
      <c r="J32" s="4"/>
      <c r="K32" s="4"/>
      <c r="L32" s="4"/>
      <c r="M32" s="4"/>
      <c r="N32" s="4"/>
      <c r="O32" s="4"/>
      <c r="P32" s="4"/>
      <c r="Q32" s="4"/>
      <c r="R32" s="4"/>
      <c r="S32" s="27">
        <f>IF(E32="OK",1,2)</f>
        <v>2</v>
      </c>
      <c r="T32" s="4"/>
      <c r="U32" s="23"/>
      <c r="V32" s="23"/>
      <c r="W32" s="23"/>
      <c r="X32" s="42"/>
      <c r="Y32" s="23"/>
      <c r="Z32" s="23"/>
      <c r="AA32" s="23"/>
      <c r="AB32" s="23"/>
    </row>
    <row r="33" spans="1:28" ht="5.0999999999999996" customHeight="1" thickBot="1" x14ac:dyDescent="0.2">
      <c r="A33" s="23"/>
      <c r="B33" s="4"/>
      <c r="C33" s="4"/>
      <c r="D33" s="4"/>
      <c r="E33" s="4"/>
      <c r="F33" s="4"/>
      <c r="G33" s="4"/>
      <c r="H33" s="4"/>
      <c r="I33" s="4"/>
      <c r="J33" s="4"/>
      <c r="K33" s="4"/>
      <c r="L33" s="4"/>
      <c r="M33" s="4"/>
      <c r="N33" s="4"/>
      <c r="O33" s="4"/>
      <c r="P33" s="4"/>
      <c r="Q33" s="4"/>
      <c r="R33" s="4"/>
      <c r="S33" s="4"/>
      <c r="T33" s="4"/>
      <c r="U33" s="23"/>
      <c r="V33" s="23"/>
      <c r="W33" s="23"/>
      <c r="X33" s="42"/>
      <c r="Y33" s="23"/>
      <c r="Z33" s="23"/>
      <c r="AA33" s="23"/>
      <c r="AB33" s="23"/>
    </row>
    <row r="34" spans="1:28" ht="14.25" thickBot="1" x14ac:dyDescent="0.2">
      <c r="A34" s="23"/>
      <c r="B34" s="4"/>
      <c r="C34" s="58" t="s">
        <v>82</v>
      </c>
      <c r="D34" s="58"/>
      <c r="E34" s="32" t="str">
        <f>IF(反映シート!E47&lt;&gt;"","OK","NG")</f>
        <v>NG</v>
      </c>
      <c r="F34" s="4"/>
      <c r="G34" s="4"/>
      <c r="H34" s="4"/>
      <c r="I34" s="4"/>
      <c r="J34" s="4"/>
      <c r="K34" s="4"/>
      <c r="L34" s="4"/>
      <c r="M34" s="4"/>
      <c r="N34" s="4"/>
      <c r="O34" s="4"/>
      <c r="P34" s="4"/>
      <c r="Q34" s="9"/>
      <c r="R34" s="4"/>
      <c r="S34" s="27">
        <f>IF(E34="OK",1,2)</f>
        <v>2</v>
      </c>
      <c r="T34" s="4"/>
      <c r="U34" s="23"/>
      <c r="V34" s="23"/>
      <c r="W34" s="23"/>
      <c r="X34" s="42"/>
      <c r="Y34" s="23"/>
      <c r="Z34" s="23"/>
      <c r="AA34" s="23"/>
      <c r="AB34" s="23"/>
    </row>
    <row r="35" spans="1:28" ht="5.0999999999999996" customHeight="1" thickBot="1" x14ac:dyDescent="0.2">
      <c r="A35" s="23"/>
      <c r="B35" s="4"/>
      <c r="C35" s="58"/>
      <c r="D35" s="58"/>
      <c r="E35" s="14"/>
      <c r="F35" s="14"/>
      <c r="G35" s="14"/>
      <c r="H35" s="14"/>
      <c r="I35" s="14"/>
      <c r="J35" s="14"/>
      <c r="K35" s="14"/>
      <c r="L35" s="14"/>
      <c r="M35" s="4"/>
      <c r="N35" s="4"/>
      <c r="O35" s="4"/>
      <c r="P35" s="4"/>
      <c r="Q35" s="4"/>
      <c r="R35" s="4"/>
      <c r="S35" s="4"/>
      <c r="T35" s="4"/>
      <c r="U35" s="23"/>
      <c r="V35" s="23"/>
      <c r="W35" s="23"/>
      <c r="X35" s="42"/>
      <c r="Y35" s="23"/>
      <c r="Z35" s="23"/>
      <c r="AA35" s="23"/>
      <c r="AB35" s="23"/>
    </row>
    <row r="36" spans="1:28" ht="14.25" thickBot="1" x14ac:dyDescent="0.2">
      <c r="A36" s="23"/>
      <c r="B36" s="4"/>
      <c r="C36" s="58" t="s">
        <v>83</v>
      </c>
      <c r="D36" s="58"/>
      <c r="E36" s="32" t="str">
        <f>IF(反映シート!E49&lt;&gt;"","WRITED","SPACE")</f>
        <v>SPACE</v>
      </c>
      <c r="F36" s="4"/>
      <c r="G36" s="4"/>
      <c r="H36" s="4"/>
      <c r="I36" s="4"/>
      <c r="J36" s="4"/>
      <c r="K36" s="4"/>
      <c r="L36" s="4"/>
      <c r="M36" s="4"/>
      <c r="N36" s="4"/>
      <c r="O36" s="4"/>
      <c r="P36" s="4"/>
      <c r="Q36" s="9"/>
      <c r="R36" s="4"/>
      <c r="S36" s="35">
        <f>IF(E36="SPACE",5,6)</f>
        <v>5</v>
      </c>
      <c r="T36" s="4"/>
      <c r="U36" s="23"/>
      <c r="V36" s="23"/>
      <c r="W36" s="23"/>
      <c r="X36" s="42"/>
      <c r="Y36" s="23"/>
      <c r="Z36" s="23"/>
      <c r="AA36" s="23"/>
      <c r="AB36" s="23"/>
    </row>
    <row r="37" spans="1:28" ht="5.0999999999999996" customHeight="1" thickBot="1" x14ac:dyDescent="0.2">
      <c r="A37" s="23"/>
      <c r="B37" s="4"/>
      <c r="C37" s="4"/>
      <c r="D37" s="4"/>
      <c r="E37" s="4"/>
      <c r="F37" s="4"/>
      <c r="G37" s="4"/>
      <c r="H37" s="4"/>
      <c r="I37" s="4"/>
      <c r="J37" s="4"/>
      <c r="K37" s="4"/>
      <c r="L37" s="4"/>
      <c r="M37" s="4"/>
      <c r="N37" s="4"/>
      <c r="O37" s="4"/>
      <c r="P37" s="4"/>
      <c r="Q37" s="4"/>
      <c r="R37" s="4"/>
      <c r="S37" s="4"/>
      <c r="T37" s="4"/>
      <c r="U37" s="23"/>
      <c r="V37" s="23"/>
      <c r="W37" s="23"/>
      <c r="X37" s="42"/>
      <c r="Y37" s="23"/>
      <c r="Z37" s="23"/>
      <c r="AA37" s="23"/>
      <c r="AB37" s="23"/>
    </row>
    <row r="38" spans="1:28" ht="14.25" thickBot="1" x14ac:dyDescent="0.2">
      <c r="A38" s="23"/>
      <c r="B38" s="4"/>
      <c r="C38" s="66" t="s">
        <v>64</v>
      </c>
      <c r="D38" s="66"/>
      <c r="E38" s="32" t="str">
        <f>IF(反映シート!E51&lt;&gt;"","OK","NG")</f>
        <v>NG</v>
      </c>
      <c r="F38" s="4"/>
      <c r="G38" s="4"/>
      <c r="H38" s="4"/>
      <c r="I38" s="4"/>
      <c r="J38" s="4"/>
      <c r="K38" s="4"/>
      <c r="L38" s="4"/>
      <c r="M38" s="4"/>
      <c r="N38" s="4"/>
      <c r="O38" s="4"/>
      <c r="P38" s="4"/>
      <c r="Q38" s="4"/>
      <c r="R38" s="4"/>
      <c r="S38" s="4"/>
      <c r="T38" s="4"/>
      <c r="U38" s="23"/>
      <c r="V38" s="23"/>
      <c r="W38" s="23"/>
      <c r="X38" s="42" t="str">
        <f>IF(COUNTIF(E38:E40,"NG")=0,"OK","NG")</f>
        <v>NG</v>
      </c>
      <c r="Y38" s="23"/>
      <c r="Z38" s="23"/>
      <c r="AA38" s="23"/>
      <c r="AB38" s="23"/>
    </row>
    <row r="39" spans="1:28" ht="5.0999999999999996" customHeight="1" thickBot="1" x14ac:dyDescent="0.2">
      <c r="A39" s="23"/>
      <c r="B39" s="4"/>
      <c r="C39" s="4"/>
      <c r="D39" s="4"/>
      <c r="E39" s="4"/>
      <c r="F39" s="4"/>
      <c r="G39" s="4"/>
      <c r="H39" s="4"/>
      <c r="I39" s="4"/>
      <c r="J39" s="4"/>
      <c r="K39" s="4"/>
      <c r="L39" s="4"/>
      <c r="M39" s="4"/>
      <c r="N39" s="4"/>
      <c r="O39" s="4"/>
      <c r="P39" s="4"/>
      <c r="Q39" s="4"/>
      <c r="R39" s="4"/>
      <c r="S39" s="4"/>
      <c r="T39" s="4"/>
      <c r="U39" s="23"/>
      <c r="V39" s="23"/>
      <c r="W39" s="23"/>
      <c r="X39" s="42"/>
      <c r="Y39" s="23"/>
      <c r="Z39" s="23"/>
      <c r="AA39" s="23"/>
      <c r="AB39" s="23"/>
    </row>
    <row r="40" spans="1:28" ht="14.25" thickBot="1" x14ac:dyDescent="0.2">
      <c r="A40" s="23"/>
      <c r="B40" s="4"/>
      <c r="C40" s="66" t="s">
        <v>456</v>
      </c>
      <c r="D40" s="66"/>
      <c r="E40" s="32" t="str">
        <f>IF(反映シート!E53&lt;&gt;"","OK","NG")</f>
        <v>NG</v>
      </c>
      <c r="F40" s="4"/>
      <c r="G40" s="4"/>
      <c r="H40" s="4"/>
      <c r="I40" s="4"/>
      <c r="J40" s="4"/>
      <c r="K40" s="4"/>
      <c r="L40" s="4"/>
      <c r="M40" s="4"/>
      <c r="N40" s="4"/>
      <c r="O40" s="4"/>
      <c r="P40" s="4"/>
      <c r="Q40" s="4"/>
      <c r="R40" s="4"/>
      <c r="S40" s="4"/>
      <c r="T40" s="4"/>
      <c r="U40" s="23"/>
      <c r="V40" s="23"/>
      <c r="W40" s="23"/>
      <c r="X40" s="42"/>
      <c r="Y40" s="23"/>
      <c r="Z40" s="23"/>
      <c r="AA40" s="23"/>
      <c r="AB40" s="23"/>
    </row>
    <row r="41" spans="1:28" ht="5.0999999999999996" customHeight="1" x14ac:dyDescent="0.15">
      <c r="A41" s="23"/>
      <c r="B41" s="4"/>
      <c r="C41" s="4"/>
      <c r="D41" s="4"/>
      <c r="E41" s="4"/>
      <c r="F41" s="4"/>
      <c r="G41" s="4"/>
      <c r="H41" s="4"/>
      <c r="I41" s="4"/>
      <c r="J41" s="4"/>
      <c r="K41" s="4"/>
      <c r="L41" s="4"/>
      <c r="M41" s="4"/>
      <c r="N41" s="4"/>
      <c r="O41" s="4"/>
      <c r="P41" s="4"/>
      <c r="Q41" s="4"/>
      <c r="R41" s="4"/>
      <c r="S41" s="4"/>
      <c r="T41" s="4"/>
      <c r="U41" s="23"/>
      <c r="V41" s="23"/>
      <c r="W41" s="23"/>
      <c r="X41" s="42"/>
      <c r="Y41" s="23"/>
      <c r="Z41" s="23"/>
      <c r="AA41" s="23"/>
      <c r="AB41" s="23"/>
    </row>
    <row r="42" spans="1:28" x14ac:dyDescent="0.15">
      <c r="A42" s="23"/>
      <c r="B42" s="4"/>
      <c r="C42" s="4" t="s">
        <v>20</v>
      </c>
      <c r="D42" s="4"/>
      <c r="E42" s="4"/>
      <c r="F42" s="4"/>
      <c r="G42" s="4"/>
      <c r="H42" s="4"/>
      <c r="I42" s="4"/>
      <c r="J42" s="4"/>
      <c r="K42" s="4"/>
      <c r="L42" s="4"/>
      <c r="M42" s="4"/>
      <c r="N42" s="4"/>
      <c r="O42" s="4"/>
      <c r="P42" s="4"/>
      <c r="Q42" s="4"/>
      <c r="R42" s="4"/>
      <c r="S42" s="4"/>
      <c r="T42" s="4"/>
      <c r="U42" s="23"/>
      <c r="V42" s="23"/>
      <c r="W42" s="23"/>
      <c r="X42" s="42"/>
      <c r="Y42" s="23"/>
      <c r="Z42" s="23"/>
      <c r="AA42" s="23"/>
      <c r="AB42" s="23"/>
    </row>
    <row r="43" spans="1:28" ht="5.0999999999999996" customHeight="1" thickBot="1" x14ac:dyDescent="0.2">
      <c r="A43" s="23"/>
      <c r="B43" s="4"/>
      <c r="C43" s="4"/>
      <c r="D43" s="4"/>
      <c r="E43" s="4"/>
      <c r="F43" s="4"/>
      <c r="G43" s="4"/>
      <c r="H43" s="4"/>
      <c r="I43" s="4"/>
      <c r="J43" s="4"/>
      <c r="K43" s="4"/>
      <c r="L43" s="4"/>
      <c r="M43" s="4"/>
      <c r="N43" s="4"/>
      <c r="O43" s="4"/>
      <c r="P43" s="4"/>
      <c r="Q43" s="4"/>
      <c r="R43" s="4"/>
      <c r="S43" s="4"/>
      <c r="T43" s="4"/>
      <c r="U43" s="23"/>
      <c r="V43" s="23"/>
      <c r="W43" s="23"/>
      <c r="X43" s="42"/>
      <c r="Y43" s="23"/>
      <c r="Z43" s="23"/>
      <c r="AA43" s="23"/>
      <c r="AB43" s="23"/>
    </row>
    <row r="44" spans="1:28" ht="14.25" thickBot="1" x14ac:dyDescent="0.2">
      <c r="A44" s="23"/>
      <c r="B44" s="4"/>
      <c r="C44" s="58" t="s">
        <v>67</v>
      </c>
      <c r="D44" s="58"/>
      <c r="E44" s="32" t="str">
        <f>IF(反映シート!E57&lt;&gt;"","OK","NG")</f>
        <v>NG</v>
      </c>
      <c r="F44" s="4"/>
      <c r="G44" s="4"/>
      <c r="H44" s="4"/>
      <c r="I44" s="4"/>
      <c r="J44" s="4"/>
      <c r="K44" s="4"/>
      <c r="L44" s="4"/>
      <c r="M44" s="4"/>
      <c r="N44" s="4"/>
      <c r="O44" s="4"/>
      <c r="P44" s="4"/>
      <c r="Q44" s="4"/>
      <c r="R44" s="4"/>
      <c r="S44" s="4"/>
      <c r="T44" s="4"/>
      <c r="U44" s="23"/>
      <c r="V44" s="23"/>
      <c r="W44" s="23"/>
      <c r="X44" s="42"/>
      <c r="Y44" s="23"/>
      <c r="Z44" s="23"/>
      <c r="AA44" s="23"/>
      <c r="AB44" s="23"/>
    </row>
    <row r="45" spans="1:28" ht="5.0999999999999996" customHeight="1" thickBot="1" x14ac:dyDescent="0.2">
      <c r="A45" s="23"/>
      <c r="B45" s="4"/>
      <c r="C45" s="4"/>
      <c r="D45" s="4"/>
      <c r="E45" s="4"/>
      <c r="F45" s="4"/>
      <c r="G45" s="4"/>
      <c r="H45" s="4"/>
      <c r="I45" s="4"/>
      <c r="J45" s="4"/>
      <c r="K45" s="4"/>
      <c r="L45" s="4"/>
      <c r="M45" s="4"/>
      <c r="N45" s="4"/>
      <c r="O45" s="4"/>
      <c r="P45" s="4"/>
      <c r="Q45" s="4"/>
      <c r="R45" s="4"/>
      <c r="S45" s="4"/>
      <c r="T45" s="4"/>
      <c r="U45" s="23"/>
      <c r="V45" s="23"/>
      <c r="W45" s="23"/>
      <c r="X45" s="42"/>
      <c r="Y45" s="23"/>
      <c r="Z45" s="23"/>
      <c r="AA45" s="23"/>
      <c r="AB45" s="23"/>
    </row>
    <row r="46" spans="1:28" ht="14.25" thickBot="1" x14ac:dyDescent="0.2">
      <c r="A46" s="23"/>
      <c r="B46" s="4"/>
      <c r="C46" s="58" t="s">
        <v>69</v>
      </c>
      <c r="D46" s="58"/>
      <c r="E46" s="32" t="str">
        <f>IF(反映シート!E59&lt;&gt;"","OK","NG")</f>
        <v>NG</v>
      </c>
      <c r="F46" s="4"/>
      <c r="G46" s="4"/>
      <c r="H46" s="4"/>
      <c r="I46" s="4"/>
      <c r="J46" s="4"/>
      <c r="K46" s="4"/>
      <c r="L46" s="4"/>
      <c r="M46" s="4"/>
      <c r="N46" s="4"/>
      <c r="O46" s="4"/>
      <c r="P46" s="4"/>
      <c r="Q46" s="34" t="str">
        <f>S46&amp;S48</f>
        <v>22</v>
      </c>
      <c r="R46" s="4"/>
      <c r="S46" s="27">
        <f>IF(E46="OK",1,2)</f>
        <v>2</v>
      </c>
      <c r="T46" s="4"/>
      <c r="U46" s="23"/>
      <c r="V46" s="23"/>
      <c r="W46" s="23"/>
      <c r="X46" s="42" t="str">
        <f>IF(COUNTIF(E44:E52,"NG")=0,"OK","NG")</f>
        <v>NG</v>
      </c>
      <c r="Y46" s="23"/>
      <c r="Z46" s="23"/>
      <c r="AA46" s="23"/>
      <c r="AB46" s="23"/>
    </row>
    <row r="47" spans="1:28" ht="5.0999999999999996" customHeight="1" thickBot="1" x14ac:dyDescent="0.2">
      <c r="A47" s="23"/>
      <c r="B47" s="4"/>
      <c r="C47" s="4"/>
      <c r="D47" s="4"/>
      <c r="E47" s="4"/>
      <c r="F47" s="4"/>
      <c r="G47" s="4"/>
      <c r="H47" s="4"/>
      <c r="I47" s="4"/>
      <c r="J47" s="4"/>
      <c r="K47" s="4"/>
      <c r="L47" s="4"/>
      <c r="M47" s="4"/>
      <c r="N47" s="4"/>
      <c r="O47" s="4"/>
      <c r="P47" s="4"/>
      <c r="Q47" s="4"/>
      <c r="R47" s="4"/>
      <c r="S47" s="4"/>
      <c r="T47" s="4"/>
      <c r="U47" s="23"/>
      <c r="V47" s="23"/>
      <c r="W47" s="23"/>
      <c r="X47" s="42"/>
      <c r="Y47" s="23"/>
      <c r="Z47" s="23"/>
      <c r="AA47" s="23"/>
      <c r="AB47" s="23"/>
    </row>
    <row r="48" spans="1:28" ht="14.25" thickBot="1" x14ac:dyDescent="0.2">
      <c r="A48" s="23"/>
      <c r="B48" s="4"/>
      <c r="C48" s="58" t="s">
        <v>70</v>
      </c>
      <c r="D48" s="58"/>
      <c r="E48" s="32" t="str">
        <f>IF(反映シート!E61&lt;&gt;"","OK","NG")</f>
        <v>NG</v>
      </c>
      <c r="F48" s="4"/>
      <c r="G48" s="4"/>
      <c r="H48" s="4"/>
      <c r="I48" s="4"/>
      <c r="J48" s="4"/>
      <c r="K48" s="4"/>
      <c r="L48" s="4"/>
      <c r="M48" s="4"/>
      <c r="N48" s="4"/>
      <c r="O48" s="4"/>
      <c r="P48" s="4"/>
      <c r="Q48" s="4"/>
      <c r="R48" s="4"/>
      <c r="S48" s="27">
        <f>IF(E48="OK",1,2)</f>
        <v>2</v>
      </c>
      <c r="T48" s="4"/>
      <c r="U48" s="23"/>
      <c r="V48" s="23"/>
      <c r="W48" s="23"/>
      <c r="X48" s="42"/>
      <c r="Y48" s="23"/>
      <c r="Z48" s="23"/>
      <c r="AA48" s="23"/>
      <c r="AB48" s="23"/>
    </row>
    <row r="49" spans="1:28" ht="5.0999999999999996" customHeight="1" thickBot="1" x14ac:dyDescent="0.2">
      <c r="A49" s="23"/>
      <c r="B49" s="4"/>
      <c r="C49" s="4"/>
      <c r="D49" s="4"/>
      <c r="E49" s="4"/>
      <c r="F49" s="4"/>
      <c r="G49" s="4"/>
      <c r="H49" s="4"/>
      <c r="I49" s="4"/>
      <c r="J49" s="4"/>
      <c r="K49" s="4"/>
      <c r="L49" s="4"/>
      <c r="M49" s="4"/>
      <c r="N49" s="4"/>
      <c r="O49" s="4"/>
      <c r="P49" s="4"/>
      <c r="Q49" s="4"/>
      <c r="R49" s="4"/>
      <c r="S49" s="4"/>
      <c r="T49" s="4"/>
      <c r="U49" s="23"/>
      <c r="V49" s="23"/>
      <c r="W49" s="23"/>
      <c r="X49" s="42"/>
      <c r="Y49" s="23"/>
      <c r="Z49" s="23"/>
      <c r="AA49" s="23"/>
      <c r="AB49" s="23"/>
    </row>
    <row r="50" spans="1:28" ht="14.25" thickBot="1" x14ac:dyDescent="0.2">
      <c r="A50" s="23"/>
      <c r="B50" s="4"/>
      <c r="C50" s="58" t="s">
        <v>88</v>
      </c>
      <c r="D50" s="58"/>
      <c r="E50" s="32" t="str">
        <f>IF(反映シート!E63&lt;&gt;"","OK","NG")</f>
        <v>NG</v>
      </c>
      <c r="F50" s="4"/>
      <c r="G50" s="4"/>
      <c r="H50" s="4"/>
      <c r="I50" s="4"/>
      <c r="J50" s="4"/>
      <c r="K50" s="4"/>
      <c r="L50" s="4"/>
      <c r="M50" s="4"/>
      <c r="N50" s="4"/>
      <c r="O50" s="4"/>
      <c r="P50" s="4"/>
      <c r="Q50" s="34" t="str">
        <f>S50&amp;S52</f>
        <v>22</v>
      </c>
      <c r="R50" s="4"/>
      <c r="S50" s="27">
        <f>IF(E50="OK",1,2)</f>
        <v>2</v>
      </c>
      <c r="T50" s="4"/>
      <c r="U50" s="23"/>
      <c r="V50" s="23"/>
      <c r="W50" s="23"/>
      <c r="X50" s="42"/>
      <c r="Y50" s="23"/>
      <c r="Z50" s="23"/>
      <c r="AA50" s="23"/>
      <c r="AB50" s="23"/>
    </row>
    <row r="51" spans="1:28" ht="5.0999999999999996" customHeight="1" thickBot="1" x14ac:dyDescent="0.2">
      <c r="A51" s="23"/>
      <c r="B51" s="4"/>
      <c r="C51" s="4"/>
      <c r="D51" s="4"/>
      <c r="E51" s="4"/>
      <c r="F51" s="4"/>
      <c r="G51" s="4"/>
      <c r="H51" s="4"/>
      <c r="I51" s="4"/>
      <c r="J51" s="4"/>
      <c r="K51" s="4"/>
      <c r="L51" s="4"/>
      <c r="M51" s="4"/>
      <c r="N51" s="4"/>
      <c r="O51" s="4"/>
      <c r="P51" s="4"/>
      <c r="Q51" s="4"/>
      <c r="R51" s="4"/>
      <c r="S51" s="4"/>
      <c r="T51" s="4"/>
      <c r="U51" s="23"/>
      <c r="V51" s="23"/>
      <c r="W51" s="23"/>
      <c r="X51" s="42"/>
      <c r="Y51" s="23"/>
      <c r="Z51" s="23"/>
      <c r="AA51" s="23"/>
      <c r="AB51" s="23"/>
    </row>
    <row r="52" spans="1:28" ht="14.25" thickBot="1" x14ac:dyDescent="0.2">
      <c r="A52" s="23"/>
      <c r="B52" s="4"/>
      <c r="C52" s="58" t="s">
        <v>124</v>
      </c>
      <c r="D52" s="58"/>
      <c r="E52" s="32" t="str">
        <f>IF(反映シート!E65&lt;&gt;"","OK","NG")</f>
        <v>NG</v>
      </c>
      <c r="F52" s="4"/>
      <c r="G52" s="4"/>
      <c r="H52" s="4"/>
      <c r="I52" s="4"/>
      <c r="J52" s="4"/>
      <c r="K52" s="4"/>
      <c r="L52" s="4"/>
      <c r="M52" s="4"/>
      <c r="N52" s="4"/>
      <c r="O52" s="4"/>
      <c r="P52" s="4"/>
      <c r="Q52" s="4"/>
      <c r="R52" s="4"/>
      <c r="S52" s="27">
        <f>IF(E52="OK",1,2)</f>
        <v>2</v>
      </c>
      <c r="T52" s="4"/>
      <c r="U52" s="23"/>
      <c r="V52" s="23"/>
      <c r="W52" s="23"/>
      <c r="X52" s="42"/>
      <c r="Y52" s="23"/>
      <c r="Z52" s="23"/>
      <c r="AA52" s="23"/>
      <c r="AB52" s="23"/>
    </row>
    <row r="53" spans="1:28" ht="5.0999999999999996" customHeight="1" thickBot="1" x14ac:dyDescent="0.2">
      <c r="A53" s="23"/>
      <c r="B53" s="4"/>
      <c r="C53" s="4"/>
      <c r="D53" s="4"/>
      <c r="E53" s="4"/>
      <c r="F53" s="4"/>
      <c r="G53" s="4"/>
      <c r="H53" s="4"/>
      <c r="I53" s="4"/>
      <c r="J53" s="4"/>
      <c r="K53" s="4"/>
      <c r="L53" s="4"/>
      <c r="M53" s="4"/>
      <c r="N53" s="4"/>
      <c r="O53" s="4"/>
      <c r="P53" s="4"/>
      <c r="Q53" s="4"/>
      <c r="R53" s="4"/>
      <c r="S53" s="4"/>
      <c r="T53" s="4"/>
      <c r="U53" s="23"/>
      <c r="V53" s="23"/>
      <c r="W53" s="23"/>
      <c r="X53" s="42"/>
      <c r="Y53" s="23"/>
      <c r="Z53" s="23"/>
      <c r="AA53" s="23"/>
      <c r="AB53" s="23"/>
    </row>
    <row r="54" spans="1:28" ht="14.25" thickBot="1" x14ac:dyDescent="0.2">
      <c r="A54" s="23"/>
      <c r="B54" s="4"/>
      <c r="C54" s="58" t="s">
        <v>90</v>
      </c>
      <c r="D54" s="58"/>
      <c r="E54" s="32" t="str">
        <f>IF(反映シート!E67&lt;&gt;"","OK","NG")</f>
        <v>NG</v>
      </c>
      <c r="F54" s="4"/>
      <c r="G54" s="4"/>
      <c r="H54" s="4"/>
      <c r="I54" s="4"/>
      <c r="J54" s="4"/>
      <c r="K54" s="4"/>
      <c r="L54" s="4"/>
      <c r="M54" s="4"/>
      <c r="N54" s="4"/>
      <c r="O54" s="4"/>
      <c r="P54" s="4"/>
      <c r="Q54" s="4"/>
      <c r="R54" s="4"/>
      <c r="S54" s="4"/>
      <c r="T54" s="4"/>
      <c r="U54" s="23"/>
      <c r="V54" s="23"/>
      <c r="W54" s="23"/>
      <c r="X54" s="42"/>
      <c r="Y54" s="23"/>
      <c r="Z54" s="23"/>
      <c r="AA54" s="23"/>
      <c r="AB54" s="23"/>
    </row>
    <row r="55" spans="1:28" ht="5.0999999999999996" customHeight="1" thickBot="1" x14ac:dyDescent="0.2">
      <c r="A55" s="23"/>
      <c r="B55" s="4"/>
      <c r="C55" s="4"/>
      <c r="D55" s="4"/>
      <c r="E55" s="4"/>
      <c r="F55" s="4"/>
      <c r="G55" s="4"/>
      <c r="H55" s="4"/>
      <c r="I55" s="4"/>
      <c r="J55" s="4"/>
      <c r="K55" s="4"/>
      <c r="L55" s="4"/>
      <c r="M55" s="4"/>
      <c r="N55" s="4"/>
      <c r="O55" s="4"/>
      <c r="P55" s="4"/>
      <c r="Q55" s="4"/>
      <c r="R55" s="4"/>
      <c r="S55" s="4"/>
      <c r="T55" s="4"/>
      <c r="U55" s="23"/>
      <c r="V55" s="23"/>
      <c r="W55" s="23"/>
      <c r="X55" s="42"/>
      <c r="Y55" s="23"/>
      <c r="Z55" s="23"/>
      <c r="AA55" s="23"/>
      <c r="AB55" s="23"/>
    </row>
    <row r="56" spans="1:28" ht="14.25" thickBot="1" x14ac:dyDescent="0.2">
      <c r="A56" s="23"/>
      <c r="B56" s="4"/>
      <c r="C56" s="58" t="s">
        <v>91</v>
      </c>
      <c r="D56" s="58"/>
      <c r="E56" s="32" t="str">
        <f>IF(OR(反映シート!E69="男",反映シート!E69="女"),"OK","NG")</f>
        <v>NG</v>
      </c>
      <c r="F56" s="4"/>
      <c r="G56" s="4"/>
      <c r="H56" s="4"/>
      <c r="I56" s="4"/>
      <c r="J56" s="4"/>
      <c r="K56" s="4"/>
      <c r="L56" s="4"/>
      <c r="M56" s="4"/>
      <c r="N56" s="4"/>
      <c r="O56" s="4"/>
      <c r="P56" s="4"/>
      <c r="Q56" s="4"/>
      <c r="R56" s="4"/>
      <c r="S56" s="4"/>
      <c r="T56" s="4"/>
      <c r="U56" s="23"/>
      <c r="V56" s="23"/>
      <c r="W56" s="23"/>
      <c r="X56" s="42"/>
      <c r="Y56" s="23"/>
      <c r="Z56" s="23"/>
      <c r="AA56" s="23"/>
      <c r="AB56" s="23"/>
    </row>
    <row r="57" spans="1:28" ht="5.0999999999999996" customHeight="1" thickBot="1" x14ac:dyDescent="0.2">
      <c r="A57" s="23"/>
      <c r="B57" s="4"/>
      <c r="C57" s="4"/>
      <c r="D57" s="4"/>
      <c r="E57" s="4"/>
      <c r="F57" s="4"/>
      <c r="G57" s="4"/>
      <c r="H57" s="4"/>
      <c r="I57" s="4"/>
      <c r="J57" s="4"/>
      <c r="K57" s="4"/>
      <c r="L57" s="4"/>
      <c r="M57" s="4"/>
      <c r="N57" s="4"/>
      <c r="O57" s="4"/>
      <c r="P57" s="4"/>
      <c r="Q57" s="4"/>
      <c r="R57" s="4"/>
      <c r="S57" s="4"/>
      <c r="T57" s="4"/>
      <c r="U57" s="23"/>
      <c r="V57" s="23"/>
      <c r="W57" s="23"/>
      <c r="X57" s="42"/>
      <c r="Y57" s="23"/>
      <c r="Z57" s="23"/>
      <c r="AA57" s="23"/>
      <c r="AB57" s="23"/>
    </row>
    <row r="58" spans="1:28" ht="14.25" thickBot="1" x14ac:dyDescent="0.2">
      <c r="A58" s="23"/>
      <c r="B58" s="4"/>
      <c r="C58" s="244" t="s">
        <v>343</v>
      </c>
      <c r="D58" s="363"/>
      <c r="E58" s="32" t="str">
        <f>IF(AND(反映シート!$E$13="トラック事業者",COUNTIF(リスト!$B$1:$B$4,反映シート!E71)=1),"OK",IF(AND(反映シート!E13="荷主等",反映シート!E71="【オ】　荷主等"),"OK",IF(反映シート!E13="リース事業者","OK","NG")))</f>
        <v>NG</v>
      </c>
      <c r="F58" s="4"/>
      <c r="G58" s="4"/>
      <c r="H58" s="4"/>
      <c r="I58" s="4"/>
      <c r="J58" s="4"/>
      <c r="K58" s="4"/>
      <c r="L58" s="4"/>
      <c r="M58" s="4"/>
      <c r="N58" s="4"/>
      <c r="O58" s="4"/>
      <c r="P58" s="4"/>
      <c r="Q58" s="4"/>
      <c r="R58" s="4"/>
      <c r="S58" s="4"/>
      <c r="T58" s="4"/>
      <c r="U58" s="23"/>
      <c r="V58" s="23"/>
      <c r="W58" s="23"/>
      <c r="X58" s="42"/>
      <c r="Y58" s="23"/>
      <c r="Z58" s="23"/>
      <c r="AA58" s="23"/>
      <c r="AB58" s="23"/>
    </row>
    <row r="59" spans="1:28" ht="5.0999999999999996" customHeight="1" x14ac:dyDescent="0.15">
      <c r="A59" s="23"/>
      <c r="B59" s="4"/>
      <c r="C59" s="4"/>
      <c r="D59" s="4"/>
      <c r="E59" s="4"/>
      <c r="F59" s="4"/>
      <c r="G59" s="4"/>
      <c r="H59" s="4"/>
      <c r="I59" s="4"/>
      <c r="J59" s="4"/>
      <c r="K59" s="4"/>
      <c r="L59" s="4"/>
      <c r="M59" s="4"/>
      <c r="N59" s="4"/>
      <c r="O59" s="4"/>
      <c r="P59" s="4"/>
      <c r="Q59" s="4"/>
      <c r="R59" s="4"/>
      <c r="S59" s="4"/>
      <c r="T59" s="4"/>
      <c r="U59" s="23"/>
      <c r="V59" s="23"/>
      <c r="W59" s="23"/>
      <c r="X59" s="42"/>
      <c r="Y59" s="23"/>
      <c r="Z59" s="23"/>
      <c r="AA59" s="23"/>
      <c r="AB59" s="23"/>
    </row>
    <row r="60" spans="1:28" x14ac:dyDescent="0.1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row>
    <row r="61" spans="1:28" ht="5.0999999999999996" customHeight="1" x14ac:dyDescent="0.15">
      <c r="A61" s="23"/>
      <c r="B61" s="2"/>
      <c r="C61" s="2"/>
      <c r="D61" s="2"/>
      <c r="E61" s="2"/>
      <c r="F61" s="2"/>
      <c r="G61" s="2"/>
      <c r="H61" s="2"/>
      <c r="I61" s="2"/>
      <c r="J61" s="2"/>
      <c r="K61" s="2"/>
      <c r="L61" s="2"/>
      <c r="M61" s="2"/>
      <c r="N61" s="2"/>
      <c r="O61" s="2"/>
      <c r="P61" s="2"/>
      <c r="Q61" s="2"/>
      <c r="R61" s="2"/>
      <c r="S61" s="2"/>
      <c r="T61" s="2"/>
      <c r="U61" s="23"/>
      <c r="V61" s="23"/>
      <c r="W61" s="23"/>
      <c r="X61" s="42"/>
      <c r="Y61" s="23"/>
      <c r="Z61" s="23"/>
      <c r="AA61" s="23"/>
      <c r="AB61" s="23"/>
    </row>
    <row r="62" spans="1:28" x14ac:dyDescent="0.15">
      <c r="A62" s="23"/>
      <c r="B62" s="2" t="s">
        <v>304</v>
      </c>
      <c r="C62" s="2"/>
      <c r="D62" s="2"/>
      <c r="E62" s="2"/>
      <c r="F62" s="2"/>
      <c r="G62" s="2"/>
      <c r="H62" s="2"/>
      <c r="I62" s="2"/>
      <c r="J62" s="2"/>
      <c r="K62" s="2"/>
      <c r="L62" s="2"/>
      <c r="M62" s="2"/>
      <c r="N62" s="2"/>
      <c r="O62" s="2"/>
      <c r="P62" s="2"/>
      <c r="Q62" s="2"/>
      <c r="R62" s="2"/>
      <c r="S62" s="2"/>
      <c r="T62" s="2"/>
      <c r="U62" s="23"/>
      <c r="V62" s="23"/>
      <c r="W62" s="23"/>
      <c r="X62" s="42"/>
      <c r="Y62" s="23"/>
      <c r="Z62" s="23"/>
      <c r="AA62" s="23"/>
      <c r="AB62" s="23"/>
    </row>
    <row r="63" spans="1:28" ht="5.0999999999999996" customHeight="1" x14ac:dyDescent="0.15">
      <c r="A63" s="23"/>
      <c r="B63" s="2"/>
      <c r="C63" s="2"/>
      <c r="D63" s="2"/>
      <c r="E63" s="2"/>
      <c r="F63" s="2"/>
      <c r="G63" s="2"/>
      <c r="H63" s="2"/>
      <c r="I63" s="2"/>
      <c r="J63" s="2"/>
      <c r="K63" s="2"/>
      <c r="L63" s="2"/>
      <c r="M63" s="2"/>
      <c r="N63" s="2"/>
      <c r="O63" s="2"/>
      <c r="P63" s="2"/>
      <c r="Q63" s="2"/>
      <c r="R63" s="2"/>
      <c r="S63" s="2"/>
      <c r="T63" s="2"/>
      <c r="U63" s="23"/>
      <c r="V63" s="23"/>
      <c r="W63" s="23"/>
      <c r="X63" s="42"/>
      <c r="Y63" s="23"/>
      <c r="Z63" s="23"/>
      <c r="AA63" s="23"/>
      <c r="AB63" s="23"/>
    </row>
    <row r="64" spans="1:28" ht="14.25" thickBot="1" x14ac:dyDescent="0.2">
      <c r="A64" s="23"/>
      <c r="B64" s="2"/>
      <c r="C64" s="65" t="s">
        <v>7</v>
      </c>
      <c r="D64" s="65"/>
      <c r="E64" s="2"/>
      <c r="F64" s="2"/>
      <c r="G64" s="2"/>
      <c r="H64" s="2"/>
      <c r="I64" s="2"/>
      <c r="J64" s="2"/>
      <c r="K64" s="2"/>
      <c r="L64" s="2"/>
      <c r="M64" s="2"/>
      <c r="N64" s="2"/>
      <c r="O64" s="2"/>
      <c r="P64" s="2"/>
      <c r="Q64" s="2"/>
      <c r="R64" s="2"/>
      <c r="S64" s="2"/>
      <c r="T64" s="2"/>
      <c r="U64" s="23"/>
      <c r="V64" s="23"/>
      <c r="W64" s="23"/>
      <c r="X64" s="42"/>
      <c r="Y64" s="23"/>
      <c r="Z64" s="23"/>
      <c r="AA64" s="23"/>
      <c r="AB64" s="23"/>
    </row>
    <row r="65" spans="1:28" ht="14.25" thickBot="1" x14ac:dyDescent="0.2">
      <c r="A65" s="23"/>
      <c r="B65" s="2"/>
      <c r="C65" s="63" t="s">
        <v>78</v>
      </c>
      <c r="D65" s="63"/>
      <c r="E65" s="32" t="str">
        <f>IF(反映シート!E80&lt;&gt;"","OK","NG")</f>
        <v>NG</v>
      </c>
      <c r="F65" s="2"/>
      <c r="G65" s="2"/>
      <c r="H65" s="64"/>
      <c r="I65" s="64"/>
      <c r="J65" s="2"/>
      <c r="K65" s="2"/>
      <c r="L65" s="2"/>
      <c r="M65" s="2"/>
      <c r="N65" s="2"/>
      <c r="O65" s="2"/>
      <c r="P65" s="2"/>
      <c r="Q65" s="34" t="str">
        <f>S65&amp;S67&amp;S69&amp;S71&amp;S73</f>
        <v>22225</v>
      </c>
      <c r="R65" s="2"/>
      <c r="S65" s="27">
        <f>IF(E65="OK",1,2)</f>
        <v>2</v>
      </c>
      <c r="T65" s="2"/>
      <c r="U65" s="23"/>
      <c r="V65" s="23"/>
      <c r="W65" s="23"/>
      <c r="X65" s="42" t="str">
        <f>IF(反映シート!$E$15&lt;&gt;"なし",IF(COUNTIF(E65:E73,"NG")=0,"OK","NG"),"OK")</f>
        <v>OK</v>
      </c>
      <c r="Y65" s="23"/>
      <c r="Z65" s="23"/>
      <c r="AA65" s="23"/>
      <c r="AB65" s="23"/>
    </row>
    <row r="66" spans="1:28" ht="5.0999999999999996" customHeight="1" thickBot="1" x14ac:dyDescent="0.2">
      <c r="A66" s="23"/>
      <c r="B66" s="2"/>
      <c r="C66" s="2"/>
      <c r="D66" s="2"/>
      <c r="E66" s="2"/>
      <c r="F66" s="2"/>
      <c r="G66" s="2"/>
      <c r="H66" s="2"/>
      <c r="I66" s="2"/>
      <c r="J66" s="2"/>
      <c r="K66" s="2"/>
      <c r="L66" s="2"/>
      <c r="M66" s="2"/>
      <c r="N66" s="2"/>
      <c r="O66" s="2"/>
      <c r="P66" s="2"/>
      <c r="Q66" s="2"/>
      <c r="R66" s="2"/>
      <c r="S66" s="2"/>
      <c r="T66" s="2"/>
      <c r="U66" s="23"/>
      <c r="V66" s="23"/>
      <c r="W66" s="23"/>
      <c r="X66" s="42"/>
      <c r="Y66" s="23"/>
      <c r="Z66" s="23"/>
      <c r="AA66" s="23"/>
      <c r="AB66" s="23"/>
    </row>
    <row r="67" spans="1:28" ht="14.25" thickBot="1" x14ac:dyDescent="0.2">
      <c r="A67" s="23"/>
      <c r="B67" s="2"/>
      <c r="C67" s="63" t="s">
        <v>79</v>
      </c>
      <c r="D67" s="63"/>
      <c r="E67" s="32" t="str">
        <f>IF(OR(COUNTIF(反映シート!E82,"*都"),COUNTIF(反映シート!E82,"*道"),COUNTIF(反映シート!E82,"*府"),COUNTIF(反映シート!E82,"*県")),"OK","NG")</f>
        <v>NG</v>
      </c>
      <c r="F67" s="2"/>
      <c r="G67" s="2"/>
      <c r="H67" s="2"/>
      <c r="I67" s="2"/>
      <c r="J67" s="2"/>
      <c r="K67" s="2"/>
      <c r="L67" s="2"/>
      <c r="M67" s="2"/>
      <c r="N67" s="2"/>
      <c r="O67" s="2"/>
      <c r="P67" s="2"/>
      <c r="Q67" s="2"/>
      <c r="R67" s="2"/>
      <c r="S67" s="27">
        <f>IF(E67="OK",1,2)</f>
        <v>2</v>
      </c>
      <c r="T67" s="2"/>
      <c r="U67" s="23"/>
      <c r="V67" s="23"/>
      <c r="W67" s="23"/>
      <c r="X67" s="42"/>
      <c r="Y67" s="23"/>
      <c r="Z67" s="23"/>
      <c r="AA67" s="23"/>
      <c r="AB67" s="23"/>
    </row>
    <row r="68" spans="1:28" ht="5.0999999999999996" customHeight="1" thickBot="1" x14ac:dyDescent="0.2">
      <c r="A68" s="23"/>
      <c r="B68" s="2"/>
      <c r="C68" s="2"/>
      <c r="D68" s="2"/>
      <c r="E68" s="2"/>
      <c r="F68" s="2"/>
      <c r="G68" s="2"/>
      <c r="H68" s="2"/>
      <c r="I68" s="2"/>
      <c r="J68" s="2"/>
      <c r="K68" s="2"/>
      <c r="L68" s="2"/>
      <c r="M68" s="2"/>
      <c r="N68" s="2"/>
      <c r="O68" s="2"/>
      <c r="P68" s="2"/>
      <c r="Q68" s="2"/>
      <c r="R68" s="2"/>
      <c r="S68" s="2"/>
      <c r="T68" s="2"/>
      <c r="U68" s="23"/>
      <c r="V68" s="23"/>
      <c r="W68" s="23"/>
      <c r="X68" s="42"/>
      <c r="Y68" s="23"/>
      <c r="Z68" s="23"/>
      <c r="AA68" s="23"/>
      <c r="AB68" s="23"/>
    </row>
    <row r="69" spans="1:28" ht="14.25" thickBot="1" x14ac:dyDescent="0.2">
      <c r="A69" s="23"/>
      <c r="B69" s="2"/>
      <c r="C69" s="63" t="s">
        <v>81</v>
      </c>
      <c r="D69" s="63"/>
      <c r="E69" s="32" t="str">
        <f>IF(OR(反映シート!$G$82=TRUE,AND(反映シート!$G$82=FALSE,反映シート!E84&lt;&gt;"")),"OK","NG")</f>
        <v>NG</v>
      </c>
      <c r="F69" s="2"/>
      <c r="G69" s="2"/>
      <c r="H69" s="2"/>
      <c r="I69" s="2"/>
      <c r="J69" s="2"/>
      <c r="K69" s="2"/>
      <c r="L69" s="2"/>
      <c r="M69" s="2"/>
      <c r="N69" s="2"/>
      <c r="O69" s="2"/>
      <c r="P69" s="2"/>
      <c r="Q69" s="2"/>
      <c r="R69" s="2"/>
      <c r="S69" s="27">
        <f>IF(E69="OK",1,2)</f>
        <v>2</v>
      </c>
      <c r="T69" s="2"/>
      <c r="U69" s="23"/>
      <c r="V69" s="23"/>
      <c r="W69" s="23"/>
      <c r="X69" s="42"/>
      <c r="Y69" s="23"/>
      <c r="Z69" s="23"/>
      <c r="AA69" s="23"/>
      <c r="AB69" s="23"/>
    </row>
    <row r="70" spans="1:28" ht="5.0999999999999996" customHeight="1" thickBot="1" x14ac:dyDescent="0.2">
      <c r="A70" s="23"/>
      <c r="B70" s="2"/>
      <c r="C70" s="2"/>
      <c r="D70" s="2"/>
      <c r="E70" s="2"/>
      <c r="F70" s="2"/>
      <c r="G70" s="2"/>
      <c r="H70" s="2"/>
      <c r="I70" s="2"/>
      <c r="J70" s="2"/>
      <c r="K70" s="2"/>
      <c r="L70" s="2"/>
      <c r="M70" s="2"/>
      <c r="N70" s="2"/>
      <c r="O70" s="2"/>
      <c r="P70" s="2"/>
      <c r="Q70" s="2"/>
      <c r="R70" s="2"/>
      <c r="S70" s="2"/>
      <c r="T70" s="2"/>
      <c r="U70" s="23"/>
      <c r="V70" s="23"/>
      <c r="W70" s="23"/>
      <c r="X70" s="42"/>
      <c r="Y70" s="23"/>
      <c r="Z70" s="23"/>
      <c r="AA70" s="23"/>
      <c r="AB70" s="23"/>
    </row>
    <row r="71" spans="1:28" ht="14.25" thickBot="1" x14ac:dyDescent="0.2">
      <c r="A71" s="23"/>
      <c r="B71" s="2"/>
      <c r="C71" s="63" t="s">
        <v>82</v>
      </c>
      <c r="D71" s="63"/>
      <c r="E71" s="32" t="str">
        <f>IF(反映シート!E86&lt;&gt;"","OK","NG")</f>
        <v>NG</v>
      </c>
      <c r="F71" s="2"/>
      <c r="G71" s="2"/>
      <c r="H71" s="2"/>
      <c r="I71" s="2"/>
      <c r="J71" s="2"/>
      <c r="K71" s="2"/>
      <c r="L71" s="2"/>
      <c r="M71" s="2"/>
      <c r="N71" s="2"/>
      <c r="O71" s="2"/>
      <c r="P71" s="2"/>
      <c r="Q71" s="2"/>
      <c r="R71" s="2"/>
      <c r="S71" s="27">
        <f>IF(E71="OK",1,2)</f>
        <v>2</v>
      </c>
      <c r="T71" s="2"/>
      <c r="U71" s="23"/>
      <c r="V71" s="23"/>
      <c r="W71" s="23"/>
      <c r="X71" s="42"/>
      <c r="Y71" s="23"/>
      <c r="Z71" s="23"/>
      <c r="AA71" s="23"/>
      <c r="AB71" s="23"/>
    </row>
    <row r="72" spans="1:28" ht="5.0999999999999996" customHeight="1" thickBot="1" x14ac:dyDescent="0.2">
      <c r="A72" s="23"/>
      <c r="B72" s="2"/>
      <c r="C72" s="2"/>
      <c r="D72" s="2"/>
      <c r="E72" s="2"/>
      <c r="F72" s="2"/>
      <c r="G72" s="2"/>
      <c r="H72" s="2"/>
      <c r="I72" s="2"/>
      <c r="J72" s="2"/>
      <c r="K72" s="2"/>
      <c r="L72" s="2"/>
      <c r="M72" s="2"/>
      <c r="N72" s="2"/>
      <c r="O72" s="2"/>
      <c r="P72" s="2"/>
      <c r="Q72" s="2"/>
      <c r="R72" s="2"/>
      <c r="S72" s="2"/>
      <c r="T72" s="2"/>
      <c r="U72" s="23"/>
      <c r="V72" s="23"/>
      <c r="W72" s="23"/>
      <c r="X72" s="42"/>
      <c r="Y72" s="23"/>
      <c r="Z72" s="23"/>
      <c r="AA72" s="23"/>
      <c r="AB72" s="23"/>
    </row>
    <row r="73" spans="1:28" ht="14.25" thickBot="1" x14ac:dyDescent="0.2">
      <c r="A73" s="23"/>
      <c r="B73" s="2"/>
      <c r="C73" s="63" t="s">
        <v>83</v>
      </c>
      <c r="D73" s="63"/>
      <c r="E73" s="32" t="str">
        <f>IF(反映シート!E88&lt;&gt;"","WRITED","SPACE")</f>
        <v>SPACE</v>
      </c>
      <c r="F73" s="2"/>
      <c r="G73" s="2"/>
      <c r="H73" s="2"/>
      <c r="I73" s="2"/>
      <c r="J73" s="2"/>
      <c r="K73" s="2"/>
      <c r="L73" s="2"/>
      <c r="M73" s="2"/>
      <c r="N73" s="2"/>
      <c r="O73" s="2"/>
      <c r="P73" s="2"/>
      <c r="Q73" s="2"/>
      <c r="R73" s="2"/>
      <c r="S73" s="35">
        <f>IF(E73="SPACE",5,6)</f>
        <v>5</v>
      </c>
      <c r="T73" s="2"/>
      <c r="U73" s="23"/>
      <c r="V73" s="23"/>
      <c r="W73" s="23"/>
      <c r="X73" s="42"/>
      <c r="Y73" s="23"/>
      <c r="Z73" s="23"/>
      <c r="AA73" s="23"/>
      <c r="AB73" s="23"/>
    </row>
    <row r="74" spans="1:28" ht="5.0999999999999996" customHeight="1" thickBot="1" x14ac:dyDescent="0.2">
      <c r="A74" s="23"/>
      <c r="B74" s="2"/>
      <c r="C74" s="2"/>
      <c r="D74" s="2"/>
      <c r="E74" s="2"/>
      <c r="F74" s="2"/>
      <c r="G74" s="2"/>
      <c r="H74" s="2"/>
      <c r="I74" s="2"/>
      <c r="J74" s="2"/>
      <c r="K74" s="2"/>
      <c r="L74" s="2"/>
      <c r="M74" s="2"/>
      <c r="N74" s="2"/>
      <c r="O74" s="2"/>
      <c r="P74" s="2"/>
      <c r="Q74" s="2"/>
      <c r="R74" s="2"/>
      <c r="S74" s="2"/>
      <c r="T74" s="2"/>
      <c r="U74" s="23"/>
      <c r="V74" s="23"/>
      <c r="W74" s="23"/>
      <c r="X74" s="42"/>
      <c r="Y74" s="23"/>
      <c r="Z74" s="23"/>
      <c r="AA74" s="23"/>
      <c r="AB74" s="23"/>
    </row>
    <row r="75" spans="1:28" ht="14.25" thickBot="1" x14ac:dyDescent="0.2">
      <c r="A75" s="23"/>
      <c r="B75" s="2"/>
      <c r="C75" s="65" t="s">
        <v>64</v>
      </c>
      <c r="D75" s="65"/>
      <c r="E75" s="32" t="str">
        <f>IF(反映シート!E90&lt;&gt;"","OK","NG")</f>
        <v>NG</v>
      </c>
      <c r="F75" s="2"/>
      <c r="G75" s="2"/>
      <c r="H75" s="2"/>
      <c r="I75" s="2"/>
      <c r="J75" s="2"/>
      <c r="K75" s="2"/>
      <c r="L75" s="2"/>
      <c r="M75" s="2"/>
      <c r="N75" s="2"/>
      <c r="O75" s="2"/>
      <c r="P75" s="2"/>
      <c r="Q75" s="2"/>
      <c r="R75" s="2"/>
      <c r="S75" s="2"/>
      <c r="T75" s="2"/>
      <c r="U75" s="23"/>
      <c r="V75" s="23"/>
      <c r="W75" s="23"/>
      <c r="X75" s="42" t="str">
        <f>IF(反映シート!$E$15&lt;&gt;"なし",IF(COUNTIF(E75:E77,"NG")=0,"OK","NG"),"OK")</f>
        <v>OK</v>
      </c>
      <c r="Y75" s="23"/>
      <c r="Z75" s="23"/>
      <c r="AA75" s="23"/>
      <c r="AB75" s="23"/>
    </row>
    <row r="76" spans="1:28" ht="5.0999999999999996" customHeight="1" thickBot="1" x14ac:dyDescent="0.2">
      <c r="A76" s="23"/>
      <c r="B76" s="2"/>
      <c r="C76" s="2"/>
      <c r="D76" s="2"/>
      <c r="E76" s="2"/>
      <c r="F76" s="2"/>
      <c r="G76" s="2"/>
      <c r="H76" s="2"/>
      <c r="I76" s="2"/>
      <c r="J76" s="2"/>
      <c r="K76" s="2"/>
      <c r="L76" s="2"/>
      <c r="M76" s="2"/>
      <c r="N76" s="2"/>
      <c r="O76" s="2"/>
      <c r="P76" s="2"/>
      <c r="Q76" s="2"/>
      <c r="R76" s="2"/>
      <c r="S76" s="2"/>
      <c r="T76" s="2"/>
      <c r="U76" s="23"/>
      <c r="V76" s="23"/>
      <c r="W76" s="23"/>
      <c r="X76" s="42"/>
      <c r="Y76" s="23"/>
      <c r="Z76" s="23"/>
      <c r="AA76" s="23"/>
      <c r="AB76" s="23"/>
    </row>
    <row r="77" spans="1:28" ht="14.25" thickBot="1" x14ac:dyDescent="0.2">
      <c r="A77" s="23"/>
      <c r="B77" s="2"/>
      <c r="C77" s="65" t="s">
        <v>456</v>
      </c>
      <c r="D77" s="65"/>
      <c r="E77" s="32" t="str">
        <f>IF(反映シート!E92&lt;&gt;"","OK","NG")</f>
        <v>NG</v>
      </c>
      <c r="F77" s="2"/>
      <c r="G77" s="2"/>
      <c r="H77" s="2"/>
      <c r="I77" s="2"/>
      <c r="J77" s="2"/>
      <c r="K77" s="2"/>
      <c r="L77" s="2"/>
      <c r="M77" s="2"/>
      <c r="N77" s="2"/>
      <c r="O77" s="2"/>
      <c r="P77" s="2"/>
      <c r="Q77" s="2"/>
      <c r="R77" s="2"/>
      <c r="S77" s="2"/>
      <c r="T77" s="2"/>
      <c r="U77" s="23"/>
      <c r="V77" s="23"/>
      <c r="W77" s="23"/>
      <c r="X77" s="42"/>
      <c r="Y77" s="23"/>
      <c r="Z77" s="23"/>
      <c r="AA77" s="23"/>
      <c r="AB77" s="23"/>
    </row>
    <row r="78" spans="1:28" ht="5.0999999999999996" customHeight="1" x14ac:dyDescent="0.15">
      <c r="A78" s="23"/>
      <c r="B78" s="2"/>
      <c r="C78" s="2"/>
      <c r="D78" s="2"/>
      <c r="E78" s="2"/>
      <c r="F78" s="2"/>
      <c r="G78" s="2"/>
      <c r="H78" s="2"/>
      <c r="I78" s="2"/>
      <c r="J78" s="2"/>
      <c r="K78" s="2"/>
      <c r="L78" s="2"/>
      <c r="M78" s="2"/>
      <c r="N78" s="2"/>
      <c r="O78" s="2"/>
      <c r="P78" s="2"/>
      <c r="Q78" s="2"/>
      <c r="R78" s="2"/>
      <c r="S78" s="2"/>
      <c r="T78" s="2"/>
      <c r="U78" s="23"/>
      <c r="V78" s="23"/>
      <c r="W78" s="23"/>
      <c r="X78" s="42"/>
      <c r="Y78" s="23"/>
      <c r="Z78" s="23"/>
      <c r="AA78" s="23"/>
      <c r="AB78" s="23"/>
    </row>
    <row r="79" spans="1:28" x14ac:dyDescent="0.15">
      <c r="A79" s="23"/>
      <c r="B79" s="2"/>
      <c r="C79" s="2" t="s">
        <v>20</v>
      </c>
      <c r="D79" s="2"/>
      <c r="E79" s="2"/>
      <c r="F79" s="2"/>
      <c r="G79" s="2"/>
      <c r="H79" s="2"/>
      <c r="I79" s="2"/>
      <c r="J79" s="2"/>
      <c r="K79" s="2"/>
      <c r="L79" s="2"/>
      <c r="M79" s="2"/>
      <c r="N79" s="2"/>
      <c r="O79" s="2"/>
      <c r="P79" s="2"/>
      <c r="Q79" s="2"/>
      <c r="R79" s="2"/>
      <c r="S79" s="2"/>
      <c r="T79" s="2"/>
      <c r="U79" s="23"/>
      <c r="V79" s="23"/>
      <c r="W79" s="23"/>
      <c r="X79" s="42" t="str">
        <f>IF(反映シート!$E$15&lt;&gt;"なし",IF(COUNTIF(E81:E93,"NG")=0,"OK","NG"),"OK")</f>
        <v>OK</v>
      </c>
      <c r="Y79" s="23"/>
      <c r="Z79" s="23"/>
      <c r="AA79" s="23"/>
      <c r="AB79" s="23"/>
    </row>
    <row r="80" spans="1:28" ht="5.0999999999999996" customHeight="1" thickBot="1" x14ac:dyDescent="0.2">
      <c r="A80" s="23"/>
      <c r="B80" s="2"/>
      <c r="C80" s="2"/>
      <c r="D80" s="2"/>
      <c r="E80" s="2"/>
      <c r="F80" s="2"/>
      <c r="G80" s="2"/>
      <c r="H80" s="2"/>
      <c r="I80" s="2"/>
      <c r="J80" s="2"/>
      <c r="K80" s="2"/>
      <c r="L80" s="2"/>
      <c r="M80" s="2"/>
      <c r="N80" s="2"/>
      <c r="O80" s="2"/>
      <c r="P80" s="2"/>
      <c r="Q80" s="2"/>
      <c r="R80" s="2"/>
      <c r="S80" s="2"/>
      <c r="T80" s="2"/>
      <c r="U80" s="23"/>
      <c r="V80" s="23"/>
      <c r="W80" s="23"/>
      <c r="X80" s="42"/>
      <c r="Y80" s="23"/>
      <c r="Z80" s="23"/>
      <c r="AA80" s="23"/>
      <c r="AB80" s="23"/>
    </row>
    <row r="81" spans="1:28" ht="14.25" thickBot="1" x14ac:dyDescent="0.2">
      <c r="A81" s="23"/>
      <c r="B81" s="2"/>
      <c r="C81" s="63" t="s">
        <v>67</v>
      </c>
      <c r="D81" s="63"/>
      <c r="E81" s="32" t="str">
        <f>IF(反映シート!E96&lt;&gt;"","OK","NG")</f>
        <v>NG</v>
      </c>
      <c r="F81" s="2"/>
      <c r="G81" s="2"/>
      <c r="H81" s="2"/>
      <c r="I81" s="2"/>
      <c r="J81" s="2"/>
      <c r="K81" s="2"/>
      <c r="L81" s="2"/>
      <c r="M81" s="2"/>
      <c r="N81" s="2"/>
      <c r="O81" s="2"/>
      <c r="P81" s="2"/>
      <c r="Q81" s="2"/>
      <c r="R81" s="2"/>
      <c r="S81" s="2"/>
      <c r="T81" s="2"/>
      <c r="U81" s="23"/>
      <c r="V81" s="23"/>
      <c r="W81" s="23"/>
      <c r="X81" s="42"/>
      <c r="Y81" s="23"/>
      <c r="Z81" s="23"/>
      <c r="AA81" s="23"/>
      <c r="AB81" s="23"/>
    </row>
    <row r="82" spans="1:28" ht="5.0999999999999996" customHeight="1" thickBot="1" x14ac:dyDescent="0.2">
      <c r="A82" s="23"/>
      <c r="B82" s="2"/>
      <c r="C82" s="2"/>
      <c r="D82" s="2"/>
      <c r="E82" s="2"/>
      <c r="F82" s="2"/>
      <c r="G82" s="2"/>
      <c r="H82" s="2"/>
      <c r="I82" s="2"/>
      <c r="J82" s="2"/>
      <c r="K82" s="2"/>
      <c r="L82" s="2"/>
      <c r="M82" s="2"/>
      <c r="N82" s="2"/>
      <c r="O82" s="2"/>
      <c r="P82" s="2"/>
      <c r="Q82" s="2"/>
      <c r="R82" s="2"/>
      <c r="S82" s="2"/>
      <c r="T82" s="2"/>
      <c r="U82" s="23"/>
      <c r="V82" s="23"/>
      <c r="W82" s="23"/>
      <c r="X82" s="42"/>
      <c r="Y82" s="23"/>
      <c r="Z82" s="23"/>
      <c r="AA82" s="23"/>
      <c r="AB82" s="23"/>
    </row>
    <row r="83" spans="1:28" ht="14.25" thickBot="1" x14ac:dyDescent="0.2">
      <c r="A83" s="23"/>
      <c r="B83" s="2"/>
      <c r="C83" s="63" t="s">
        <v>69</v>
      </c>
      <c r="D83" s="63"/>
      <c r="E83" s="32" t="str">
        <f>IF(反映シート!E98&lt;&gt;"","OK","NG")</f>
        <v>NG</v>
      </c>
      <c r="F83" s="2"/>
      <c r="G83" s="2"/>
      <c r="H83" s="2"/>
      <c r="I83" s="2"/>
      <c r="J83" s="2"/>
      <c r="K83" s="2"/>
      <c r="L83" s="2"/>
      <c r="M83" s="2"/>
      <c r="N83" s="2"/>
      <c r="O83" s="2"/>
      <c r="P83" s="2"/>
      <c r="Q83" s="34" t="str">
        <f>S83&amp;S85</f>
        <v>22</v>
      </c>
      <c r="R83" s="2"/>
      <c r="S83" s="27">
        <f>IF(E83="OK",1,2)</f>
        <v>2</v>
      </c>
      <c r="T83" s="2"/>
      <c r="U83" s="23"/>
      <c r="V83" s="23"/>
      <c r="W83" s="23"/>
      <c r="X83" s="42"/>
      <c r="Y83" s="23"/>
      <c r="Z83" s="23"/>
      <c r="AA83" s="23"/>
      <c r="AB83" s="23"/>
    </row>
    <row r="84" spans="1:28" ht="5.0999999999999996" customHeight="1" thickBot="1" x14ac:dyDescent="0.2">
      <c r="A84" s="23"/>
      <c r="B84" s="2"/>
      <c r="C84" s="2"/>
      <c r="D84" s="2"/>
      <c r="E84" s="2"/>
      <c r="F84" s="2"/>
      <c r="G84" s="2"/>
      <c r="H84" s="2"/>
      <c r="I84" s="2"/>
      <c r="J84" s="2"/>
      <c r="K84" s="2"/>
      <c r="L84" s="2"/>
      <c r="M84" s="2"/>
      <c r="N84" s="2"/>
      <c r="O84" s="2"/>
      <c r="P84" s="2"/>
      <c r="Q84" s="2"/>
      <c r="R84" s="2"/>
      <c r="S84" s="2"/>
      <c r="T84" s="2"/>
      <c r="U84" s="23"/>
      <c r="V84" s="23"/>
      <c r="W84" s="23"/>
      <c r="X84" s="42"/>
      <c r="Y84" s="23"/>
      <c r="Z84" s="23"/>
      <c r="AA84" s="23"/>
      <c r="AB84" s="23"/>
    </row>
    <row r="85" spans="1:28" ht="14.25" thickBot="1" x14ac:dyDescent="0.2">
      <c r="A85" s="23"/>
      <c r="B85" s="2"/>
      <c r="C85" s="63" t="s">
        <v>70</v>
      </c>
      <c r="D85" s="63"/>
      <c r="E85" s="32" t="str">
        <f>IF(反映シート!E100&lt;&gt;"","OK","NG")</f>
        <v>NG</v>
      </c>
      <c r="F85" s="2"/>
      <c r="G85" s="2"/>
      <c r="H85" s="2"/>
      <c r="I85" s="2"/>
      <c r="J85" s="2"/>
      <c r="K85" s="2"/>
      <c r="L85" s="2"/>
      <c r="M85" s="2"/>
      <c r="N85" s="2"/>
      <c r="O85" s="2"/>
      <c r="P85" s="2"/>
      <c r="Q85" s="2"/>
      <c r="R85" s="2"/>
      <c r="S85" s="27">
        <f>IF(E85="OK",1,2)</f>
        <v>2</v>
      </c>
      <c r="T85" s="2"/>
      <c r="U85" s="23"/>
      <c r="V85" s="23"/>
      <c r="W85" s="23"/>
      <c r="X85" s="42"/>
      <c r="Y85" s="23"/>
      <c r="Z85" s="23"/>
      <c r="AA85" s="23"/>
      <c r="AB85" s="23"/>
    </row>
    <row r="86" spans="1:28" ht="5.0999999999999996" customHeight="1" thickBot="1" x14ac:dyDescent="0.2">
      <c r="A86" s="23"/>
      <c r="B86" s="2"/>
      <c r="C86" s="2"/>
      <c r="D86" s="2"/>
      <c r="E86" s="2"/>
      <c r="F86" s="2"/>
      <c r="G86" s="2"/>
      <c r="H86" s="2"/>
      <c r="I86" s="2"/>
      <c r="J86" s="2"/>
      <c r="K86" s="2"/>
      <c r="L86" s="2"/>
      <c r="M86" s="2"/>
      <c r="N86" s="2"/>
      <c r="O86" s="2"/>
      <c r="P86" s="2"/>
      <c r="Q86" s="2"/>
      <c r="R86" s="2"/>
      <c r="S86" s="2"/>
      <c r="T86" s="2"/>
      <c r="U86" s="23"/>
      <c r="V86" s="23"/>
      <c r="W86" s="23"/>
      <c r="X86" s="42"/>
      <c r="Y86" s="23"/>
      <c r="Z86" s="23"/>
      <c r="AA86" s="23"/>
      <c r="AB86" s="23"/>
    </row>
    <row r="87" spans="1:28" ht="14.25" thickBot="1" x14ac:dyDescent="0.2">
      <c r="A87" s="23"/>
      <c r="B87" s="2"/>
      <c r="C87" s="63" t="s">
        <v>88</v>
      </c>
      <c r="D87" s="63"/>
      <c r="E87" s="32" t="str">
        <f>IF(反映シート!E102&lt;&gt;"","OK","NG")</f>
        <v>NG</v>
      </c>
      <c r="F87" s="2"/>
      <c r="G87" s="2"/>
      <c r="H87" s="2"/>
      <c r="I87" s="2"/>
      <c r="J87" s="2"/>
      <c r="K87" s="2"/>
      <c r="L87" s="2"/>
      <c r="M87" s="2"/>
      <c r="N87" s="2"/>
      <c r="O87" s="2"/>
      <c r="P87" s="2"/>
      <c r="Q87" s="34" t="str">
        <f>S87&amp;S89</f>
        <v>22</v>
      </c>
      <c r="R87" s="2"/>
      <c r="S87" s="27">
        <f>IF(E87="OK",1,2)</f>
        <v>2</v>
      </c>
      <c r="T87" s="2"/>
      <c r="U87" s="23"/>
      <c r="V87" s="23"/>
      <c r="W87" s="23"/>
      <c r="X87" s="42"/>
      <c r="Y87" s="23"/>
      <c r="Z87" s="23"/>
      <c r="AA87" s="23"/>
      <c r="AB87" s="23"/>
    </row>
    <row r="88" spans="1:28" ht="5.0999999999999996" customHeight="1" thickBot="1" x14ac:dyDescent="0.2">
      <c r="A88" s="23"/>
      <c r="B88" s="2"/>
      <c r="C88" s="2"/>
      <c r="D88" s="2"/>
      <c r="E88" s="2"/>
      <c r="F88" s="2"/>
      <c r="G88" s="2"/>
      <c r="H88" s="2"/>
      <c r="I88" s="2"/>
      <c r="J88" s="2"/>
      <c r="K88" s="2"/>
      <c r="L88" s="2"/>
      <c r="M88" s="2"/>
      <c r="N88" s="2"/>
      <c r="O88" s="2"/>
      <c r="P88" s="2"/>
      <c r="Q88" s="2"/>
      <c r="R88" s="2"/>
      <c r="S88" s="2"/>
      <c r="T88" s="2"/>
      <c r="U88" s="23"/>
      <c r="V88" s="23"/>
      <c r="W88" s="23"/>
      <c r="X88" s="42"/>
      <c r="Y88" s="23"/>
      <c r="Z88" s="23"/>
      <c r="AA88" s="23"/>
      <c r="AB88" s="23"/>
    </row>
    <row r="89" spans="1:28" ht="14.25" thickBot="1" x14ac:dyDescent="0.2">
      <c r="A89" s="23"/>
      <c r="B89" s="2"/>
      <c r="C89" s="63" t="s">
        <v>124</v>
      </c>
      <c r="D89" s="63"/>
      <c r="E89" s="32" t="str">
        <f>IF(反映シート!E104&lt;&gt;"","OK","NG")</f>
        <v>NG</v>
      </c>
      <c r="F89" s="2"/>
      <c r="G89" s="2"/>
      <c r="H89" s="2"/>
      <c r="I89" s="2"/>
      <c r="J89" s="2"/>
      <c r="K89" s="2"/>
      <c r="L89" s="2"/>
      <c r="M89" s="2"/>
      <c r="N89" s="2"/>
      <c r="O89" s="2"/>
      <c r="P89" s="2"/>
      <c r="Q89" s="2"/>
      <c r="R89" s="2"/>
      <c r="S89" s="27">
        <f>IF(E89="OK",1,2)</f>
        <v>2</v>
      </c>
      <c r="T89" s="2"/>
      <c r="U89" s="23"/>
      <c r="V89" s="23"/>
      <c r="W89" s="23"/>
      <c r="X89" s="42"/>
      <c r="Y89" s="23"/>
      <c r="Z89" s="23"/>
      <c r="AA89" s="23"/>
      <c r="AB89" s="23"/>
    </row>
    <row r="90" spans="1:28" ht="5.0999999999999996" customHeight="1" thickBot="1" x14ac:dyDescent="0.2">
      <c r="A90" s="23"/>
      <c r="B90" s="2"/>
      <c r="C90" s="2"/>
      <c r="D90" s="2"/>
      <c r="E90" s="2"/>
      <c r="F90" s="2"/>
      <c r="G90" s="2"/>
      <c r="H90" s="2"/>
      <c r="I90" s="2"/>
      <c r="J90" s="2"/>
      <c r="K90" s="2"/>
      <c r="L90" s="2"/>
      <c r="M90" s="2"/>
      <c r="N90" s="2"/>
      <c r="O90" s="2"/>
      <c r="P90" s="2"/>
      <c r="Q90" s="2"/>
      <c r="R90" s="2"/>
      <c r="S90" s="2"/>
      <c r="T90" s="2"/>
      <c r="U90" s="23"/>
      <c r="V90" s="23"/>
      <c r="W90" s="23"/>
      <c r="X90" s="42"/>
      <c r="Y90" s="23"/>
      <c r="Z90" s="23"/>
      <c r="AA90" s="23"/>
      <c r="AB90" s="23"/>
    </row>
    <row r="91" spans="1:28" ht="14.25" thickBot="1" x14ac:dyDescent="0.2">
      <c r="A91" s="23"/>
      <c r="B91" s="2"/>
      <c r="C91" s="63" t="s">
        <v>90</v>
      </c>
      <c r="D91" s="63"/>
      <c r="E91" s="32" t="str">
        <f>IF(反映シート!E106&lt;&gt;"","OK","NG")</f>
        <v>NG</v>
      </c>
      <c r="F91" s="2"/>
      <c r="G91" s="2"/>
      <c r="H91" s="2"/>
      <c r="I91" s="2"/>
      <c r="J91" s="2"/>
      <c r="K91" s="2"/>
      <c r="L91" s="2"/>
      <c r="M91" s="2"/>
      <c r="N91" s="2"/>
      <c r="O91" s="2"/>
      <c r="P91" s="2"/>
      <c r="Q91" s="2"/>
      <c r="R91" s="2"/>
      <c r="S91" s="2"/>
      <c r="T91" s="2"/>
      <c r="U91" s="23"/>
      <c r="V91" s="23"/>
      <c r="W91" s="23"/>
      <c r="X91" s="42"/>
      <c r="Y91" s="23"/>
      <c r="Z91" s="23"/>
      <c r="AA91" s="23"/>
      <c r="AB91" s="23"/>
    </row>
    <row r="92" spans="1:28" ht="5.0999999999999996" customHeight="1" thickBot="1" x14ac:dyDescent="0.2">
      <c r="A92" s="23"/>
      <c r="B92" s="2"/>
      <c r="C92" s="2"/>
      <c r="D92" s="2"/>
      <c r="E92" s="2"/>
      <c r="F92" s="2"/>
      <c r="G92" s="2"/>
      <c r="H92" s="2"/>
      <c r="I92" s="2"/>
      <c r="J92" s="2"/>
      <c r="K92" s="2"/>
      <c r="L92" s="2"/>
      <c r="M92" s="2"/>
      <c r="N92" s="2"/>
      <c r="O92" s="2"/>
      <c r="P92" s="2"/>
      <c r="Q92" s="2"/>
      <c r="R92" s="2"/>
      <c r="S92" s="2"/>
      <c r="T92" s="2"/>
      <c r="U92" s="23"/>
      <c r="V92" s="23"/>
      <c r="W92" s="23"/>
      <c r="X92" s="42"/>
      <c r="Y92" s="23"/>
      <c r="Z92" s="23"/>
      <c r="AA92" s="23"/>
      <c r="AB92" s="23"/>
    </row>
    <row r="93" spans="1:28" ht="14.25" thickBot="1" x14ac:dyDescent="0.2">
      <c r="A93" s="23"/>
      <c r="B93" s="2"/>
      <c r="C93" s="63" t="s">
        <v>91</v>
      </c>
      <c r="D93" s="63"/>
      <c r="E93" s="32" t="str">
        <f>IF(OR(反映シート!E108="男",反映シート!E108="女"),"OK","NG")</f>
        <v>NG</v>
      </c>
      <c r="F93" s="2"/>
      <c r="G93" s="2"/>
      <c r="H93" s="2"/>
      <c r="I93" s="2"/>
      <c r="J93" s="2"/>
      <c r="K93" s="2"/>
      <c r="L93" s="2"/>
      <c r="M93" s="2"/>
      <c r="N93" s="2"/>
      <c r="O93" s="2"/>
      <c r="P93" s="2"/>
      <c r="Q93" s="2"/>
      <c r="R93" s="2"/>
      <c r="S93" s="2"/>
      <c r="T93" s="2"/>
      <c r="U93" s="23"/>
      <c r="V93" s="23"/>
      <c r="W93" s="23"/>
      <c r="X93" s="42"/>
      <c r="Y93" s="23"/>
      <c r="Z93" s="23"/>
      <c r="AA93" s="23"/>
      <c r="AB93" s="23"/>
    </row>
    <row r="94" spans="1:28" ht="5.0999999999999996" customHeight="1" thickBot="1" x14ac:dyDescent="0.2">
      <c r="A94" s="23"/>
      <c r="B94" s="2"/>
      <c r="C94" s="2"/>
      <c r="D94" s="2"/>
      <c r="E94" s="2"/>
      <c r="F94" s="2"/>
      <c r="G94" s="2"/>
      <c r="H94" s="2"/>
      <c r="I94" s="2"/>
      <c r="J94" s="2"/>
      <c r="K94" s="2"/>
      <c r="L94" s="2"/>
      <c r="M94" s="2"/>
      <c r="N94" s="2"/>
      <c r="O94" s="2"/>
      <c r="P94" s="2"/>
      <c r="Q94" s="2"/>
      <c r="R94" s="2"/>
      <c r="S94" s="2"/>
      <c r="T94" s="2"/>
      <c r="U94" s="23"/>
      <c r="V94" s="23"/>
      <c r="W94" s="23"/>
      <c r="X94" s="42"/>
      <c r="Y94" s="23"/>
      <c r="Z94" s="23"/>
      <c r="AA94" s="23"/>
      <c r="AB94" s="23"/>
    </row>
    <row r="95" spans="1:28" ht="14.25" thickBot="1" x14ac:dyDescent="0.2">
      <c r="A95" s="23"/>
      <c r="B95" s="2"/>
      <c r="C95" s="363" t="s">
        <v>292</v>
      </c>
      <c r="D95" s="363"/>
      <c r="E95" s="32" t="str">
        <f>IF(AND(反映シート!$E$15="トラック事業者",COUNTIF(リスト!$C$1:$C$4,反映シート!E110)=1),"OK",IF(AND(反映シート!E15="荷主等",反映シート!E110="【オ】　荷主等"),"OK",IF(反映シート!E15="リース事業者","OK","NG")))</f>
        <v>NG</v>
      </c>
      <c r="F95" s="2"/>
      <c r="G95" s="2"/>
      <c r="H95" s="2"/>
      <c r="I95" s="2"/>
      <c r="J95" s="2"/>
      <c r="K95" s="2"/>
      <c r="L95" s="2"/>
      <c r="M95" s="2"/>
      <c r="N95" s="2"/>
      <c r="O95" s="2"/>
      <c r="P95" s="2"/>
      <c r="Q95" s="2"/>
      <c r="R95" s="2"/>
      <c r="S95" s="2"/>
      <c r="T95" s="2"/>
      <c r="U95" s="23"/>
      <c r="V95" s="23"/>
      <c r="W95" s="23"/>
      <c r="X95" s="42"/>
      <c r="Y95" s="23"/>
      <c r="Z95" s="23"/>
      <c r="AA95" s="23"/>
      <c r="AB95" s="23"/>
    </row>
    <row r="96" spans="1:28" ht="5.0999999999999996" customHeight="1" x14ac:dyDescent="0.15">
      <c r="A96" s="23"/>
      <c r="B96" s="2"/>
      <c r="C96" s="2"/>
      <c r="D96" s="2"/>
      <c r="E96" s="2"/>
      <c r="F96" s="2"/>
      <c r="G96" s="2"/>
      <c r="H96" s="2"/>
      <c r="I96" s="2"/>
      <c r="J96" s="2"/>
      <c r="K96" s="2"/>
      <c r="L96" s="2"/>
      <c r="M96" s="2"/>
      <c r="N96" s="2"/>
      <c r="O96" s="2"/>
      <c r="P96" s="2"/>
      <c r="Q96" s="2"/>
      <c r="R96" s="2"/>
      <c r="S96" s="2"/>
      <c r="T96" s="2"/>
      <c r="U96" s="23"/>
      <c r="V96" s="23"/>
      <c r="W96" s="23"/>
      <c r="X96" s="42"/>
      <c r="Y96" s="23"/>
      <c r="Z96" s="23"/>
      <c r="AA96" s="23"/>
      <c r="AB96" s="23"/>
    </row>
    <row r="97" spans="1:28" x14ac:dyDescent="0.15">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row>
    <row r="98" spans="1:28" ht="5.0999999999999996" customHeight="1" x14ac:dyDescent="0.15">
      <c r="A98" s="23"/>
      <c r="B98" s="4"/>
      <c r="C98" s="4"/>
      <c r="D98" s="4"/>
      <c r="E98" s="4"/>
      <c r="F98" s="4"/>
      <c r="G98" s="4"/>
      <c r="H98" s="4"/>
      <c r="I98" s="4"/>
      <c r="J98" s="4"/>
      <c r="K98" s="4"/>
      <c r="L98" s="4"/>
      <c r="M98" s="4"/>
      <c r="N98" s="4"/>
      <c r="O98" s="4"/>
      <c r="P98" s="4"/>
      <c r="Q98" s="4"/>
      <c r="R98" s="4"/>
      <c r="S98" s="4"/>
      <c r="T98" s="4"/>
      <c r="U98" s="23"/>
      <c r="V98" s="23"/>
      <c r="W98" s="23"/>
      <c r="X98" s="42"/>
      <c r="Y98" s="23"/>
      <c r="Z98" s="23"/>
      <c r="AA98" s="23"/>
      <c r="AB98" s="23"/>
    </row>
    <row r="99" spans="1:28" x14ac:dyDescent="0.15">
      <c r="A99" s="23"/>
      <c r="B99" s="4" t="s">
        <v>341</v>
      </c>
      <c r="C99" s="4"/>
      <c r="D99" s="4"/>
      <c r="E99" s="4"/>
      <c r="F99" s="4"/>
      <c r="G99" s="4"/>
      <c r="H99" s="4"/>
      <c r="I99" s="4"/>
      <c r="J99" s="4"/>
      <c r="K99" s="4"/>
      <c r="L99" s="4"/>
      <c r="M99" s="4"/>
      <c r="N99" s="4"/>
      <c r="O99" s="4"/>
      <c r="P99" s="4"/>
      <c r="Q99" s="4"/>
      <c r="R99" s="4"/>
      <c r="S99" s="4"/>
      <c r="T99" s="4"/>
      <c r="U99" s="23"/>
      <c r="V99" s="23"/>
      <c r="W99" s="23"/>
      <c r="X99" s="42"/>
      <c r="Y99" s="23"/>
      <c r="Z99" s="23"/>
      <c r="AA99" s="23"/>
      <c r="AB99" s="23"/>
    </row>
    <row r="100" spans="1:28" ht="5.0999999999999996" customHeight="1" thickBot="1" x14ac:dyDescent="0.2">
      <c r="A100" s="23"/>
      <c r="B100" s="4"/>
      <c r="C100" s="4"/>
      <c r="D100" s="4"/>
      <c r="E100" s="4"/>
      <c r="F100" s="4"/>
      <c r="G100" s="4"/>
      <c r="H100" s="4"/>
      <c r="I100" s="4"/>
      <c r="J100" s="4"/>
      <c r="K100" s="4"/>
      <c r="L100" s="4"/>
      <c r="M100" s="4"/>
      <c r="N100" s="4"/>
      <c r="O100" s="4"/>
      <c r="P100" s="4"/>
      <c r="Q100" s="4"/>
      <c r="R100" s="4"/>
      <c r="S100" s="4"/>
      <c r="T100" s="4"/>
      <c r="U100" s="23"/>
      <c r="V100" s="23"/>
      <c r="W100" s="23"/>
      <c r="X100" s="42"/>
      <c r="Y100" s="23"/>
      <c r="Z100" s="23"/>
      <c r="AA100" s="23"/>
      <c r="AB100" s="23"/>
    </row>
    <row r="101" spans="1:28" ht="14.25" thickBot="1" x14ac:dyDescent="0.2">
      <c r="A101" s="23"/>
      <c r="B101" s="4"/>
      <c r="C101" s="4"/>
      <c r="D101" s="4"/>
      <c r="E101" s="32" t="str">
        <f>IF(OR(反映シート!C116=TRUE,反映シート!C120=TRUE,反映シート!C122=TRUE,反映シート!C124=TRUE,反映シート!C126=TRUE,反映シート!C128=TRUE,反映シート!C130=TRUE),"OK","NG")</f>
        <v>NG</v>
      </c>
      <c r="F101" s="4"/>
      <c r="G101" s="4"/>
      <c r="H101" s="4"/>
      <c r="I101" s="4"/>
      <c r="J101" s="4"/>
      <c r="K101" s="4"/>
      <c r="L101" s="4"/>
      <c r="M101" s="4"/>
      <c r="N101" s="4"/>
      <c r="O101" s="4"/>
      <c r="P101" s="4"/>
      <c r="Q101" s="4"/>
      <c r="R101" s="4"/>
      <c r="S101" s="4"/>
      <c r="T101" s="4"/>
      <c r="U101" s="23"/>
      <c r="V101" s="23"/>
      <c r="W101" s="23"/>
      <c r="X101" s="42" t="str">
        <f>IF(COUNTIF(E101:E103,"NG")=0,"OK","NG")</f>
        <v>NG</v>
      </c>
      <c r="Y101" s="23"/>
      <c r="Z101" s="23"/>
      <c r="AA101" s="23"/>
      <c r="AB101" s="23"/>
    </row>
    <row r="102" spans="1:28" ht="5.0999999999999996" customHeight="1" thickBot="1" x14ac:dyDescent="0.2">
      <c r="A102" s="23"/>
      <c r="B102" s="4"/>
      <c r="C102" s="4"/>
      <c r="D102" s="4"/>
      <c r="E102" s="4"/>
      <c r="F102" s="4"/>
      <c r="G102" s="4"/>
      <c r="H102" s="4"/>
      <c r="I102" s="4"/>
      <c r="J102" s="4"/>
      <c r="K102" s="4"/>
      <c r="L102" s="4"/>
      <c r="M102" s="4"/>
      <c r="N102" s="4"/>
      <c r="O102" s="4"/>
      <c r="P102" s="4"/>
      <c r="Q102" s="4"/>
      <c r="R102" s="4"/>
      <c r="S102" s="4"/>
      <c r="T102" s="4"/>
      <c r="U102" s="23"/>
      <c r="V102" s="23"/>
      <c r="W102" s="23"/>
      <c r="X102" s="42"/>
      <c r="Y102" s="23"/>
      <c r="Z102" s="23"/>
      <c r="AA102" s="23"/>
      <c r="AB102" s="23"/>
    </row>
    <row r="103" spans="1:28" ht="14.25" thickBot="1" x14ac:dyDescent="0.2">
      <c r="A103" s="23"/>
      <c r="B103" s="4"/>
      <c r="C103" s="44" t="s">
        <v>255</v>
      </c>
      <c r="D103" s="4"/>
      <c r="E103" s="32" t="str">
        <f>IF(反映シート!$C$137&lt;&gt;"","OK","NG")</f>
        <v>NG</v>
      </c>
      <c r="F103" s="4"/>
      <c r="G103" s="4"/>
      <c r="H103" s="4"/>
      <c r="I103" s="4"/>
      <c r="J103" s="4"/>
      <c r="K103" s="4"/>
      <c r="L103" s="4"/>
      <c r="M103" s="4"/>
      <c r="N103" s="4"/>
      <c r="O103" s="4"/>
      <c r="P103" s="4"/>
      <c r="Q103" s="4"/>
      <c r="R103" s="4"/>
      <c r="S103" s="4"/>
      <c r="T103" s="4"/>
      <c r="U103" s="23"/>
      <c r="V103" s="23"/>
      <c r="W103" s="23"/>
      <c r="X103" s="42"/>
      <c r="Y103" s="23"/>
      <c r="Z103" s="23"/>
      <c r="AA103" s="23"/>
      <c r="AB103" s="23"/>
    </row>
    <row r="104" spans="1:28" ht="5.0999999999999996" customHeight="1" x14ac:dyDescent="0.15">
      <c r="A104" s="23"/>
      <c r="B104" s="4"/>
      <c r="C104" s="4"/>
      <c r="D104" s="4"/>
      <c r="E104" s="4"/>
      <c r="F104" s="4"/>
      <c r="G104" s="4"/>
      <c r="H104" s="4"/>
      <c r="I104" s="4"/>
      <c r="J104" s="4"/>
      <c r="K104" s="4"/>
      <c r="L104" s="4"/>
      <c r="M104" s="4"/>
      <c r="N104" s="4"/>
      <c r="O104" s="4"/>
      <c r="P104" s="4"/>
      <c r="Q104" s="4"/>
      <c r="R104" s="4"/>
      <c r="S104" s="4"/>
      <c r="T104" s="4"/>
      <c r="U104" s="23"/>
      <c r="V104" s="23"/>
      <c r="W104" s="23"/>
      <c r="X104" s="42"/>
      <c r="Y104" s="23"/>
      <c r="Z104" s="23"/>
      <c r="AA104" s="23"/>
      <c r="AB104" s="23"/>
    </row>
    <row r="105" spans="1:28" ht="19.5" customHeight="1" x14ac:dyDescent="0.15">
      <c r="B105" s="4"/>
      <c r="C105" s="53" t="s">
        <v>31</v>
      </c>
      <c r="D105" s="54"/>
      <c r="E105" s="54"/>
      <c r="F105" s="54"/>
      <c r="G105" s="54"/>
      <c r="H105" s="54"/>
      <c r="I105" s="54"/>
      <c r="J105" s="54"/>
      <c r="K105" s="54"/>
      <c r="L105" s="54"/>
      <c r="M105" s="54"/>
      <c r="N105" s="54"/>
      <c r="O105" s="54"/>
      <c r="P105" s="54"/>
      <c r="Q105" s="54"/>
      <c r="R105" s="54"/>
      <c r="S105" s="55"/>
      <c r="T105" s="4"/>
      <c r="U105" s="23"/>
      <c r="V105" s="23"/>
      <c r="W105" s="23"/>
      <c r="X105" s="42" t="str">
        <f>IF(COUNTIF(G107:G114,"NG")=0,"OK","NG")</f>
        <v>OK</v>
      </c>
      <c r="Y105" s="23"/>
      <c r="Z105" s="23"/>
      <c r="AA105" s="23"/>
      <c r="AB105" s="23"/>
    </row>
    <row r="106" spans="1:28" ht="5.0999999999999996" customHeight="1" thickBot="1" x14ac:dyDescent="0.2">
      <c r="B106" s="4"/>
      <c r="C106" s="56"/>
      <c r="D106" s="72"/>
      <c r="E106" s="4"/>
      <c r="F106" s="4"/>
      <c r="G106" s="4"/>
      <c r="H106" s="4"/>
      <c r="I106" s="4"/>
      <c r="J106" s="4"/>
      <c r="K106" s="4"/>
      <c r="L106" s="4"/>
      <c r="M106" s="4"/>
      <c r="N106" s="4"/>
      <c r="O106" s="4"/>
      <c r="P106" s="4"/>
      <c r="Q106" s="4"/>
      <c r="R106" s="4"/>
      <c r="S106" s="57"/>
      <c r="T106" s="4"/>
      <c r="U106" s="23"/>
      <c r="V106" s="23"/>
      <c r="W106" s="23"/>
      <c r="X106" s="42"/>
      <c r="Y106" s="23"/>
      <c r="Z106" s="23"/>
      <c r="AA106" s="23"/>
      <c r="AB106" s="23"/>
    </row>
    <row r="107" spans="1:28" ht="14.25" customHeight="1" thickBot="1" x14ac:dyDescent="0.2">
      <c r="B107" s="4"/>
      <c r="C107" s="83" t="s">
        <v>325</v>
      </c>
      <c r="D107" s="4"/>
      <c r="E107" s="4"/>
      <c r="F107" s="4"/>
      <c r="G107" s="85" t="str">
        <f>IF(反映シート!$C$116=TRUE,IF(0&lt;反映シート!I147,"OK","NG"),"OK")</f>
        <v>OK</v>
      </c>
      <c r="H107" s="4"/>
      <c r="I107" s="4"/>
      <c r="J107" s="4"/>
      <c r="K107" s="4"/>
      <c r="L107" s="4"/>
      <c r="M107" s="4"/>
      <c r="N107" s="4"/>
      <c r="O107" s="4"/>
      <c r="P107" s="4"/>
      <c r="Q107" s="88" t="str">
        <f>IF(COUNTIF(G107:G114,"NG")=0,"OK","NG")</f>
        <v>OK</v>
      </c>
      <c r="R107" s="4"/>
      <c r="S107" s="57"/>
      <c r="T107" s="4"/>
      <c r="U107" s="23"/>
      <c r="V107" s="23"/>
      <c r="W107" s="23"/>
      <c r="X107" s="42"/>
      <c r="Y107" s="23"/>
      <c r="Z107" s="23"/>
      <c r="AA107" s="23"/>
      <c r="AB107" s="23"/>
    </row>
    <row r="108" spans="1:28" ht="5.0999999999999996" customHeight="1" thickBot="1" x14ac:dyDescent="0.2">
      <c r="B108" s="4"/>
      <c r="C108" s="71"/>
      <c r="D108" s="4"/>
      <c r="E108" s="4"/>
      <c r="F108" s="4"/>
      <c r="G108" s="13"/>
      <c r="H108" s="4"/>
      <c r="I108" s="4"/>
      <c r="J108" s="4"/>
      <c r="K108" s="4"/>
      <c r="L108" s="4"/>
      <c r="M108" s="4"/>
      <c r="N108" s="4"/>
      <c r="O108" s="4"/>
      <c r="P108" s="4"/>
      <c r="Q108" s="4"/>
      <c r="R108" s="4"/>
      <c r="S108" s="57"/>
      <c r="T108" s="4"/>
      <c r="U108" s="23"/>
      <c r="V108" s="23"/>
      <c r="W108" s="23"/>
      <c r="X108" s="42"/>
      <c r="Y108" s="23"/>
      <c r="Z108" s="23"/>
      <c r="AA108" s="23"/>
      <c r="AB108" s="23"/>
    </row>
    <row r="109" spans="1:28" ht="14.25" customHeight="1" thickBot="1" x14ac:dyDescent="0.2">
      <c r="B109" s="4"/>
      <c r="C109" s="56"/>
      <c r="D109" s="4"/>
      <c r="E109" s="4"/>
      <c r="F109" s="58" t="s">
        <v>309</v>
      </c>
      <c r="G109" s="85" t="str">
        <f>IF(反映シート!$C$116=TRUE,IF(0&lt;反映シート!I149,"OK","NG"),"OK")</f>
        <v>OK</v>
      </c>
      <c r="H109" s="4"/>
      <c r="I109" s="4"/>
      <c r="J109" s="4"/>
      <c r="K109" s="4"/>
      <c r="L109" s="4"/>
      <c r="M109" s="4"/>
      <c r="N109" s="4"/>
      <c r="O109" s="4"/>
      <c r="P109" s="4"/>
      <c r="Q109" s="4"/>
      <c r="R109" s="4"/>
      <c r="S109" s="57"/>
      <c r="T109" s="4"/>
      <c r="U109" s="23"/>
      <c r="V109" s="23"/>
      <c r="W109" s="23"/>
      <c r="X109" s="42"/>
      <c r="Y109" s="23"/>
      <c r="Z109" s="23"/>
      <c r="AA109" s="23"/>
      <c r="AB109" s="23"/>
    </row>
    <row r="110" spans="1:28" ht="11.25" customHeight="1" x14ac:dyDescent="0.15">
      <c r="B110" s="4"/>
      <c r="C110" s="56"/>
      <c r="D110" s="4"/>
      <c r="E110" s="4"/>
      <c r="F110" s="4"/>
      <c r="G110" s="13"/>
      <c r="H110" s="4"/>
      <c r="I110" s="4"/>
      <c r="J110" s="4"/>
      <c r="K110" s="4"/>
      <c r="L110" s="4"/>
      <c r="M110" s="4"/>
      <c r="N110" s="4"/>
      <c r="O110" s="4"/>
      <c r="P110" s="4"/>
      <c r="Q110" s="4"/>
      <c r="R110" s="4"/>
      <c r="S110" s="57"/>
      <c r="T110" s="4"/>
      <c r="U110" s="23"/>
      <c r="V110" s="23"/>
      <c r="W110" s="23"/>
      <c r="X110" s="42"/>
      <c r="Y110" s="23"/>
      <c r="Z110" s="23"/>
      <c r="AA110" s="23"/>
      <c r="AB110" s="23"/>
    </row>
    <row r="111" spans="1:28" ht="14.25" customHeight="1" thickBot="1" x14ac:dyDescent="0.2">
      <c r="B111" s="4"/>
      <c r="C111" s="83" t="s">
        <v>326</v>
      </c>
      <c r="D111" s="58"/>
      <c r="E111" s="4"/>
      <c r="F111" s="4"/>
      <c r="G111" s="13"/>
      <c r="H111" s="4"/>
      <c r="I111" s="4"/>
      <c r="J111" s="4"/>
      <c r="K111" s="4"/>
      <c r="L111" s="4"/>
      <c r="M111" s="4"/>
      <c r="N111" s="4"/>
      <c r="O111" s="4"/>
      <c r="P111" s="4"/>
      <c r="Q111" s="4"/>
      <c r="R111" s="4"/>
      <c r="S111" s="57"/>
      <c r="T111" s="4"/>
      <c r="U111" s="23"/>
      <c r="V111" s="23"/>
      <c r="W111" s="23"/>
      <c r="X111" s="42"/>
      <c r="Y111" s="23"/>
      <c r="Z111" s="23"/>
      <c r="AA111" s="23"/>
      <c r="AB111" s="23"/>
    </row>
    <row r="112" spans="1:28" ht="14.25" customHeight="1" thickBot="1" x14ac:dyDescent="0.2">
      <c r="B112" s="4"/>
      <c r="C112" s="56"/>
      <c r="D112" s="70"/>
      <c r="E112" s="4"/>
      <c r="F112" s="58" t="s">
        <v>308</v>
      </c>
      <c r="G112" s="85" t="str">
        <f>IF(反映シート!$C$116=TRUE,IF(反映シート!I147&lt;=反映シート!I152,"OK","NG"),"OK")</f>
        <v>OK</v>
      </c>
      <c r="H112" s="4"/>
      <c r="I112" s="4"/>
      <c r="J112" s="4"/>
      <c r="K112" s="4"/>
      <c r="L112" s="4"/>
      <c r="M112" s="4"/>
      <c r="N112" s="4"/>
      <c r="O112" s="4"/>
      <c r="P112" s="4"/>
      <c r="Q112" s="4"/>
      <c r="R112" s="4"/>
      <c r="S112" s="57"/>
      <c r="T112" s="4"/>
      <c r="U112" s="23"/>
      <c r="V112" s="23"/>
      <c r="W112" s="23"/>
      <c r="X112" s="42"/>
      <c r="Y112" s="23"/>
      <c r="Z112" s="23"/>
      <c r="AA112" s="23"/>
      <c r="AB112" s="23"/>
    </row>
    <row r="113" spans="2:31" ht="11.25" customHeight="1" thickBot="1" x14ac:dyDescent="0.2">
      <c r="B113" s="4"/>
      <c r="C113" s="56"/>
      <c r="D113" s="4"/>
      <c r="E113" s="4"/>
      <c r="F113" s="4"/>
      <c r="G113" s="13"/>
      <c r="H113" s="4"/>
      <c r="I113" s="4"/>
      <c r="J113" s="4"/>
      <c r="K113" s="4"/>
      <c r="L113" s="4"/>
      <c r="M113" s="4"/>
      <c r="N113" s="4"/>
      <c r="O113" s="4"/>
      <c r="P113" s="4"/>
      <c r="Q113" s="4"/>
      <c r="R113" s="4"/>
      <c r="S113" s="57"/>
      <c r="T113" s="4"/>
      <c r="U113" s="23"/>
      <c r="V113" s="23"/>
      <c r="W113" s="23"/>
      <c r="X113" s="42"/>
      <c r="Y113" s="23"/>
      <c r="Z113" s="23"/>
      <c r="AA113" s="23"/>
      <c r="AB113" s="23"/>
    </row>
    <row r="114" spans="2:31" ht="14.25" customHeight="1" thickBot="1" x14ac:dyDescent="0.2">
      <c r="B114" s="4"/>
      <c r="C114" s="74" t="s">
        <v>327</v>
      </c>
      <c r="D114" s="4"/>
      <c r="E114" s="4"/>
      <c r="F114" s="4"/>
      <c r="G114" s="85" t="str">
        <f>IF(反映シート!$C$116=TRUE,IF(OR(反映シート!I155=TRUE,反映シート!I157=TRUE,反映シート!I159=TRUE),"OK","NG"),"OK")</f>
        <v>OK</v>
      </c>
      <c r="H114" s="4"/>
      <c r="I114" s="4"/>
      <c r="J114" s="4"/>
      <c r="K114" s="4"/>
      <c r="L114" s="4"/>
      <c r="M114" s="4"/>
      <c r="N114" s="4"/>
      <c r="O114" s="4"/>
      <c r="P114" s="4"/>
      <c r="Q114" s="4"/>
      <c r="R114" s="4"/>
      <c r="S114" s="57"/>
      <c r="T114" s="4"/>
      <c r="U114" s="23"/>
      <c r="V114" s="23"/>
      <c r="W114" s="23"/>
      <c r="X114" s="42"/>
      <c r="Y114" s="23"/>
      <c r="Z114" s="23"/>
      <c r="AA114" s="23"/>
      <c r="AB114" s="23"/>
    </row>
    <row r="115" spans="2:31" ht="5.0999999999999996" customHeight="1" x14ac:dyDescent="0.15">
      <c r="B115" s="4"/>
      <c r="C115" s="59"/>
      <c r="D115" s="75"/>
      <c r="E115" s="60"/>
      <c r="F115" s="60"/>
      <c r="G115" s="86"/>
      <c r="H115" s="60"/>
      <c r="I115" s="60"/>
      <c r="J115" s="60"/>
      <c r="K115" s="60"/>
      <c r="L115" s="60"/>
      <c r="M115" s="60"/>
      <c r="N115" s="60"/>
      <c r="O115" s="60"/>
      <c r="P115" s="60"/>
      <c r="Q115" s="60"/>
      <c r="R115" s="60"/>
      <c r="S115" s="61"/>
      <c r="T115" s="4"/>
      <c r="U115" s="23"/>
      <c r="V115" s="23"/>
      <c r="W115" s="23"/>
      <c r="X115" s="42"/>
      <c r="Y115" s="23"/>
      <c r="Z115" s="23"/>
      <c r="AA115" s="23"/>
      <c r="AB115" s="23"/>
    </row>
    <row r="116" spans="2:31" ht="14.25" customHeight="1" x14ac:dyDescent="0.15">
      <c r="B116" s="4"/>
      <c r="C116" s="74"/>
      <c r="D116" s="4"/>
      <c r="E116" s="4"/>
      <c r="F116" s="4"/>
      <c r="G116" s="13"/>
      <c r="H116" s="58"/>
      <c r="I116" s="58"/>
      <c r="J116" s="58"/>
      <c r="K116" s="58"/>
      <c r="L116" s="58"/>
      <c r="M116" s="4"/>
      <c r="N116" s="58"/>
      <c r="O116" s="58"/>
      <c r="P116" s="58"/>
      <c r="Q116" s="58"/>
      <c r="R116" s="58"/>
      <c r="S116" s="73"/>
      <c r="T116" s="58"/>
      <c r="U116" s="23"/>
      <c r="V116" s="23"/>
      <c r="W116" s="23"/>
      <c r="X116" s="42"/>
      <c r="Y116" s="23"/>
      <c r="Z116" s="23"/>
      <c r="AA116" s="23"/>
      <c r="AB116" s="23"/>
      <c r="AC116" s="22"/>
      <c r="AD116" s="22"/>
      <c r="AE116" s="22"/>
    </row>
    <row r="117" spans="2:31" ht="19.5" customHeight="1" x14ac:dyDescent="0.15">
      <c r="B117" s="4"/>
      <c r="C117" s="53" t="s">
        <v>283</v>
      </c>
      <c r="D117" s="54"/>
      <c r="E117" s="54"/>
      <c r="F117" s="54"/>
      <c r="G117" s="87"/>
      <c r="H117" s="54"/>
      <c r="I117" s="54"/>
      <c r="J117" s="54"/>
      <c r="K117" s="54"/>
      <c r="L117" s="54"/>
      <c r="M117" s="54"/>
      <c r="N117" s="54"/>
      <c r="O117" s="54"/>
      <c r="P117" s="54"/>
      <c r="Q117" s="54"/>
      <c r="R117" s="54"/>
      <c r="S117" s="55"/>
      <c r="T117" s="4"/>
      <c r="U117" s="23"/>
      <c r="V117" s="23"/>
      <c r="W117" s="23"/>
      <c r="X117" s="42"/>
      <c r="Y117" s="23"/>
      <c r="Z117" s="23"/>
      <c r="AA117" s="23"/>
      <c r="AB117" s="23"/>
    </row>
    <row r="118" spans="2:31" ht="5.0999999999999996" customHeight="1" thickBot="1" x14ac:dyDescent="0.2">
      <c r="B118" s="4"/>
      <c r="C118" s="56"/>
      <c r="D118" s="72"/>
      <c r="E118" s="4"/>
      <c r="F118" s="4"/>
      <c r="G118" s="13"/>
      <c r="H118" s="4"/>
      <c r="I118" s="4"/>
      <c r="J118" s="4"/>
      <c r="K118" s="4"/>
      <c r="L118" s="4"/>
      <c r="M118" s="4"/>
      <c r="N118" s="4"/>
      <c r="O118" s="4"/>
      <c r="P118" s="4"/>
      <c r="Q118" s="4"/>
      <c r="R118" s="4"/>
      <c r="S118" s="57"/>
      <c r="T118" s="4"/>
      <c r="U118" s="23"/>
      <c r="V118" s="23"/>
      <c r="W118" s="23"/>
      <c r="X118" s="42"/>
      <c r="Y118" s="23"/>
      <c r="Z118" s="23"/>
      <c r="AA118" s="23"/>
      <c r="AB118" s="23"/>
    </row>
    <row r="119" spans="2:31" ht="14.25" thickBot="1" x14ac:dyDescent="0.2">
      <c r="B119" s="4"/>
      <c r="C119" s="56" t="s">
        <v>328</v>
      </c>
      <c r="D119" s="4"/>
      <c r="E119" s="4"/>
      <c r="F119" s="4"/>
      <c r="G119" s="13"/>
      <c r="H119" s="4"/>
      <c r="I119" s="4"/>
      <c r="J119" s="4"/>
      <c r="K119" s="4"/>
      <c r="L119" s="4"/>
      <c r="M119" s="4"/>
      <c r="N119" s="4"/>
      <c r="O119" s="4"/>
      <c r="P119" s="4"/>
      <c r="Q119" s="88" t="str">
        <f>IF(COUNTIF(G121:G140,"NG")=0,"OK","NG")</f>
        <v>OK</v>
      </c>
      <c r="R119" s="4"/>
      <c r="S119" s="57"/>
      <c r="T119" s="4"/>
      <c r="U119" s="23"/>
      <c r="V119" s="23"/>
      <c r="W119" s="23"/>
      <c r="X119" s="42" t="str">
        <f>IF(COUNTIF(G121:G140,"NG")=0,"OK","NG")</f>
        <v>OK</v>
      </c>
      <c r="Y119" s="23"/>
      <c r="Z119" s="23"/>
      <c r="AA119" s="23"/>
      <c r="AB119" s="23"/>
    </row>
    <row r="120" spans="2:31" ht="5.0999999999999996" customHeight="1" thickBot="1" x14ac:dyDescent="0.2">
      <c r="B120" s="4"/>
      <c r="C120" s="56"/>
      <c r="D120" s="4"/>
      <c r="E120" s="4"/>
      <c r="F120" s="4"/>
      <c r="G120" s="13"/>
      <c r="H120" s="4"/>
      <c r="I120" s="4"/>
      <c r="J120" s="4"/>
      <c r="K120" s="4"/>
      <c r="L120" s="4"/>
      <c r="M120" s="4"/>
      <c r="N120" s="4"/>
      <c r="O120" s="4"/>
      <c r="P120" s="4"/>
      <c r="Q120" s="4"/>
      <c r="R120" s="4"/>
      <c r="S120" s="57"/>
      <c r="T120" s="4"/>
      <c r="U120" s="23"/>
      <c r="V120" s="23"/>
      <c r="W120" s="23"/>
      <c r="X120" s="42"/>
      <c r="Y120" s="23"/>
      <c r="Z120" s="23"/>
      <c r="AA120" s="23"/>
      <c r="AB120" s="23"/>
    </row>
    <row r="121" spans="2:31" ht="14.25" thickBot="1" x14ac:dyDescent="0.2">
      <c r="B121" s="4"/>
      <c r="C121" s="56" t="s">
        <v>322</v>
      </c>
      <c r="D121" s="4"/>
      <c r="E121" s="4"/>
      <c r="F121" s="81"/>
      <c r="G121" s="85" t="str">
        <f>IF(反映シート!$C120=TRUE,IF(0&lt;反映シート!I166,"OK","NG"),"OK")</f>
        <v>OK</v>
      </c>
      <c r="H121" s="4"/>
      <c r="I121" s="4"/>
      <c r="J121" s="4"/>
      <c r="K121" s="4"/>
      <c r="L121" s="4"/>
      <c r="M121" s="4"/>
      <c r="N121" s="4"/>
      <c r="O121" s="4"/>
      <c r="P121" s="4"/>
      <c r="Q121" s="4"/>
      <c r="R121" s="4"/>
      <c r="S121" s="57"/>
      <c r="T121" s="4"/>
      <c r="U121" s="23"/>
      <c r="V121" s="23"/>
      <c r="W121" s="23"/>
      <c r="X121" s="42"/>
      <c r="Y121" s="23"/>
      <c r="Z121" s="23"/>
      <c r="AA121" s="23"/>
      <c r="AB121" s="23"/>
    </row>
    <row r="122" spans="2:31" ht="5.0999999999999996" customHeight="1" thickBot="1" x14ac:dyDescent="0.2">
      <c r="B122" s="4"/>
      <c r="C122" s="84"/>
      <c r="D122" s="58"/>
      <c r="E122" s="58"/>
      <c r="F122" s="58"/>
      <c r="G122" s="13"/>
      <c r="H122" s="4"/>
      <c r="I122" s="4"/>
      <c r="J122" s="4"/>
      <c r="K122" s="4"/>
      <c r="L122" s="4"/>
      <c r="M122" s="4"/>
      <c r="N122" s="4"/>
      <c r="O122" s="4"/>
      <c r="P122" s="4"/>
      <c r="Q122" s="4"/>
      <c r="R122" s="4"/>
      <c r="S122" s="57"/>
      <c r="T122" s="4"/>
      <c r="U122" s="23"/>
      <c r="V122" s="23"/>
      <c r="W122" s="23"/>
      <c r="X122" s="42"/>
      <c r="Y122" s="23"/>
      <c r="Z122" s="23"/>
      <c r="AA122" s="23"/>
      <c r="AB122" s="23"/>
    </row>
    <row r="123" spans="2:31" ht="14.25" thickBot="1" x14ac:dyDescent="0.2">
      <c r="B123" s="4"/>
      <c r="C123" s="56" t="s">
        <v>323</v>
      </c>
      <c r="D123" s="4"/>
      <c r="E123" s="4"/>
      <c r="F123" s="81"/>
      <c r="G123" s="85" t="str">
        <f>IF(反映シート!$C122=TRUE,IF(0&lt;反映シート!I168,"OK","NG"),"OK")</f>
        <v>OK</v>
      </c>
      <c r="H123" s="4"/>
      <c r="I123" s="4"/>
      <c r="J123" s="4"/>
      <c r="K123" s="4"/>
      <c r="L123" s="4"/>
      <c r="M123" s="4"/>
      <c r="N123" s="4"/>
      <c r="O123" s="4"/>
      <c r="P123" s="4"/>
      <c r="Q123" s="4"/>
      <c r="R123" s="4"/>
      <c r="S123" s="57"/>
      <c r="T123" s="4"/>
      <c r="U123" s="23"/>
      <c r="V123" s="23"/>
      <c r="W123" s="23"/>
      <c r="X123" s="42"/>
      <c r="Y123" s="23"/>
      <c r="Z123" s="23"/>
      <c r="AA123" s="23"/>
      <c r="AB123" s="23"/>
    </row>
    <row r="124" spans="2:31" ht="5.0999999999999996" customHeight="1" thickBot="1" x14ac:dyDescent="0.2">
      <c r="B124" s="4"/>
      <c r="C124" s="84"/>
      <c r="D124" s="58"/>
      <c r="E124" s="58"/>
      <c r="F124" s="58"/>
      <c r="G124" s="13"/>
      <c r="H124" s="4"/>
      <c r="I124" s="4"/>
      <c r="J124" s="4"/>
      <c r="K124" s="4"/>
      <c r="L124" s="4"/>
      <c r="M124" s="4"/>
      <c r="N124" s="4"/>
      <c r="O124" s="4"/>
      <c r="P124" s="4"/>
      <c r="Q124" s="4"/>
      <c r="R124" s="4"/>
      <c r="S124" s="57"/>
      <c r="T124" s="4"/>
      <c r="U124" s="23"/>
      <c r="V124" s="23"/>
      <c r="W124" s="23"/>
      <c r="X124" s="42"/>
      <c r="Y124" s="23"/>
      <c r="Z124" s="23"/>
      <c r="AA124" s="23"/>
      <c r="AB124" s="23"/>
    </row>
    <row r="125" spans="2:31" ht="14.25" thickBot="1" x14ac:dyDescent="0.2">
      <c r="B125" s="4"/>
      <c r="C125" s="56" t="s">
        <v>334</v>
      </c>
      <c r="D125" s="4"/>
      <c r="E125" s="4"/>
      <c r="F125" s="81"/>
      <c r="G125" s="85" t="str">
        <f>IF(反映シート!$C124=TRUE,IF(0&lt;反映シート!I170,"OK","NG"),"OK")</f>
        <v>OK</v>
      </c>
      <c r="H125" s="4"/>
      <c r="I125" s="4"/>
      <c r="J125" s="4"/>
      <c r="K125" s="4"/>
      <c r="L125" s="4"/>
      <c r="M125" s="4"/>
      <c r="N125" s="4"/>
      <c r="O125" s="4"/>
      <c r="P125" s="4"/>
      <c r="Q125" s="4"/>
      <c r="R125" s="4"/>
      <c r="S125" s="57"/>
      <c r="T125" s="4"/>
      <c r="U125" s="23"/>
      <c r="V125" s="23"/>
      <c r="W125" s="23"/>
      <c r="X125" s="42"/>
      <c r="Y125" s="23"/>
      <c r="Z125" s="23"/>
      <c r="AA125" s="23"/>
      <c r="AB125" s="23"/>
    </row>
    <row r="126" spans="2:31" ht="5.0999999999999996" customHeight="1" thickBot="1" x14ac:dyDescent="0.2">
      <c r="B126" s="4"/>
      <c r="C126" s="84"/>
      <c r="D126" s="58"/>
      <c r="E126" s="58"/>
      <c r="F126" s="58"/>
      <c r="G126" s="13"/>
      <c r="H126" s="4"/>
      <c r="I126" s="4"/>
      <c r="J126" s="4"/>
      <c r="K126" s="4"/>
      <c r="L126" s="4"/>
      <c r="M126" s="4"/>
      <c r="N126" s="4"/>
      <c r="O126" s="4"/>
      <c r="P126" s="4"/>
      <c r="Q126" s="4"/>
      <c r="R126" s="4"/>
      <c r="S126" s="57"/>
      <c r="T126" s="4"/>
      <c r="U126" s="23"/>
      <c r="V126" s="23"/>
      <c r="W126" s="23"/>
      <c r="X126" s="42"/>
      <c r="Y126" s="23"/>
      <c r="Z126" s="23"/>
      <c r="AA126" s="23"/>
      <c r="AB126" s="23"/>
    </row>
    <row r="127" spans="2:31" ht="14.25" thickBot="1" x14ac:dyDescent="0.2">
      <c r="B127" s="4"/>
      <c r="C127" s="56" t="s">
        <v>335</v>
      </c>
      <c r="D127" s="4"/>
      <c r="E127" s="4"/>
      <c r="F127" s="81"/>
      <c r="G127" s="85" t="str">
        <f>IF(反映シート!$C126=TRUE,IF(0&lt;反映シート!I172,"OK","NG"),"OK")</f>
        <v>OK</v>
      </c>
      <c r="H127" s="4"/>
      <c r="I127" s="4"/>
      <c r="J127" s="4"/>
      <c r="K127" s="4"/>
      <c r="L127" s="4"/>
      <c r="M127" s="4"/>
      <c r="N127" s="4"/>
      <c r="O127" s="4"/>
      <c r="P127" s="4"/>
      <c r="Q127" s="4"/>
      <c r="R127" s="4"/>
      <c r="S127" s="57"/>
      <c r="T127" s="4"/>
      <c r="U127" s="23"/>
      <c r="V127" s="23"/>
      <c r="W127" s="23"/>
      <c r="X127" s="42"/>
      <c r="Y127" s="23"/>
      <c r="Z127" s="23"/>
      <c r="AA127" s="23"/>
      <c r="AB127" s="23"/>
    </row>
    <row r="128" spans="2:31" ht="5.0999999999999996" customHeight="1" thickBot="1" x14ac:dyDescent="0.2">
      <c r="B128" s="4"/>
      <c r="C128" s="84"/>
      <c r="D128" s="58"/>
      <c r="E128" s="58"/>
      <c r="F128" s="58"/>
      <c r="G128" s="13"/>
      <c r="H128" s="4"/>
      <c r="I128" s="4"/>
      <c r="J128" s="4"/>
      <c r="K128" s="4"/>
      <c r="L128" s="4"/>
      <c r="M128" s="4"/>
      <c r="N128" s="4"/>
      <c r="O128" s="4"/>
      <c r="P128" s="4"/>
      <c r="Q128" s="4"/>
      <c r="R128" s="4"/>
      <c r="S128" s="57"/>
      <c r="T128" s="4"/>
      <c r="U128" s="23"/>
      <c r="V128" s="23"/>
      <c r="W128" s="23"/>
      <c r="X128" s="42"/>
      <c r="Y128" s="23"/>
      <c r="Z128" s="23"/>
      <c r="AA128" s="23"/>
      <c r="AB128" s="23"/>
    </row>
    <row r="129" spans="2:28" ht="14.25" thickBot="1" x14ac:dyDescent="0.2">
      <c r="B129" s="4"/>
      <c r="C129" s="56" t="s">
        <v>324</v>
      </c>
      <c r="D129" s="4"/>
      <c r="E129" s="4"/>
      <c r="F129" s="81"/>
      <c r="G129" s="85" t="str">
        <f>IF(反映シート!$C128=TRUE,IF(0&lt;反映シート!I174,"OK","NG"),"OK")</f>
        <v>OK</v>
      </c>
      <c r="H129" s="4"/>
      <c r="I129" s="4"/>
      <c r="J129" s="4"/>
      <c r="K129" s="4"/>
      <c r="L129" s="4"/>
      <c r="M129" s="4"/>
      <c r="N129" s="4"/>
      <c r="O129" s="4"/>
      <c r="P129" s="4"/>
      <c r="Q129" s="4"/>
      <c r="R129" s="4"/>
      <c r="S129" s="57"/>
      <c r="T129" s="4"/>
      <c r="U129" s="23"/>
      <c r="V129" s="23"/>
      <c r="W129" s="23"/>
      <c r="X129" s="42"/>
      <c r="Y129" s="23"/>
      <c r="Z129" s="23"/>
      <c r="AA129" s="23"/>
      <c r="AB129" s="23"/>
    </row>
    <row r="130" spans="2:28" x14ac:dyDescent="0.15">
      <c r="B130" s="4"/>
      <c r="C130" s="56"/>
      <c r="D130" s="4"/>
      <c r="E130" s="4"/>
      <c r="F130" s="4"/>
      <c r="G130" s="13"/>
      <c r="H130" s="4"/>
      <c r="I130" s="4"/>
      <c r="J130" s="4"/>
      <c r="K130" s="4"/>
      <c r="L130" s="4"/>
      <c r="M130" s="4"/>
      <c r="N130" s="4"/>
      <c r="O130" s="4"/>
      <c r="P130" s="4"/>
      <c r="Q130" s="4"/>
      <c r="R130" s="4"/>
      <c r="S130" s="57"/>
      <c r="T130" s="4"/>
      <c r="U130" s="23"/>
      <c r="V130" s="23"/>
      <c r="W130" s="23"/>
      <c r="X130" s="42"/>
      <c r="Y130" s="23"/>
      <c r="Z130" s="23"/>
      <c r="AA130" s="23"/>
      <c r="AB130" s="23"/>
    </row>
    <row r="131" spans="2:28" x14ac:dyDescent="0.15">
      <c r="B131" s="4"/>
      <c r="C131" s="56" t="s">
        <v>332</v>
      </c>
      <c r="D131" s="4"/>
      <c r="E131" s="4"/>
      <c r="F131" s="4"/>
      <c r="G131" s="13"/>
      <c r="H131" s="4"/>
      <c r="I131" s="4"/>
      <c r="J131" s="4"/>
      <c r="K131" s="4"/>
      <c r="L131" s="4"/>
      <c r="M131" s="4"/>
      <c r="N131" s="4"/>
      <c r="O131" s="4"/>
      <c r="P131" s="4"/>
      <c r="Q131" s="4"/>
      <c r="R131" s="4"/>
      <c r="S131" s="57"/>
      <c r="T131" s="4"/>
      <c r="U131" s="23"/>
      <c r="V131" s="23"/>
      <c r="W131" s="23"/>
      <c r="X131" s="42"/>
      <c r="Y131" s="23"/>
      <c r="Z131" s="23"/>
      <c r="AA131" s="23"/>
      <c r="AB131" s="23"/>
    </row>
    <row r="132" spans="2:28" ht="5.0999999999999996" customHeight="1" thickBot="1" x14ac:dyDescent="0.2">
      <c r="B132" s="4"/>
      <c r="C132" s="56"/>
      <c r="D132" s="4"/>
      <c r="E132" s="4"/>
      <c r="F132" s="4"/>
      <c r="G132" s="13"/>
      <c r="H132" s="4"/>
      <c r="I132" s="4"/>
      <c r="J132" s="4"/>
      <c r="K132" s="4"/>
      <c r="L132" s="4"/>
      <c r="M132" s="4"/>
      <c r="N132" s="4"/>
      <c r="O132" s="4"/>
      <c r="P132" s="4"/>
      <c r="Q132" s="4"/>
      <c r="R132" s="4"/>
      <c r="S132" s="57"/>
      <c r="T132" s="4"/>
      <c r="U132" s="23"/>
      <c r="V132" s="23"/>
      <c r="W132" s="23"/>
      <c r="X132" s="42"/>
      <c r="Y132" s="23"/>
      <c r="Z132" s="23"/>
      <c r="AA132" s="23"/>
      <c r="AB132" s="23"/>
    </row>
    <row r="133" spans="2:28" ht="14.25" thickBot="1" x14ac:dyDescent="0.2">
      <c r="B133" s="4"/>
      <c r="C133" s="82"/>
      <c r="D133" s="77"/>
      <c r="E133" s="77"/>
      <c r="F133" s="58" t="s">
        <v>331</v>
      </c>
      <c r="G133" s="85" t="str">
        <f>IF(反映シート!$R$120="予約システム等",IF(0&lt;反映シート!I184,"OK","NG"),"OK")</f>
        <v>OK</v>
      </c>
      <c r="H133" s="4"/>
      <c r="I133" s="4"/>
      <c r="J133" s="4"/>
      <c r="K133" s="4"/>
      <c r="L133" s="4"/>
      <c r="M133" s="4"/>
      <c r="N133" s="4"/>
      <c r="O133" s="4"/>
      <c r="P133" s="4"/>
      <c r="Q133" s="4"/>
      <c r="R133" s="4"/>
      <c r="S133" s="57"/>
      <c r="T133" s="4"/>
      <c r="U133" s="23"/>
      <c r="V133" s="23"/>
      <c r="W133" s="23"/>
      <c r="X133" s="42"/>
      <c r="Y133" s="23"/>
      <c r="Z133" s="23"/>
      <c r="AA133" s="23"/>
      <c r="AB133" s="23"/>
    </row>
    <row r="134" spans="2:28" ht="14.25" thickBot="1" x14ac:dyDescent="0.2">
      <c r="B134" s="4"/>
      <c r="C134" s="56"/>
      <c r="D134" s="4"/>
      <c r="E134" s="4"/>
      <c r="F134" s="4"/>
      <c r="G134" s="13"/>
      <c r="H134" s="4"/>
      <c r="I134" s="4"/>
      <c r="J134" s="4"/>
      <c r="K134" s="4"/>
      <c r="L134" s="4"/>
      <c r="M134" s="4"/>
      <c r="N134" s="4"/>
      <c r="O134" s="4"/>
      <c r="P134" s="4"/>
      <c r="Q134" s="4"/>
      <c r="R134" s="4"/>
      <c r="S134" s="57"/>
      <c r="T134" s="4"/>
      <c r="U134" s="23"/>
      <c r="V134" s="23"/>
      <c r="W134" s="23"/>
      <c r="X134" s="42"/>
      <c r="Y134" s="23"/>
      <c r="Z134" s="23"/>
      <c r="AA134" s="23"/>
      <c r="AB134" s="23"/>
    </row>
    <row r="135" spans="2:28" ht="14.25" thickBot="1" x14ac:dyDescent="0.2">
      <c r="B135" s="4"/>
      <c r="C135" s="83" t="s">
        <v>330</v>
      </c>
      <c r="D135" s="4"/>
      <c r="E135" s="4"/>
      <c r="F135" s="4"/>
      <c r="G135" s="85" t="str">
        <f>IF(反映シート!$R$120="予約システム等",IF(0&lt;反映シート!I192,"OK","NG"),"OK")</f>
        <v>OK</v>
      </c>
      <c r="H135" s="4"/>
      <c r="I135" s="4"/>
      <c r="J135" s="4"/>
      <c r="K135" s="4"/>
      <c r="L135" s="4"/>
      <c r="M135" s="4"/>
      <c r="N135" s="4"/>
      <c r="O135" s="4"/>
      <c r="P135" s="4"/>
      <c r="Q135" s="4"/>
      <c r="R135" s="4"/>
      <c r="S135" s="57"/>
      <c r="T135" s="4"/>
      <c r="U135" s="23"/>
      <c r="V135" s="23"/>
      <c r="W135" s="23"/>
      <c r="X135" s="42"/>
      <c r="Y135" s="23"/>
      <c r="Z135" s="23"/>
      <c r="AA135" s="23"/>
      <c r="AB135" s="23"/>
    </row>
    <row r="136" spans="2:28" ht="5.0999999999999996" customHeight="1" x14ac:dyDescent="0.15">
      <c r="B136" s="4"/>
      <c r="C136" s="56"/>
      <c r="D136" s="4"/>
      <c r="E136" s="4"/>
      <c r="F136" s="4"/>
      <c r="G136" s="13"/>
      <c r="H136" s="4"/>
      <c r="I136" s="4"/>
      <c r="J136" s="4"/>
      <c r="K136" s="4"/>
      <c r="L136" s="4"/>
      <c r="M136" s="4"/>
      <c r="N136" s="4"/>
      <c r="O136" s="4"/>
      <c r="P136" s="4"/>
      <c r="Q136" s="4"/>
      <c r="R136" s="4"/>
      <c r="S136" s="57"/>
      <c r="T136" s="4"/>
      <c r="U136" s="23"/>
      <c r="V136" s="23"/>
      <c r="W136" s="23"/>
      <c r="X136" s="42"/>
      <c r="Y136" s="23"/>
      <c r="Z136" s="23"/>
      <c r="AA136" s="23"/>
      <c r="AB136" s="23"/>
    </row>
    <row r="137" spans="2:28" x14ac:dyDescent="0.15">
      <c r="B137" s="4"/>
      <c r="C137" s="56"/>
      <c r="D137" s="4"/>
      <c r="E137" s="4"/>
      <c r="F137" s="4"/>
      <c r="G137" s="13"/>
      <c r="H137" s="4"/>
      <c r="I137" s="4"/>
      <c r="J137" s="4"/>
      <c r="K137" s="4"/>
      <c r="L137" s="4"/>
      <c r="M137" s="4"/>
      <c r="N137" s="4"/>
      <c r="O137" s="4"/>
      <c r="P137" s="4"/>
      <c r="Q137" s="4"/>
      <c r="R137" s="4"/>
      <c r="S137" s="57"/>
      <c r="T137" s="4"/>
      <c r="U137" s="23"/>
      <c r="V137" s="23"/>
      <c r="W137" s="23"/>
      <c r="X137" s="42"/>
      <c r="Y137" s="23"/>
      <c r="Z137" s="23"/>
      <c r="AA137" s="23"/>
      <c r="AB137" s="23"/>
    </row>
    <row r="138" spans="2:28" x14ac:dyDescent="0.15">
      <c r="B138" s="4"/>
      <c r="C138" s="83" t="s">
        <v>333</v>
      </c>
      <c r="D138" s="4"/>
      <c r="E138" s="4"/>
      <c r="F138" s="4"/>
      <c r="G138" s="13"/>
      <c r="H138" s="4"/>
      <c r="I138" s="4"/>
      <c r="J138" s="4"/>
      <c r="K138" s="4"/>
      <c r="L138" s="4"/>
      <c r="M138" s="4"/>
      <c r="N138" s="4"/>
      <c r="O138" s="4"/>
      <c r="P138" s="4"/>
      <c r="Q138" s="4"/>
      <c r="R138" s="4"/>
      <c r="S138" s="57"/>
      <c r="T138" s="4"/>
      <c r="U138" s="23"/>
      <c r="V138" s="23"/>
      <c r="W138" s="23"/>
      <c r="X138" s="42"/>
      <c r="Y138" s="23"/>
      <c r="Z138" s="23"/>
      <c r="AA138" s="23"/>
      <c r="AB138" s="23"/>
    </row>
    <row r="139" spans="2:28" ht="5.0999999999999996" customHeight="1" thickBot="1" x14ac:dyDescent="0.2">
      <c r="B139" s="4"/>
      <c r="C139" s="56"/>
      <c r="D139" s="4"/>
      <c r="E139" s="4"/>
      <c r="F139" s="4"/>
      <c r="G139" s="13"/>
      <c r="H139" s="4"/>
      <c r="I139" s="4"/>
      <c r="J139" s="4"/>
      <c r="K139" s="4"/>
      <c r="L139" s="4"/>
      <c r="M139" s="4"/>
      <c r="N139" s="4"/>
      <c r="O139" s="4"/>
      <c r="P139" s="4"/>
      <c r="Q139" s="4"/>
      <c r="R139" s="4"/>
      <c r="S139" s="57"/>
      <c r="T139" s="4"/>
      <c r="U139" s="23"/>
      <c r="V139" s="23"/>
      <c r="W139" s="23"/>
      <c r="X139" s="42"/>
      <c r="Y139" s="23"/>
      <c r="Z139" s="23"/>
      <c r="AA139" s="23"/>
      <c r="AB139" s="23"/>
    </row>
    <row r="140" spans="2:28" ht="14.25" thickBot="1" x14ac:dyDescent="0.2">
      <c r="B140" s="4"/>
      <c r="C140" s="56"/>
      <c r="D140" s="4"/>
      <c r="E140" s="4"/>
      <c r="F140" s="58" t="s">
        <v>308</v>
      </c>
      <c r="G140" s="85" t="str">
        <f>IF(反映シート!$R$120="予約システム等",IF(0&lt;反映シート!I196,"OK","NG"),"OK")</f>
        <v>OK</v>
      </c>
      <c r="H140" s="4"/>
      <c r="I140" s="4"/>
      <c r="J140" s="4"/>
      <c r="K140" s="4"/>
      <c r="L140" s="4"/>
      <c r="M140" s="4"/>
      <c r="N140" s="4"/>
      <c r="O140" s="4"/>
      <c r="P140" s="4"/>
      <c r="Q140" s="4"/>
      <c r="R140" s="4"/>
      <c r="S140" s="57"/>
      <c r="T140" s="4"/>
      <c r="U140" s="23"/>
      <c r="V140" s="23"/>
      <c r="W140" s="23"/>
      <c r="X140" s="42"/>
      <c r="Y140" s="23"/>
      <c r="Z140" s="23"/>
      <c r="AA140" s="23"/>
      <c r="AB140" s="23"/>
    </row>
    <row r="141" spans="2:28" ht="5.0999999999999996" customHeight="1" x14ac:dyDescent="0.15">
      <c r="B141" s="4"/>
      <c r="C141" s="59"/>
      <c r="D141" s="75"/>
      <c r="E141" s="60"/>
      <c r="F141" s="60"/>
      <c r="G141" s="86"/>
      <c r="H141" s="60"/>
      <c r="I141" s="60"/>
      <c r="J141" s="60"/>
      <c r="K141" s="60"/>
      <c r="L141" s="60"/>
      <c r="M141" s="60"/>
      <c r="N141" s="60"/>
      <c r="O141" s="60"/>
      <c r="P141" s="60"/>
      <c r="Q141" s="60"/>
      <c r="R141" s="60"/>
      <c r="S141" s="61"/>
      <c r="T141" s="4"/>
      <c r="U141" s="23"/>
      <c r="V141" s="23"/>
      <c r="W141" s="23"/>
      <c r="X141" s="42"/>
      <c r="Y141" s="23"/>
      <c r="Z141" s="23"/>
      <c r="AA141" s="23"/>
      <c r="AB141" s="23"/>
    </row>
    <row r="142" spans="2:28" x14ac:dyDescent="0.15">
      <c r="B142" s="4"/>
      <c r="C142" s="4"/>
      <c r="D142" s="4"/>
      <c r="E142" s="4"/>
      <c r="F142" s="4"/>
      <c r="G142" s="13"/>
      <c r="H142" s="4"/>
      <c r="I142" s="4"/>
      <c r="J142" s="4"/>
      <c r="K142" s="4"/>
      <c r="L142" s="4"/>
      <c r="M142" s="4"/>
      <c r="N142" s="4"/>
      <c r="O142" s="4"/>
      <c r="P142" s="4"/>
      <c r="Q142" s="4"/>
      <c r="R142" s="4"/>
      <c r="S142" s="4"/>
      <c r="T142" s="4"/>
      <c r="U142" s="23"/>
      <c r="V142" s="23"/>
      <c r="W142" s="23"/>
      <c r="X142" s="42"/>
      <c r="Y142" s="23"/>
      <c r="Z142" s="23"/>
      <c r="AA142" s="23"/>
      <c r="AB142" s="23"/>
    </row>
    <row r="143" spans="2:28" ht="19.5" customHeight="1" x14ac:dyDescent="0.15">
      <c r="B143" s="4"/>
      <c r="C143" s="53" t="s">
        <v>127</v>
      </c>
      <c r="D143" s="54"/>
      <c r="E143" s="54"/>
      <c r="F143" s="54"/>
      <c r="G143" s="87"/>
      <c r="H143" s="54"/>
      <c r="I143" s="54"/>
      <c r="J143" s="54"/>
      <c r="K143" s="54"/>
      <c r="L143" s="54"/>
      <c r="M143" s="54"/>
      <c r="N143" s="54"/>
      <c r="O143" s="54"/>
      <c r="P143" s="54"/>
      <c r="Q143" s="54"/>
      <c r="R143" s="54"/>
      <c r="S143" s="55"/>
      <c r="T143" s="4"/>
      <c r="U143" s="23"/>
      <c r="V143" s="23"/>
      <c r="W143" s="23"/>
      <c r="X143" s="42"/>
      <c r="Y143" s="23"/>
      <c r="Z143" s="23"/>
      <c r="AA143" s="23"/>
      <c r="AB143" s="23"/>
    </row>
    <row r="144" spans="2:28" ht="5.0999999999999996" customHeight="1" thickBot="1" x14ac:dyDescent="0.2">
      <c r="B144" s="4"/>
      <c r="C144" s="56"/>
      <c r="D144" s="72"/>
      <c r="E144" s="4"/>
      <c r="F144" s="4"/>
      <c r="G144" s="13"/>
      <c r="H144" s="4"/>
      <c r="I144" s="4"/>
      <c r="J144" s="4"/>
      <c r="K144" s="4"/>
      <c r="L144" s="4"/>
      <c r="M144" s="4"/>
      <c r="N144" s="4"/>
      <c r="O144" s="4"/>
      <c r="P144" s="4"/>
      <c r="Q144" s="4"/>
      <c r="R144" s="4"/>
      <c r="S144" s="57"/>
      <c r="T144" s="4"/>
      <c r="U144" s="23"/>
      <c r="V144" s="23"/>
      <c r="W144" s="23"/>
      <c r="X144" s="42"/>
      <c r="Y144" s="23"/>
      <c r="Z144" s="23"/>
      <c r="AA144" s="23"/>
      <c r="AB144" s="23"/>
    </row>
    <row r="145" spans="2:28" ht="14.25" thickBot="1" x14ac:dyDescent="0.2">
      <c r="B145" s="4"/>
      <c r="C145" s="56" t="s">
        <v>338</v>
      </c>
      <c r="D145" s="4"/>
      <c r="E145" s="4"/>
      <c r="F145" s="4"/>
      <c r="G145" s="13"/>
      <c r="H145" s="4"/>
      <c r="I145" s="4"/>
      <c r="J145" s="4"/>
      <c r="K145" s="4"/>
      <c r="L145" s="4"/>
      <c r="M145" s="4"/>
      <c r="N145" s="4"/>
      <c r="O145" s="4"/>
      <c r="P145" s="4"/>
      <c r="Q145" s="88" t="str">
        <f>IF(COUNTIF(G147:G158,"NG")=0,"OK","NG")</f>
        <v>OK</v>
      </c>
      <c r="R145" s="4"/>
      <c r="S145" s="57"/>
      <c r="T145" s="4"/>
      <c r="U145" s="23"/>
      <c r="V145" s="23"/>
      <c r="W145" s="23"/>
      <c r="X145" s="42" t="str">
        <f>IF(COUNTIF(G147:G158,"NG")=0,"OK","NG")</f>
        <v>OK</v>
      </c>
      <c r="Y145" s="23"/>
      <c r="Z145" s="23"/>
      <c r="AA145" s="23"/>
      <c r="AB145" s="23"/>
    </row>
    <row r="146" spans="2:28" ht="5.0999999999999996" customHeight="1" thickBot="1" x14ac:dyDescent="0.2">
      <c r="B146" s="4"/>
      <c r="C146" s="56"/>
      <c r="D146" s="4"/>
      <c r="E146" s="4"/>
      <c r="F146" s="4"/>
      <c r="G146" s="13"/>
      <c r="H146" s="4"/>
      <c r="I146" s="4"/>
      <c r="J146" s="4"/>
      <c r="K146" s="4"/>
      <c r="L146" s="4"/>
      <c r="M146" s="4"/>
      <c r="N146" s="4"/>
      <c r="O146" s="4"/>
      <c r="P146" s="4"/>
      <c r="Q146" s="4"/>
      <c r="R146" s="4"/>
      <c r="S146" s="57"/>
      <c r="T146" s="4"/>
      <c r="U146" s="23"/>
      <c r="V146" s="23"/>
      <c r="W146" s="23"/>
      <c r="X146" s="42"/>
      <c r="Y146" s="23"/>
      <c r="Z146" s="23"/>
      <c r="AA146" s="23"/>
      <c r="AB146" s="23"/>
    </row>
    <row r="147" spans="2:28" ht="14.25" thickBot="1" x14ac:dyDescent="0.2">
      <c r="B147" s="4"/>
      <c r="C147" s="82"/>
      <c r="D147" s="77"/>
      <c r="E147" s="77"/>
      <c r="F147" s="78" t="s">
        <v>337</v>
      </c>
      <c r="G147" s="85" t="str">
        <f>IF(反映シート!$C$130=TRUE,IF(0&lt;反映シート!I203,"OK","NG"),"OK")</f>
        <v>OK</v>
      </c>
      <c r="H147" s="4"/>
      <c r="I147" s="4"/>
      <c r="J147" s="4"/>
      <c r="K147" s="4"/>
      <c r="L147" s="4"/>
      <c r="M147" s="4"/>
      <c r="N147" s="4"/>
      <c r="O147" s="4"/>
      <c r="P147" s="4"/>
      <c r="Q147" s="4"/>
      <c r="R147" s="4"/>
      <c r="S147" s="57"/>
      <c r="T147" s="4"/>
      <c r="U147" s="23"/>
      <c r="V147" s="23"/>
      <c r="W147" s="23"/>
      <c r="X147" s="42"/>
      <c r="Y147" s="23"/>
      <c r="Z147" s="23"/>
      <c r="AA147" s="23"/>
      <c r="AB147" s="23"/>
    </row>
    <row r="148" spans="2:28" x14ac:dyDescent="0.15">
      <c r="B148" s="4"/>
      <c r="C148" s="56"/>
      <c r="D148" s="4"/>
      <c r="E148" s="4"/>
      <c r="F148" s="4"/>
      <c r="G148" s="13"/>
      <c r="H148" s="4"/>
      <c r="I148" s="4"/>
      <c r="J148" s="4"/>
      <c r="K148" s="4"/>
      <c r="L148" s="4"/>
      <c r="M148" s="4"/>
      <c r="N148" s="4"/>
      <c r="O148" s="4"/>
      <c r="P148" s="4"/>
      <c r="Q148" s="4"/>
      <c r="R148" s="4"/>
      <c r="S148" s="57"/>
      <c r="T148" s="4"/>
      <c r="U148" s="23"/>
      <c r="V148" s="23"/>
      <c r="W148" s="23"/>
      <c r="X148" s="42"/>
      <c r="Y148" s="23"/>
      <c r="Z148" s="23"/>
      <c r="AA148" s="23"/>
      <c r="AB148" s="23"/>
    </row>
    <row r="149" spans="2:28" x14ac:dyDescent="0.15">
      <c r="B149" s="4"/>
      <c r="C149" s="56" t="s">
        <v>332</v>
      </c>
      <c r="D149" s="4"/>
      <c r="E149" s="4"/>
      <c r="F149" s="4"/>
      <c r="G149" s="13"/>
      <c r="H149" s="4"/>
      <c r="I149" s="4"/>
      <c r="J149" s="4"/>
      <c r="K149" s="4"/>
      <c r="L149" s="4"/>
      <c r="M149" s="4"/>
      <c r="N149" s="4"/>
      <c r="O149" s="4"/>
      <c r="P149" s="4"/>
      <c r="Q149" s="4"/>
      <c r="R149" s="4"/>
      <c r="S149" s="57"/>
      <c r="T149" s="4"/>
      <c r="U149" s="23"/>
      <c r="V149" s="23"/>
      <c r="W149" s="23"/>
      <c r="X149" s="42"/>
      <c r="Y149" s="23"/>
      <c r="Z149" s="23"/>
      <c r="AA149" s="23"/>
      <c r="AB149" s="23"/>
    </row>
    <row r="150" spans="2:28" ht="5.0999999999999996" customHeight="1" thickBot="1" x14ac:dyDescent="0.2">
      <c r="B150" s="4"/>
      <c r="C150" s="56"/>
      <c r="D150" s="4"/>
      <c r="E150" s="4"/>
      <c r="F150" s="4"/>
      <c r="G150" s="13"/>
      <c r="H150" s="4"/>
      <c r="I150" s="4"/>
      <c r="J150" s="4"/>
      <c r="K150" s="4"/>
      <c r="L150" s="4"/>
      <c r="M150" s="4"/>
      <c r="N150" s="4"/>
      <c r="O150" s="4"/>
      <c r="P150" s="4"/>
      <c r="Q150" s="4"/>
      <c r="R150" s="4"/>
      <c r="S150" s="57"/>
      <c r="T150" s="4"/>
      <c r="U150" s="23"/>
      <c r="V150" s="23"/>
      <c r="W150" s="23"/>
      <c r="X150" s="42"/>
      <c r="Y150" s="23"/>
      <c r="Z150" s="23"/>
      <c r="AA150" s="23"/>
      <c r="AB150" s="23"/>
    </row>
    <row r="151" spans="2:28" ht="14.25" thickBot="1" x14ac:dyDescent="0.2">
      <c r="B151" s="4"/>
      <c r="C151" s="82"/>
      <c r="D151" s="77"/>
      <c r="E151" s="77"/>
      <c r="F151" s="58" t="s">
        <v>331</v>
      </c>
      <c r="G151" s="85" t="str">
        <f>IF(反映シート!$C$130=TRUE,IF(0&lt;反映シート!I211,"OK","NG"),"OK")</f>
        <v>OK</v>
      </c>
      <c r="H151" s="4"/>
      <c r="I151" s="4"/>
      <c r="J151" s="4"/>
      <c r="K151" s="4"/>
      <c r="L151" s="4"/>
      <c r="M151" s="4"/>
      <c r="N151" s="4"/>
      <c r="O151" s="4"/>
      <c r="P151" s="4"/>
      <c r="Q151" s="4"/>
      <c r="R151" s="4"/>
      <c r="S151" s="57"/>
      <c r="T151" s="4"/>
      <c r="U151" s="23"/>
      <c r="V151" s="23"/>
      <c r="W151" s="23"/>
      <c r="X151" s="42"/>
      <c r="Y151" s="23"/>
      <c r="Z151" s="23"/>
      <c r="AA151" s="23"/>
      <c r="AB151" s="23"/>
    </row>
    <row r="152" spans="2:28" ht="14.25" thickBot="1" x14ac:dyDescent="0.2">
      <c r="B152" s="4"/>
      <c r="C152" s="56"/>
      <c r="D152" s="4"/>
      <c r="E152" s="4"/>
      <c r="F152" s="4"/>
      <c r="G152" s="13"/>
      <c r="H152" s="4"/>
      <c r="I152" s="4"/>
      <c r="J152" s="4"/>
      <c r="K152" s="4"/>
      <c r="L152" s="4"/>
      <c r="M152" s="4"/>
      <c r="N152" s="4"/>
      <c r="O152" s="4"/>
      <c r="P152" s="4"/>
      <c r="Q152" s="4"/>
      <c r="R152" s="4"/>
      <c r="S152" s="57"/>
      <c r="T152" s="4"/>
      <c r="U152" s="23"/>
      <c r="V152" s="23"/>
      <c r="W152" s="23"/>
      <c r="X152" s="42"/>
      <c r="Y152" s="23"/>
      <c r="Z152" s="23"/>
      <c r="AA152" s="23"/>
      <c r="AB152" s="23"/>
    </row>
    <row r="153" spans="2:28" ht="14.25" thickBot="1" x14ac:dyDescent="0.2">
      <c r="B153" s="4"/>
      <c r="C153" s="83" t="s">
        <v>330</v>
      </c>
      <c r="D153" s="4"/>
      <c r="E153" s="4"/>
      <c r="F153" s="4"/>
      <c r="G153" s="85" t="str">
        <f>IF(反映シート!$C$130=TRUE,IF(0&lt;反映シート!I219,"OK","NG"),"OK")</f>
        <v>OK</v>
      </c>
      <c r="H153" s="4"/>
      <c r="I153" s="4"/>
      <c r="J153" s="4"/>
      <c r="K153" s="4"/>
      <c r="L153" s="4"/>
      <c r="M153" s="4"/>
      <c r="N153" s="4"/>
      <c r="O153" s="4"/>
      <c r="P153" s="4"/>
      <c r="Q153" s="4"/>
      <c r="R153" s="4"/>
      <c r="S153" s="57"/>
      <c r="T153" s="4"/>
      <c r="U153" s="23"/>
      <c r="V153" s="23"/>
      <c r="W153" s="23"/>
      <c r="X153" s="42"/>
      <c r="Y153" s="23"/>
      <c r="Z153" s="23"/>
      <c r="AA153" s="23"/>
      <c r="AB153" s="23"/>
    </row>
    <row r="154" spans="2:28" ht="5.0999999999999996" customHeight="1" x14ac:dyDescent="0.15">
      <c r="B154" s="4"/>
      <c r="C154" s="56"/>
      <c r="D154" s="4"/>
      <c r="E154" s="4"/>
      <c r="F154" s="4"/>
      <c r="G154" s="13"/>
      <c r="H154" s="4"/>
      <c r="I154" s="4"/>
      <c r="J154" s="4"/>
      <c r="K154" s="4"/>
      <c r="L154" s="4"/>
      <c r="M154" s="4"/>
      <c r="N154" s="4"/>
      <c r="O154" s="4"/>
      <c r="P154" s="4"/>
      <c r="Q154" s="4"/>
      <c r="R154" s="4"/>
      <c r="S154" s="57"/>
      <c r="T154" s="4"/>
      <c r="U154" s="23"/>
      <c r="V154" s="23"/>
      <c r="W154" s="23"/>
      <c r="X154" s="42"/>
      <c r="Y154" s="23"/>
      <c r="Z154" s="23"/>
      <c r="AA154" s="23"/>
      <c r="AB154" s="23"/>
    </row>
    <row r="155" spans="2:28" x14ac:dyDescent="0.15">
      <c r="B155" s="4"/>
      <c r="C155" s="56"/>
      <c r="D155" s="4"/>
      <c r="E155" s="4"/>
      <c r="F155" s="4"/>
      <c r="G155" s="13"/>
      <c r="H155" s="4"/>
      <c r="I155" s="4"/>
      <c r="J155" s="4"/>
      <c r="K155" s="4"/>
      <c r="L155" s="4"/>
      <c r="M155" s="4"/>
      <c r="N155" s="4"/>
      <c r="O155" s="4"/>
      <c r="P155" s="4"/>
      <c r="Q155" s="4"/>
      <c r="R155" s="4"/>
      <c r="S155" s="57"/>
      <c r="T155" s="4"/>
      <c r="U155" s="23"/>
      <c r="V155" s="23"/>
      <c r="W155" s="23"/>
      <c r="X155" s="42"/>
      <c r="Y155" s="23"/>
      <c r="Z155" s="23"/>
      <c r="AA155" s="23"/>
      <c r="AB155" s="23"/>
    </row>
    <row r="156" spans="2:28" x14ac:dyDescent="0.15">
      <c r="B156" s="4"/>
      <c r="C156" s="83" t="s">
        <v>333</v>
      </c>
      <c r="D156" s="4"/>
      <c r="E156" s="4"/>
      <c r="F156" s="4"/>
      <c r="G156" s="13"/>
      <c r="H156" s="4"/>
      <c r="I156" s="4"/>
      <c r="J156" s="4"/>
      <c r="K156" s="4"/>
      <c r="L156" s="4"/>
      <c r="M156" s="4"/>
      <c r="N156" s="4"/>
      <c r="O156" s="4"/>
      <c r="P156" s="4"/>
      <c r="Q156" s="4"/>
      <c r="R156" s="4"/>
      <c r="S156" s="57"/>
      <c r="T156" s="4"/>
      <c r="U156" s="23"/>
      <c r="V156" s="23"/>
      <c r="W156" s="23"/>
      <c r="X156" s="42"/>
      <c r="Y156" s="23"/>
      <c r="Z156" s="23"/>
      <c r="AA156" s="23"/>
      <c r="AB156" s="23"/>
    </row>
    <row r="157" spans="2:28" ht="5.0999999999999996" customHeight="1" thickBot="1" x14ac:dyDescent="0.2">
      <c r="B157" s="4"/>
      <c r="C157" s="56"/>
      <c r="D157" s="4"/>
      <c r="E157" s="4"/>
      <c r="F157" s="4"/>
      <c r="G157" s="13"/>
      <c r="H157" s="4"/>
      <c r="I157" s="4"/>
      <c r="J157" s="4"/>
      <c r="K157" s="4"/>
      <c r="L157" s="4"/>
      <c r="M157" s="4"/>
      <c r="N157" s="4"/>
      <c r="O157" s="4"/>
      <c r="P157" s="4"/>
      <c r="Q157" s="4"/>
      <c r="R157" s="4"/>
      <c r="S157" s="57"/>
      <c r="T157" s="4"/>
      <c r="U157" s="23"/>
      <c r="V157" s="23"/>
      <c r="W157" s="23"/>
      <c r="X157" s="42"/>
      <c r="Y157" s="23"/>
      <c r="Z157" s="23"/>
      <c r="AA157" s="23"/>
      <c r="AB157" s="23"/>
    </row>
    <row r="158" spans="2:28" ht="14.25" thickBot="1" x14ac:dyDescent="0.2">
      <c r="B158" s="4"/>
      <c r="C158" s="56"/>
      <c r="D158" s="4"/>
      <c r="E158" s="4"/>
      <c r="F158" s="58" t="s">
        <v>308</v>
      </c>
      <c r="G158" s="85" t="str">
        <f>IF(反映シート!$C$130=TRUE,IF(0&lt;反映シート!I223,"OK","NG"),"OK")</f>
        <v>OK</v>
      </c>
      <c r="H158" s="4"/>
      <c r="I158" s="4"/>
      <c r="J158" s="4"/>
      <c r="K158" s="4"/>
      <c r="L158" s="4"/>
      <c r="M158" s="4"/>
      <c r="N158" s="4"/>
      <c r="O158" s="4"/>
      <c r="P158" s="4"/>
      <c r="Q158" s="4"/>
      <c r="R158" s="4"/>
      <c r="S158" s="57"/>
      <c r="T158" s="4"/>
      <c r="U158" s="23"/>
      <c r="V158" s="23"/>
      <c r="W158" s="23"/>
      <c r="X158" s="42"/>
      <c r="Y158" s="23"/>
      <c r="Z158" s="23"/>
      <c r="AA158" s="23"/>
      <c r="AB158" s="23"/>
    </row>
    <row r="159" spans="2:28" ht="5.0999999999999996" customHeight="1" x14ac:dyDescent="0.15">
      <c r="B159" s="4"/>
      <c r="C159" s="59"/>
      <c r="D159" s="75"/>
      <c r="E159" s="60"/>
      <c r="F159" s="60"/>
      <c r="G159" s="60"/>
      <c r="H159" s="60"/>
      <c r="I159" s="60"/>
      <c r="J159" s="60"/>
      <c r="K159" s="60"/>
      <c r="L159" s="60"/>
      <c r="M159" s="60"/>
      <c r="N159" s="60"/>
      <c r="O159" s="60"/>
      <c r="P159" s="60"/>
      <c r="Q159" s="60"/>
      <c r="R159" s="60"/>
      <c r="S159" s="61"/>
      <c r="T159" s="4"/>
      <c r="U159" s="23"/>
      <c r="V159" s="23"/>
      <c r="W159" s="23"/>
      <c r="X159" s="42"/>
      <c r="Y159" s="23"/>
      <c r="Z159" s="23"/>
      <c r="AA159" s="23"/>
      <c r="AB159" s="23"/>
    </row>
    <row r="160" spans="2:28" x14ac:dyDescent="0.15">
      <c r="B160" s="4"/>
      <c r="C160" s="4"/>
      <c r="D160" s="4"/>
      <c r="E160" s="4"/>
      <c r="F160" s="4"/>
      <c r="G160" s="4"/>
      <c r="H160" s="4"/>
      <c r="I160" s="4"/>
      <c r="J160" s="4"/>
      <c r="K160" s="4"/>
      <c r="L160" s="4"/>
      <c r="M160" s="4"/>
      <c r="N160" s="4"/>
      <c r="O160" s="4"/>
      <c r="P160" s="4"/>
      <c r="Q160" s="4"/>
      <c r="R160" s="4"/>
      <c r="S160" s="4"/>
      <c r="T160" s="4"/>
      <c r="U160" s="23"/>
      <c r="V160" s="23"/>
      <c r="W160" s="23"/>
      <c r="X160" s="42"/>
      <c r="Y160" s="23"/>
      <c r="Z160" s="23"/>
      <c r="AA160" s="23"/>
      <c r="AB160" s="23"/>
    </row>
    <row r="161" spans="1:28" ht="19.5" customHeight="1" x14ac:dyDescent="0.15">
      <c r="B161" s="4"/>
      <c r="C161" s="53" t="s">
        <v>339</v>
      </c>
      <c r="D161" s="54"/>
      <c r="E161" s="54"/>
      <c r="F161" s="54"/>
      <c r="G161" s="54"/>
      <c r="H161" s="54"/>
      <c r="I161" s="54"/>
      <c r="J161" s="54"/>
      <c r="K161" s="54"/>
      <c r="L161" s="54"/>
      <c r="M161" s="54"/>
      <c r="N161" s="54"/>
      <c r="O161" s="54"/>
      <c r="P161" s="54"/>
      <c r="Q161" s="54"/>
      <c r="R161" s="54"/>
      <c r="S161" s="55"/>
      <c r="T161" s="4"/>
      <c r="U161" s="23"/>
      <c r="V161" s="23"/>
      <c r="W161" s="23"/>
      <c r="X161" s="42" t="str">
        <f>IF(COUNTIF(G165,"NG")=0,"OK","NG")</f>
        <v>OK</v>
      </c>
      <c r="Y161" s="23"/>
      <c r="Z161" s="23"/>
      <c r="AA161" s="23"/>
      <c r="AB161" s="23"/>
    </row>
    <row r="162" spans="1:28" ht="5.0999999999999996" customHeight="1" x14ac:dyDescent="0.15">
      <c r="B162" s="4"/>
      <c r="C162" s="56"/>
      <c r="D162" s="72"/>
      <c r="E162" s="4"/>
      <c r="F162" s="4"/>
      <c r="G162" s="4"/>
      <c r="H162" s="4"/>
      <c r="I162" s="4"/>
      <c r="J162" s="4"/>
      <c r="K162" s="4"/>
      <c r="L162" s="4"/>
      <c r="M162" s="4"/>
      <c r="N162" s="4"/>
      <c r="O162" s="4"/>
      <c r="P162" s="4"/>
      <c r="Q162" s="4"/>
      <c r="R162" s="4"/>
      <c r="S162" s="57"/>
      <c r="T162" s="4"/>
      <c r="U162" s="23"/>
      <c r="V162" s="23"/>
      <c r="W162" s="23"/>
      <c r="X162" s="42"/>
      <c r="Y162" s="23"/>
      <c r="Z162" s="23"/>
      <c r="AA162" s="23"/>
      <c r="AB162" s="23"/>
    </row>
    <row r="163" spans="1:28" x14ac:dyDescent="0.15">
      <c r="B163" s="4"/>
      <c r="C163" s="56" t="s">
        <v>340</v>
      </c>
      <c r="D163" s="4"/>
      <c r="E163" s="4"/>
      <c r="F163" s="4"/>
      <c r="G163" s="4"/>
      <c r="H163" s="4"/>
      <c r="I163" s="4"/>
      <c r="J163" s="4"/>
      <c r="K163" s="4"/>
      <c r="L163" s="4"/>
      <c r="M163" s="4"/>
      <c r="N163" s="4"/>
      <c r="O163" s="4"/>
      <c r="P163" s="4"/>
      <c r="Q163" s="4"/>
      <c r="R163" s="4"/>
      <c r="S163" s="57"/>
      <c r="T163" s="4"/>
      <c r="U163" s="23"/>
      <c r="V163" s="23"/>
      <c r="W163" s="23"/>
      <c r="X163" s="42"/>
      <c r="Y163" s="23"/>
      <c r="Z163" s="23"/>
      <c r="AA163" s="23"/>
      <c r="AB163" s="23"/>
    </row>
    <row r="164" spans="1:28" ht="5.0999999999999996" customHeight="1" thickBot="1" x14ac:dyDescent="0.2">
      <c r="B164" s="4"/>
      <c r="C164" s="56"/>
      <c r="D164" s="4"/>
      <c r="E164" s="4"/>
      <c r="F164" s="4"/>
      <c r="G164" s="4"/>
      <c r="H164" s="4"/>
      <c r="I164" s="4"/>
      <c r="J164" s="4"/>
      <c r="K164" s="4"/>
      <c r="L164" s="4"/>
      <c r="M164" s="4"/>
      <c r="N164" s="4"/>
      <c r="O164" s="4"/>
      <c r="P164" s="4"/>
      <c r="Q164" s="4"/>
      <c r="R164" s="4"/>
      <c r="S164" s="57"/>
      <c r="T164" s="4"/>
      <c r="U164" s="23"/>
      <c r="V164" s="23"/>
      <c r="W164" s="23"/>
      <c r="X164" s="42"/>
      <c r="Y164" s="23"/>
      <c r="Z164" s="23"/>
      <c r="AA164" s="23"/>
      <c r="AB164" s="23"/>
    </row>
    <row r="165" spans="1:28" ht="14.25" thickBot="1" x14ac:dyDescent="0.2">
      <c r="B165" s="4"/>
      <c r="C165" s="82"/>
      <c r="D165" s="77"/>
      <c r="E165" s="77"/>
      <c r="F165" s="78" t="s">
        <v>337</v>
      </c>
      <c r="G165" s="85" t="str">
        <f>IF(反映シート!$C$132=TRUE,IF(0&lt;反映シート!I230,"OK","NG"),"OK")</f>
        <v>OK</v>
      </c>
      <c r="H165" s="4"/>
      <c r="I165" s="4"/>
      <c r="J165" s="4"/>
      <c r="K165" s="4"/>
      <c r="L165" s="4"/>
      <c r="M165" s="4"/>
      <c r="N165" s="4"/>
      <c r="O165" s="4"/>
      <c r="P165" s="4"/>
      <c r="Q165" s="4"/>
      <c r="R165" s="4"/>
      <c r="S165" s="57"/>
      <c r="T165" s="4"/>
      <c r="U165" s="23"/>
      <c r="V165" s="23"/>
      <c r="W165" s="23"/>
      <c r="X165" s="42"/>
      <c r="Y165" s="23"/>
      <c r="Z165" s="23"/>
      <c r="AA165" s="23"/>
      <c r="AB165" s="23"/>
    </row>
    <row r="166" spans="1:28" ht="5.0999999999999996" customHeight="1" x14ac:dyDescent="0.15">
      <c r="B166" s="4"/>
      <c r="C166" s="59"/>
      <c r="D166" s="75"/>
      <c r="E166" s="60"/>
      <c r="F166" s="60"/>
      <c r="G166" s="60"/>
      <c r="H166" s="60"/>
      <c r="I166" s="60"/>
      <c r="J166" s="60"/>
      <c r="K166" s="60"/>
      <c r="L166" s="60"/>
      <c r="M166" s="60"/>
      <c r="N166" s="60"/>
      <c r="O166" s="60"/>
      <c r="P166" s="60"/>
      <c r="Q166" s="60"/>
      <c r="R166" s="60"/>
      <c r="S166" s="61"/>
      <c r="T166" s="4"/>
      <c r="U166" s="23"/>
      <c r="V166" s="23"/>
      <c r="W166" s="23"/>
      <c r="X166" s="42"/>
      <c r="Y166" s="23"/>
      <c r="Z166" s="23"/>
      <c r="AA166" s="23"/>
      <c r="AB166" s="23"/>
    </row>
    <row r="167" spans="1:28" x14ac:dyDescent="0.15">
      <c r="B167" s="4"/>
      <c r="C167" s="4"/>
      <c r="D167" s="4"/>
      <c r="E167" s="4"/>
      <c r="F167" s="4"/>
      <c r="G167" s="4"/>
      <c r="H167" s="4"/>
      <c r="I167" s="4"/>
      <c r="J167" s="4"/>
      <c r="K167" s="4"/>
      <c r="L167" s="4"/>
      <c r="M167" s="4"/>
      <c r="N167" s="4"/>
      <c r="O167" s="4"/>
      <c r="P167" s="4"/>
      <c r="Q167" s="4"/>
      <c r="R167" s="4"/>
      <c r="S167" s="4"/>
      <c r="T167" s="4"/>
      <c r="U167" s="23"/>
      <c r="V167" s="23"/>
      <c r="W167" s="23"/>
      <c r="X167" s="42"/>
      <c r="Y167" s="23"/>
      <c r="Z167" s="23"/>
      <c r="AA167" s="23"/>
      <c r="AB167" s="23"/>
    </row>
    <row r="168" spans="1:28" x14ac:dyDescent="0.15">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row>
    <row r="169" spans="1:28" ht="5.0999999999999996" customHeight="1" x14ac:dyDescent="0.15">
      <c r="A169" s="23"/>
      <c r="B169" s="2"/>
      <c r="C169" s="2"/>
      <c r="D169" s="2"/>
      <c r="E169" s="2"/>
      <c r="F169" s="2"/>
      <c r="G169" s="2"/>
      <c r="H169" s="2"/>
      <c r="I169" s="2"/>
      <c r="J169" s="2"/>
      <c r="K169" s="2"/>
      <c r="L169" s="2"/>
      <c r="M169" s="2"/>
      <c r="N169" s="2"/>
      <c r="O169" s="2"/>
      <c r="P169" s="2"/>
      <c r="Q169" s="2"/>
      <c r="R169" s="2"/>
      <c r="S169" s="2"/>
      <c r="T169" s="2"/>
      <c r="U169" s="23"/>
      <c r="V169" s="23"/>
      <c r="W169" s="23"/>
      <c r="X169" s="42"/>
      <c r="Y169" s="23"/>
      <c r="Z169" s="23"/>
      <c r="AA169" s="23"/>
      <c r="AB169" s="23"/>
    </row>
    <row r="170" spans="1:28" x14ac:dyDescent="0.15">
      <c r="A170" s="23"/>
      <c r="B170" s="30" t="s">
        <v>354</v>
      </c>
      <c r="C170" s="2"/>
      <c r="D170" s="2"/>
      <c r="E170" s="2"/>
      <c r="F170" s="2"/>
      <c r="G170" s="2"/>
      <c r="H170" s="2"/>
      <c r="I170" s="2"/>
      <c r="J170" s="2"/>
      <c r="K170" s="2"/>
      <c r="L170" s="2"/>
      <c r="M170" s="2"/>
      <c r="N170" s="2"/>
      <c r="O170" s="2"/>
      <c r="P170" s="2"/>
      <c r="Q170" s="2"/>
      <c r="R170" s="2"/>
      <c r="S170" s="2"/>
      <c r="T170" s="2"/>
      <c r="U170" s="23"/>
      <c r="V170" s="23"/>
      <c r="W170" s="23"/>
      <c r="X170" s="42"/>
      <c r="Y170" s="23"/>
      <c r="Z170" s="23"/>
      <c r="AA170" s="23"/>
      <c r="AB170" s="23"/>
    </row>
    <row r="171" spans="1:28" ht="5.0999999999999996" customHeight="1" x14ac:dyDescent="0.15">
      <c r="A171" s="23"/>
      <c r="B171" s="2"/>
      <c r="C171" s="2"/>
      <c r="D171" s="2"/>
      <c r="E171" s="2"/>
      <c r="F171" s="2"/>
      <c r="G171" s="2"/>
      <c r="H171" s="2"/>
      <c r="I171" s="2"/>
      <c r="J171" s="2"/>
      <c r="K171" s="2"/>
      <c r="L171" s="2"/>
      <c r="M171" s="2"/>
      <c r="N171" s="2"/>
      <c r="O171" s="2"/>
      <c r="P171" s="2"/>
      <c r="Q171" s="2"/>
      <c r="R171" s="2"/>
      <c r="S171" s="2"/>
      <c r="T171" s="2"/>
      <c r="U171" s="23"/>
      <c r="V171" s="23"/>
      <c r="W171" s="23"/>
      <c r="X171" s="42"/>
      <c r="Y171" s="23"/>
      <c r="Z171" s="23"/>
      <c r="AA171" s="23"/>
      <c r="AB171" s="23"/>
    </row>
    <row r="172" spans="1:28" x14ac:dyDescent="0.15">
      <c r="A172" s="23"/>
      <c r="B172" s="2"/>
      <c r="C172" s="2" t="s">
        <v>43</v>
      </c>
      <c r="D172" s="2"/>
      <c r="E172" s="2"/>
      <c r="F172" s="2"/>
      <c r="G172" s="2"/>
      <c r="H172" s="2"/>
      <c r="I172" s="2"/>
      <c r="J172" s="2"/>
      <c r="K172" s="2"/>
      <c r="L172" s="2"/>
      <c r="M172" s="2"/>
      <c r="N172" s="2"/>
      <c r="O172" s="2"/>
      <c r="P172" s="2"/>
      <c r="Q172" s="2"/>
      <c r="R172" s="2"/>
      <c r="S172" s="2"/>
      <c r="T172" s="2"/>
      <c r="U172" s="23"/>
      <c r="V172" s="23"/>
      <c r="W172" s="23"/>
      <c r="X172" s="42"/>
      <c r="Y172" s="23"/>
      <c r="Z172" s="23"/>
      <c r="AA172" s="23"/>
      <c r="AB172" s="23"/>
    </row>
    <row r="173" spans="1:28" ht="5.0999999999999996" customHeight="1" thickBot="1" x14ac:dyDescent="0.2">
      <c r="A173" s="23"/>
      <c r="B173" s="2"/>
      <c r="C173" s="2"/>
      <c r="D173" s="2"/>
      <c r="E173" s="2"/>
      <c r="F173" s="2"/>
      <c r="G173" s="2"/>
      <c r="H173" s="2"/>
      <c r="I173" s="2"/>
      <c r="J173" s="2"/>
      <c r="K173" s="2"/>
      <c r="L173" s="2"/>
      <c r="M173" s="2"/>
      <c r="N173" s="2"/>
      <c r="O173" s="2"/>
      <c r="P173" s="2"/>
      <c r="Q173" s="2"/>
      <c r="R173" s="2"/>
      <c r="S173" s="2"/>
      <c r="T173" s="2"/>
      <c r="U173" s="23"/>
      <c r="V173" s="23"/>
      <c r="W173" s="23"/>
      <c r="X173" s="42"/>
      <c r="Y173" s="23"/>
      <c r="Z173" s="23"/>
      <c r="AA173" s="23"/>
      <c r="AB173" s="23"/>
    </row>
    <row r="174" spans="1:28" ht="14.25" thickBot="1" x14ac:dyDescent="0.2">
      <c r="A174" s="23"/>
      <c r="B174" s="2"/>
      <c r="C174" s="2"/>
      <c r="D174" s="2"/>
      <c r="E174" s="32" t="str">
        <f>IF(反映シート!$C$116=FALSE,"OK",IF(AND(反映シート!$C$116=TRUE,反映シート!G245&gt;0),"OK","NG"))</f>
        <v>OK</v>
      </c>
      <c r="F174" s="63"/>
      <c r="G174" s="2"/>
      <c r="H174" s="2"/>
      <c r="I174" s="2"/>
      <c r="J174" s="2"/>
      <c r="K174" s="65"/>
      <c r="L174" s="2"/>
      <c r="M174" s="2"/>
      <c r="N174" s="2"/>
      <c r="O174" s="2"/>
      <c r="P174" s="2"/>
      <c r="Q174" s="34" t="str">
        <f>S174&amp;S178&amp;S182&amp;S186</f>
        <v>1111</v>
      </c>
      <c r="R174" s="2"/>
      <c r="S174" s="27">
        <f>IF(E174="OK",1,2)</f>
        <v>1</v>
      </c>
      <c r="T174" s="2"/>
      <c r="U174" s="23"/>
      <c r="V174" s="23"/>
      <c r="W174" s="23"/>
      <c r="X174" s="42" t="str">
        <f>IF(COUNTIF(E174:E186,"NG")=0,"OK","NG")</f>
        <v>OK</v>
      </c>
      <c r="Y174" s="23"/>
      <c r="Z174" s="23"/>
      <c r="AA174" s="23"/>
      <c r="AB174" s="23"/>
    </row>
    <row r="175" spans="1:28" ht="5.0999999999999996" customHeight="1" x14ac:dyDescent="0.15">
      <c r="A175" s="23"/>
      <c r="B175" s="2"/>
      <c r="C175" s="2"/>
      <c r="D175" s="2"/>
      <c r="E175" s="2"/>
      <c r="F175" s="2"/>
      <c r="G175" s="2"/>
      <c r="H175" s="2"/>
      <c r="I175" s="2"/>
      <c r="J175" s="2"/>
      <c r="K175" s="2"/>
      <c r="L175" s="2"/>
      <c r="M175" s="2"/>
      <c r="N175" s="2"/>
      <c r="O175" s="2"/>
      <c r="P175" s="2"/>
      <c r="Q175" s="2"/>
      <c r="R175" s="2"/>
      <c r="S175" s="2"/>
      <c r="T175" s="2"/>
      <c r="U175" s="23"/>
      <c r="V175" s="23"/>
      <c r="W175" s="23"/>
      <c r="X175" s="42"/>
      <c r="Y175" s="23"/>
      <c r="Z175" s="23"/>
      <c r="AA175" s="23"/>
      <c r="AB175" s="23"/>
    </row>
    <row r="176" spans="1:28" x14ac:dyDescent="0.15">
      <c r="A176" s="23"/>
      <c r="B176" s="2"/>
      <c r="C176" s="2" t="s">
        <v>49</v>
      </c>
      <c r="D176" s="2"/>
      <c r="E176" s="2"/>
      <c r="F176" s="2"/>
      <c r="G176" s="2"/>
      <c r="H176" s="2"/>
      <c r="I176" s="2"/>
      <c r="J176" s="2"/>
      <c r="K176" s="2"/>
      <c r="L176" s="2"/>
      <c r="M176" s="2"/>
      <c r="N176" s="2"/>
      <c r="O176" s="2"/>
      <c r="P176" s="2"/>
      <c r="Q176" s="2"/>
      <c r="R176" s="2"/>
      <c r="S176" s="2"/>
      <c r="T176" s="2"/>
      <c r="U176" s="23"/>
      <c r="V176" s="23"/>
      <c r="W176" s="23"/>
      <c r="X176" s="42"/>
      <c r="Y176" s="23"/>
      <c r="Z176" s="23"/>
      <c r="AA176" s="23"/>
      <c r="AB176" s="23"/>
    </row>
    <row r="177" spans="1:28" ht="5.0999999999999996" customHeight="1" thickBot="1" x14ac:dyDescent="0.2">
      <c r="A177" s="23"/>
      <c r="B177" s="2"/>
      <c r="C177" s="2"/>
      <c r="D177" s="2"/>
      <c r="E177" s="2"/>
      <c r="F177" s="2"/>
      <c r="G177" s="2"/>
      <c r="H177" s="2"/>
      <c r="I177" s="2"/>
      <c r="J177" s="2"/>
      <c r="K177" s="2"/>
      <c r="L177" s="2"/>
      <c r="M177" s="2"/>
      <c r="N177" s="2"/>
      <c r="O177" s="2"/>
      <c r="P177" s="2"/>
      <c r="Q177" s="2"/>
      <c r="R177" s="2"/>
      <c r="S177" s="2"/>
      <c r="T177" s="2"/>
      <c r="U177" s="23"/>
      <c r="V177" s="23"/>
      <c r="W177" s="23"/>
      <c r="X177" s="42"/>
      <c r="Y177" s="23"/>
      <c r="Z177" s="23"/>
      <c r="AA177" s="23"/>
      <c r="AB177" s="23"/>
    </row>
    <row r="178" spans="1:28" ht="14.25" thickBot="1" x14ac:dyDescent="0.2">
      <c r="A178" s="23"/>
      <c r="B178" s="2"/>
      <c r="C178" s="2"/>
      <c r="D178" s="2"/>
      <c r="E178" s="32" t="str">
        <f>IF(AND(反映シート!C120=FALSE,反映シート!C122=FALSE,反映シート!C124=FALSE,反映シート!C126=FALSE,反映シート!C128=FALSE),"OK",IF(AND(OR(反映シート!$C$120=TRUE,反映シート!$C$122=TRUE,反映シート!$C$124=TRUE,反映シート!$C$126=TRUE,反映シート!$C$128=TRUE),反映シート!G257&gt;0),"OK","NG"))</f>
        <v>OK</v>
      </c>
      <c r="F178" s="63"/>
      <c r="G178" s="2"/>
      <c r="H178" s="2"/>
      <c r="I178" s="2"/>
      <c r="J178" s="2"/>
      <c r="K178" s="65"/>
      <c r="L178" s="2"/>
      <c r="M178" s="2"/>
      <c r="N178" s="2"/>
      <c r="O178" s="2"/>
      <c r="P178" s="2"/>
      <c r="Q178" s="2"/>
      <c r="R178" s="2"/>
      <c r="S178" s="27">
        <f>IF(E178="OK",1,2)</f>
        <v>1</v>
      </c>
      <c r="T178" s="2"/>
      <c r="U178" s="23"/>
      <c r="V178" s="23"/>
      <c r="W178" s="23"/>
      <c r="X178" s="42"/>
      <c r="Y178" s="23"/>
      <c r="Z178" s="23"/>
      <c r="AA178" s="23"/>
      <c r="AB178" s="23"/>
    </row>
    <row r="179" spans="1:28" ht="5.0999999999999996" customHeight="1" x14ac:dyDescent="0.15">
      <c r="A179" s="23"/>
      <c r="B179" s="2"/>
      <c r="C179" s="2"/>
      <c r="D179" s="2"/>
      <c r="E179" s="2"/>
      <c r="F179" s="2"/>
      <c r="G179" s="2"/>
      <c r="H179" s="2"/>
      <c r="I179" s="2"/>
      <c r="J179" s="2"/>
      <c r="K179" s="2"/>
      <c r="L179" s="2"/>
      <c r="M179" s="2"/>
      <c r="N179" s="2"/>
      <c r="O179" s="2"/>
      <c r="P179" s="2"/>
      <c r="Q179" s="2"/>
      <c r="R179" s="2"/>
      <c r="S179" s="2"/>
      <c r="T179" s="2"/>
      <c r="U179" s="23"/>
      <c r="V179" s="23"/>
      <c r="W179" s="23"/>
      <c r="X179" s="42"/>
      <c r="Y179" s="23"/>
      <c r="Z179" s="23"/>
      <c r="AA179" s="23"/>
      <c r="AB179" s="23"/>
    </row>
    <row r="180" spans="1:28" x14ac:dyDescent="0.15">
      <c r="A180" s="23"/>
      <c r="B180" s="2"/>
      <c r="C180" s="2" t="s">
        <v>53</v>
      </c>
      <c r="D180" s="2"/>
      <c r="E180" s="2"/>
      <c r="F180" s="2"/>
      <c r="G180" s="2"/>
      <c r="H180" s="2"/>
      <c r="I180" s="2"/>
      <c r="J180" s="2"/>
      <c r="K180" s="2"/>
      <c r="L180" s="2"/>
      <c r="M180" s="2"/>
      <c r="N180" s="2"/>
      <c r="O180" s="2"/>
      <c r="P180" s="2"/>
      <c r="Q180" s="2"/>
      <c r="R180" s="2"/>
      <c r="S180" s="2"/>
      <c r="T180" s="2"/>
      <c r="U180" s="23"/>
      <c r="V180" s="23"/>
      <c r="W180" s="23"/>
      <c r="X180" s="42"/>
      <c r="Y180" s="23"/>
      <c r="Z180" s="23"/>
      <c r="AA180" s="23"/>
      <c r="AB180" s="23"/>
    </row>
    <row r="181" spans="1:28" ht="5.0999999999999996" customHeight="1" thickBot="1" x14ac:dyDescent="0.2">
      <c r="A181" s="23"/>
      <c r="B181" s="2"/>
      <c r="C181" s="2"/>
      <c r="D181" s="2"/>
      <c r="E181" s="2"/>
      <c r="F181" s="2"/>
      <c r="G181" s="2"/>
      <c r="H181" s="2"/>
      <c r="I181" s="2"/>
      <c r="J181" s="2"/>
      <c r="K181" s="2"/>
      <c r="L181" s="2"/>
      <c r="M181" s="2"/>
      <c r="N181" s="2"/>
      <c r="O181" s="2"/>
      <c r="P181" s="2"/>
      <c r="Q181" s="2"/>
      <c r="R181" s="2"/>
      <c r="S181" s="2"/>
      <c r="T181" s="2"/>
      <c r="U181" s="23"/>
      <c r="V181" s="23"/>
      <c r="W181" s="23"/>
      <c r="X181" s="42"/>
      <c r="Y181" s="23"/>
      <c r="Z181" s="23"/>
      <c r="AA181" s="23"/>
      <c r="AB181" s="23"/>
    </row>
    <row r="182" spans="1:28" ht="14.25" thickBot="1" x14ac:dyDescent="0.2">
      <c r="A182" s="23"/>
      <c r="B182" s="2"/>
      <c r="C182" s="2"/>
      <c r="D182" s="2"/>
      <c r="E182" s="32" t="str">
        <f>IF(反映シート!$C$130=FALSE,"OK",IF(AND(反映シート!$C$130=TRUE,反映シート!G269&gt;0),"OK","NG"))</f>
        <v>OK</v>
      </c>
      <c r="F182" s="63"/>
      <c r="G182" s="2"/>
      <c r="H182" s="2"/>
      <c r="I182" s="2"/>
      <c r="J182" s="2"/>
      <c r="K182" s="65"/>
      <c r="L182" s="2"/>
      <c r="M182" s="2"/>
      <c r="N182" s="2"/>
      <c r="O182" s="2"/>
      <c r="P182" s="2"/>
      <c r="Q182" s="2"/>
      <c r="R182" s="2"/>
      <c r="S182" s="27">
        <f>IF(E182="OK",1,2)</f>
        <v>1</v>
      </c>
      <c r="T182" s="2"/>
      <c r="U182" s="23"/>
      <c r="V182" s="23"/>
      <c r="W182" s="23"/>
      <c r="X182" s="42"/>
      <c r="Y182" s="23"/>
      <c r="Z182" s="23"/>
      <c r="AA182" s="23"/>
      <c r="AB182" s="23"/>
    </row>
    <row r="183" spans="1:28" ht="5.0999999999999996" customHeight="1" x14ac:dyDescent="0.15">
      <c r="A183" s="23"/>
      <c r="B183" s="2"/>
      <c r="C183" s="2"/>
      <c r="D183" s="2"/>
      <c r="E183" s="2"/>
      <c r="F183" s="2"/>
      <c r="G183" s="2"/>
      <c r="H183" s="2"/>
      <c r="I183" s="2"/>
      <c r="J183" s="2"/>
      <c r="K183" s="2"/>
      <c r="L183" s="2"/>
      <c r="M183" s="2"/>
      <c r="N183" s="2"/>
      <c r="O183" s="2"/>
      <c r="P183" s="2"/>
      <c r="Q183" s="2"/>
      <c r="R183" s="2"/>
      <c r="S183" s="2"/>
      <c r="T183" s="2"/>
      <c r="U183" s="23"/>
      <c r="V183" s="23"/>
      <c r="W183" s="23"/>
      <c r="X183" s="42"/>
      <c r="Y183" s="23"/>
      <c r="Z183" s="23"/>
      <c r="AA183" s="23"/>
      <c r="AB183" s="23"/>
    </row>
    <row r="184" spans="1:28" x14ac:dyDescent="0.15">
      <c r="A184" s="23"/>
      <c r="B184" s="2"/>
      <c r="C184" s="2" t="s">
        <v>54</v>
      </c>
      <c r="D184" s="2"/>
      <c r="E184" s="2"/>
      <c r="F184" s="2"/>
      <c r="G184" s="2"/>
      <c r="H184" s="2"/>
      <c r="I184" s="2"/>
      <c r="J184" s="2"/>
      <c r="K184" s="2"/>
      <c r="L184" s="2"/>
      <c r="M184" s="2"/>
      <c r="N184" s="2"/>
      <c r="O184" s="2"/>
      <c r="P184" s="2"/>
      <c r="Q184" s="2"/>
      <c r="R184" s="2"/>
      <c r="S184" s="2"/>
      <c r="T184" s="2"/>
      <c r="U184" s="23"/>
      <c r="V184" s="23"/>
      <c r="W184" s="23"/>
      <c r="X184" s="42"/>
      <c r="Y184" s="23"/>
      <c r="Z184" s="23"/>
      <c r="AA184" s="23"/>
      <c r="AB184" s="23"/>
    </row>
    <row r="185" spans="1:28" ht="5.0999999999999996" customHeight="1" thickBot="1" x14ac:dyDescent="0.2">
      <c r="A185" s="23"/>
      <c r="B185" s="2"/>
      <c r="C185" s="2"/>
      <c r="D185" s="2"/>
      <c r="E185" s="2"/>
      <c r="F185" s="2"/>
      <c r="G185" s="2"/>
      <c r="H185" s="2"/>
      <c r="I185" s="2"/>
      <c r="J185" s="2"/>
      <c r="K185" s="2"/>
      <c r="L185" s="2"/>
      <c r="M185" s="2"/>
      <c r="N185" s="2"/>
      <c r="O185" s="2"/>
      <c r="P185" s="2"/>
      <c r="Q185" s="2"/>
      <c r="R185" s="2"/>
      <c r="S185" s="2"/>
      <c r="T185" s="2"/>
      <c r="U185" s="23"/>
      <c r="V185" s="23"/>
      <c r="W185" s="23"/>
      <c r="X185" s="42"/>
      <c r="Y185" s="23"/>
      <c r="Z185" s="23"/>
      <c r="AA185" s="23"/>
      <c r="AB185" s="23"/>
    </row>
    <row r="186" spans="1:28" ht="14.25" thickBot="1" x14ac:dyDescent="0.2">
      <c r="A186" s="23"/>
      <c r="B186" s="2"/>
      <c r="C186" s="2"/>
      <c r="D186" s="2"/>
      <c r="E186" s="32" t="str">
        <f>IF(反映シート!$C$132=FALSE,"OK",IF(AND(反映シート!$C$132=TRUE,反映シート!G281&gt;0),"OK","NG"))</f>
        <v>OK</v>
      </c>
      <c r="F186" s="63"/>
      <c r="G186" s="2"/>
      <c r="H186" s="2"/>
      <c r="I186" s="2"/>
      <c r="J186" s="2"/>
      <c r="K186" s="65"/>
      <c r="L186" s="2"/>
      <c r="M186" s="2"/>
      <c r="N186" s="2"/>
      <c r="O186" s="2"/>
      <c r="P186" s="2"/>
      <c r="Q186" s="2"/>
      <c r="R186" s="2"/>
      <c r="S186" s="27">
        <f>IF(E186="OK",1,2)</f>
        <v>1</v>
      </c>
      <c r="T186" s="2"/>
      <c r="U186" s="23"/>
      <c r="V186" s="23"/>
      <c r="W186" s="23"/>
      <c r="X186" s="42"/>
      <c r="Y186" s="23"/>
      <c r="Z186" s="23"/>
      <c r="AA186" s="23"/>
      <c r="AB186" s="23"/>
    </row>
    <row r="187" spans="1:28" ht="5.0999999999999996" customHeight="1" x14ac:dyDescent="0.15">
      <c r="A187" s="23"/>
      <c r="B187" s="2"/>
      <c r="C187" s="2"/>
      <c r="D187" s="2"/>
      <c r="E187" s="2"/>
      <c r="F187" s="2"/>
      <c r="G187" s="2"/>
      <c r="H187" s="2"/>
      <c r="I187" s="2"/>
      <c r="J187" s="2"/>
      <c r="K187" s="2"/>
      <c r="L187" s="2"/>
      <c r="M187" s="2"/>
      <c r="N187" s="2"/>
      <c r="O187" s="2"/>
      <c r="P187" s="2"/>
      <c r="Q187" s="2"/>
      <c r="R187" s="2"/>
      <c r="S187" s="2"/>
      <c r="T187" s="2"/>
      <c r="U187" s="23"/>
      <c r="V187" s="23"/>
      <c r="W187" s="23"/>
      <c r="X187" s="42"/>
      <c r="Y187" s="23"/>
      <c r="Z187" s="23"/>
      <c r="AA187" s="23"/>
      <c r="AB187" s="23"/>
    </row>
    <row r="188" spans="1:28" x14ac:dyDescent="0.15">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row>
    <row r="189" spans="1:28" ht="5.0999999999999996" customHeight="1" x14ac:dyDescent="0.15">
      <c r="A189" s="23"/>
      <c r="B189" s="4"/>
      <c r="C189" s="4"/>
      <c r="D189" s="4"/>
      <c r="E189" s="4"/>
      <c r="F189" s="4"/>
      <c r="G189" s="4"/>
      <c r="H189" s="4"/>
      <c r="I189" s="4"/>
      <c r="J189" s="4"/>
      <c r="K189" s="4"/>
      <c r="L189" s="4"/>
      <c r="M189" s="4"/>
      <c r="N189" s="4"/>
      <c r="O189" s="4"/>
      <c r="P189" s="4"/>
      <c r="Q189" s="4"/>
      <c r="R189" s="4"/>
      <c r="S189" s="4"/>
      <c r="T189" s="4"/>
      <c r="U189" s="23"/>
      <c r="V189" s="23"/>
      <c r="W189" s="23"/>
      <c r="X189" s="42"/>
      <c r="Y189" s="23"/>
      <c r="Z189" s="23"/>
      <c r="AA189" s="23"/>
      <c r="AB189" s="23"/>
    </row>
    <row r="190" spans="1:28" x14ac:dyDescent="0.15">
      <c r="A190" s="23"/>
      <c r="B190" s="28" t="s">
        <v>355</v>
      </c>
      <c r="C190" s="4"/>
      <c r="D190" s="4"/>
      <c r="E190" s="4"/>
      <c r="F190" s="4"/>
      <c r="G190" s="4"/>
      <c r="H190" s="4"/>
      <c r="I190" s="4"/>
      <c r="J190" s="4"/>
      <c r="K190" s="4"/>
      <c r="L190" s="4"/>
      <c r="M190" s="4"/>
      <c r="N190" s="4"/>
      <c r="O190" s="4"/>
      <c r="P190" s="4"/>
      <c r="Q190" s="4"/>
      <c r="R190" s="4"/>
      <c r="S190" s="4"/>
      <c r="T190" s="4"/>
      <c r="U190" s="23"/>
      <c r="V190" s="23"/>
      <c r="W190" s="23"/>
      <c r="X190" s="42"/>
      <c r="Y190" s="23"/>
      <c r="Z190" s="23"/>
      <c r="AA190" s="23"/>
      <c r="AB190" s="23"/>
    </row>
    <row r="191" spans="1:28" ht="5.0999999999999996" customHeight="1" x14ac:dyDescent="0.15">
      <c r="A191" s="23"/>
      <c r="B191" s="4"/>
      <c r="C191" s="4"/>
      <c r="D191" s="4"/>
      <c r="E191" s="4"/>
      <c r="F191" s="4"/>
      <c r="G191" s="4"/>
      <c r="H191" s="4"/>
      <c r="I191" s="4"/>
      <c r="J191" s="4"/>
      <c r="K191" s="4"/>
      <c r="L191" s="4"/>
      <c r="M191" s="4"/>
      <c r="N191" s="4"/>
      <c r="O191" s="4"/>
      <c r="P191" s="4"/>
      <c r="Q191" s="4"/>
      <c r="R191" s="4"/>
      <c r="S191" s="4"/>
      <c r="T191" s="4"/>
      <c r="U191" s="23"/>
      <c r="V191" s="23"/>
      <c r="W191" s="23"/>
      <c r="X191" s="42"/>
      <c r="Y191" s="23"/>
      <c r="Z191" s="23"/>
      <c r="AA191" s="23"/>
      <c r="AB191" s="23"/>
    </row>
    <row r="192" spans="1:28" x14ac:dyDescent="0.15">
      <c r="A192" s="23"/>
      <c r="B192" s="4"/>
      <c r="C192" s="4" t="s">
        <v>43</v>
      </c>
      <c r="D192" s="4"/>
      <c r="E192" s="4"/>
      <c r="F192" s="4"/>
      <c r="G192" s="4"/>
      <c r="H192" s="4"/>
      <c r="I192" s="4"/>
      <c r="J192" s="4"/>
      <c r="K192" s="4"/>
      <c r="L192" s="4"/>
      <c r="M192" s="4"/>
      <c r="N192" s="4"/>
      <c r="O192" s="4"/>
      <c r="P192" s="4"/>
      <c r="Q192" s="4"/>
      <c r="R192" s="4"/>
      <c r="S192" s="4"/>
      <c r="T192" s="4"/>
      <c r="U192" s="23"/>
      <c r="V192" s="23"/>
      <c r="W192" s="23"/>
      <c r="X192" s="42"/>
      <c r="Y192" s="23"/>
      <c r="Z192" s="23"/>
      <c r="AA192" s="23"/>
      <c r="AB192" s="23"/>
    </row>
    <row r="193" spans="1:28" ht="5.0999999999999996" customHeight="1" thickBot="1" x14ac:dyDescent="0.2">
      <c r="A193" s="23"/>
      <c r="B193" s="4"/>
      <c r="C193" s="4"/>
      <c r="D193" s="4"/>
      <c r="E193" s="4"/>
      <c r="F193" s="4"/>
      <c r="G193" s="4"/>
      <c r="H193" s="4"/>
      <c r="I193" s="4"/>
      <c r="J193" s="4"/>
      <c r="K193" s="4"/>
      <c r="L193" s="4"/>
      <c r="M193" s="4"/>
      <c r="N193" s="4"/>
      <c r="O193" s="4"/>
      <c r="P193" s="4"/>
      <c r="Q193" s="4"/>
      <c r="R193" s="4"/>
      <c r="S193" s="4"/>
      <c r="T193" s="4"/>
      <c r="U193" s="23"/>
      <c r="V193" s="23"/>
      <c r="W193" s="23"/>
      <c r="X193" s="42"/>
      <c r="Y193" s="23"/>
      <c r="Z193" s="23"/>
      <c r="AA193" s="23"/>
      <c r="AB193" s="23"/>
    </row>
    <row r="194" spans="1:28" ht="14.25" thickBot="1" x14ac:dyDescent="0.2">
      <c r="A194" s="23"/>
      <c r="B194" s="4"/>
      <c r="C194" s="4"/>
      <c r="D194" s="4"/>
      <c r="E194" s="32" t="str">
        <f>IF(反映シート!$C$116=FALSE,"OK",IF(AND(反映シート!$C$116=TRUE,反映シート!G309&gt;0),"OK","NG"))</f>
        <v>OK</v>
      </c>
      <c r="F194" s="58"/>
      <c r="G194" s="4"/>
      <c r="H194" s="4"/>
      <c r="I194" s="4"/>
      <c r="J194" s="4"/>
      <c r="K194" s="66"/>
      <c r="L194" s="4"/>
      <c r="M194" s="4"/>
      <c r="N194" s="4"/>
      <c r="O194" s="4"/>
      <c r="P194" s="4"/>
      <c r="Q194" s="34" t="str">
        <f>S194&amp;S198&amp;S202&amp;S206</f>
        <v>1111</v>
      </c>
      <c r="R194" s="4"/>
      <c r="S194" s="27">
        <f>IF(E194="OK",1,2)</f>
        <v>1</v>
      </c>
      <c r="T194" s="4"/>
      <c r="U194" s="23"/>
      <c r="V194" s="23"/>
      <c r="W194" s="23"/>
      <c r="X194" s="42" t="str">
        <f>IF(COUNTIF(E194:E206,"NG")=0,"OK","NG")</f>
        <v>OK</v>
      </c>
      <c r="Y194" s="23"/>
      <c r="Z194" s="23"/>
      <c r="AA194" s="23"/>
      <c r="AB194" s="23"/>
    </row>
    <row r="195" spans="1:28" ht="5.0999999999999996" customHeight="1" x14ac:dyDescent="0.15">
      <c r="A195" s="23"/>
      <c r="B195" s="4"/>
      <c r="C195" s="4"/>
      <c r="D195" s="4"/>
      <c r="E195" s="4"/>
      <c r="F195" s="4"/>
      <c r="G195" s="4"/>
      <c r="H195" s="4"/>
      <c r="I195" s="4"/>
      <c r="J195" s="4"/>
      <c r="K195" s="4"/>
      <c r="L195" s="4"/>
      <c r="M195" s="4"/>
      <c r="N195" s="4"/>
      <c r="O195" s="4"/>
      <c r="P195" s="4"/>
      <c r="Q195" s="4"/>
      <c r="R195" s="4"/>
      <c r="S195" s="4"/>
      <c r="T195" s="4"/>
      <c r="U195" s="23"/>
      <c r="V195" s="23"/>
      <c r="W195" s="23"/>
      <c r="X195" s="42"/>
      <c r="Y195" s="23"/>
      <c r="Z195" s="23"/>
      <c r="AA195" s="23"/>
      <c r="AB195" s="23"/>
    </row>
    <row r="196" spans="1:28" x14ac:dyDescent="0.15">
      <c r="A196" s="23"/>
      <c r="B196" s="4"/>
      <c r="C196" s="4" t="s">
        <v>49</v>
      </c>
      <c r="D196" s="4"/>
      <c r="E196" s="4"/>
      <c r="F196" s="4"/>
      <c r="G196" s="4"/>
      <c r="H196" s="4"/>
      <c r="I196" s="4"/>
      <c r="J196" s="4"/>
      <c r="K196" s="4"/>
      <c r="L196" s="4"/>
      <c r="M196" s="4"/>
      <c r="N196" s="4"/>
      <c r="O196" s="4"/>
      <c r="P196" s="4"/>
      <c r="Q196" s="4"/>
      <c r="R196" s="4"/>
      <c r="S196" s="4"/>
      <c r="T196" s="4"/>
      <c r="U196" s="23"/>
      <c r="V196" s="23"/>
      <c r="W196" s="23"/>
      <c r="X196" s="42"/>
      <c r="Y196" s="23"/>
      <c r="Z196" s="23"/>
      <c r="AA196" s="23"/>
      <c r="AB196" s="23"/>
    </row>
    <row r="197" spans="1:28" ht="5.0999999999999996" customHeight="1" thickBot="1" x14ac:dyDescent="0.2">
      <c r="A197" s="23"/>
      <c r="B197" s="4"/>
      <c r="C197" s="4"/>
      <c r="D197" s="4"/>
      <c r="E197" s="4"/>
      <c r="F197" s="4"/>
      <c r="G197" s="4"/>
      <c r="H197" s="4"/>
      <c r="I197" s="4"/>
      <c r="J197" s="4"/>
      <c r="K197" s="4"/>
      <c r="L197" s="4"/>
      <c r="M197" s="4"/>
      <c r="N197" s="4"/>
      <c r="O197" s="4"/>
      <c r="P197" s="4"/>
      <c r="Q197" s="4"/>
      <c r="R197" s="4"/>
      <c r="S197" s="4"/>
      <c r="T197" s="4"/>
      <c r="U197" s="23"/>
      <c r="V197" s="23"/>
      <c r="W197" s="23"/>
      <c r="X197" s="42"/>
      <c r="Y197" s="23"/>
      <c r="Z197" s="23"/>
      <c r="AA197" s="23"/>
      <c r="AB197" s="23"/>
    </row>
    <row r="198" spans="1:28" ht="14.25" thickBot="1" x14ac:dyDescent="0.2">
      <c r="A198" s="23"/>
      <c r="B198" s="4"/>
      <c r="C198" s="4"/>
      <c r="D198" s="4"/>
      <c r="E198" s="32" t="str">
        <f>IF(AND(反映シート!C120=FALSE,反映シート!C122=FALSE,反映シート!C124=FALSE,反映シート!C126=FALSE,反映シート!C128=FALSE),"OK",IF(AND(OR(反映シート!$C$120=TRUE,反映シート!$C$122=TRUE,反映シート!$C$124=TRUE,反映シート!$C$126=TRUE,反映シート!$C$128=TRUE),反映シート!G319&gt;0),"OK","NG"))</f>
        <v>OK</v>
      </c>
      <c r="F198" s="58"/>
      <c r="G198" s="4"/>
      <c r="H198" s="4"/>
      <c r="I198" s="4"/>
      <c r="J198" s="4"/>
      <c r="K198" s="66"/>
      <c r="L198" s="4"/>
      <c r="M198" s="4"/>
      <c r="N198" s="4"/>
      <c r="O198" s="4"/>
      <c r="P198" s="4"/>
      <c r="Q198" s="4"/>
      <c r="R198" s="4"/>
      <c r="S198" s="27">
        <f>IF(E198="OK",1,2)</f>
        <v>1</v>
      </c>
      <c r="T198" s="4"/>
      <c r="U198" s="23"/>
      <c r="V198" s="23"/>
      <c r="W198" s="23"/>
      <c r="X198" s="42"/>
      <c r="Y198" s="23"/>
      <c r="Z198" s="23"/>
      <c r="AA198" s="23"/>
      <c r="AB198" s="23"/>
    </row>
    <row r="199" spans="1:28" ht="5.0999999999999996" customHeight="1" x14ac:dyDescent="0.15">
      <c r="A199" s="23"/>
      <c r="B199" s="4"/>
      <c r="C199" s="4"/>
      <c r="D199" s="4"/>
      <c r="E199" s="4"/>
      <c r="F199" s="4"/>
      <c r="G199" s="4"/>
      <c r="H199" s="4"/>
      <c r="I199" s="4"/>
      <c r="J199" s="4"/>
      <c r="K199" s="4"/>
      <c r="L199" s="4"/>
      <c r="M199" s="4"/>
      <c r="N199" s="4"/>
      <c r="O199" s="4"/>
      <c r="P199" s="4"/>
      <c r="Q199" s="4"/>
      <c r="R199" s="4"/>
      <c r="S199" s="4"/>
      <c r="T199" s="4"/>
      <c r="U199" s="23"/>
      <c r="V199" s="23"/>
      <c r="W199" s="23"/>
      <c r="X199" s="42"/>
      <c r="Y199" s="23"/>
      <c r="Z199" s="23"/>
      <c r="AA199" s="23"/>
      <c r="AB199" s="23"/>
    </row>
    <row r="200" spans="1:28" x14ac:dyDescent="0.15">
      <c r="A200" s="23"/>
      <c r="B200" s="4"/>
      <c r="C200" s="4" t="s">
        <v>53</v>
      </c>
      <c r="D200" s="4"/>
      <c r="E200" s="4"/>
      <c r="F200" s="4"/>
      <c r="G200" s="4"/>
      <c r="H200" s="4"/>
      <c r="I200" s="4"/>
      <c r="J200" s="4"/>
      <c r="K200" s="4"/>
      <c r="L200" s="4"/>
      <c r="M200" s="4"/>
      <c r="N200" s="4"/>
      <c r="O200" s="4"/>
      <c r="P200" s="4"/>
      <c r="Q200" s="4"/>
      <c r="R200" s="4"/>
      <c r="S200" s="4"/>
      <c r="T200" s="4"/>
      <c r="U200" s="23"/>
      <c r="V200" s="23"/>
      <c r="W200" s="23"/>
      <c r="X200" s="42"/>
      <c r="Y200" s="23"/>
      <c r="Z200" s="23"/>
      <c r="AA200" s="23"/>
      <c r="AB200" s="23"/>
    </row>
    <row r="201" spans="1:28" ht="5.0999999999999996" customHeight="1" thickBot="1" x14ac:dyDescent="0.2">
      <c r="A201" s="23"/>
      <c r="B201" s="4"/>
      <c r="C201" s="4"/>
      <c r="D201" s="4"/>
      <c r="E201" s="4"/>
      <c r="F201" s="4"/>
      <c r="G201" s="4"/>
      <c r="H201" s="4"/>
      <c r="I201" s="4"/>
      <c r="J201" s="4"/>
      <c r="K201" s="4"/>
      <c r="L201" s="4"/>
      <c r="M201" s="4"/>
      <c r="N201" s="4"/>
      <c r="O201" s="4"/>
      <c r="P201" s="4"/>
      <c r="Q201" s="4"/>
      <c r="R201" s="4"/>
      <c r="S201" s="4"/>
      <c r="T201" s="4"/>
      <c r="U201" s="23"/>
      <c r="V201" s="23"/>
      <c r="W201" s="23"/>
      <c r="X201" s="42"/>
      <c r="Y201" s="23"/>
      <c r="Z201" s="23"/>
      <c r="AA201" s="23"/>
      <c r="AB201" s="23"/>
    </row>
    <row r="202" spans="1:28" ht="14.25" thickBot="1" x14ac:dyDescent="0.2">
      <c r="A202" s="23"/>
      <c r="B202" s="4"/>
      <c r="C202" s="4"/>
      <c r="D202" s="4"/>
      <c r="E202" s="32" t="str">
        <f>IF(反映シート!$C$130=FALSE,"OK",IF(AND(反映シート!$C$130=TRUE,反映シート!G329&gt;0),"OK","NG"))</f>
        <v>OK</v>
      </c>
      <c r="F202" s="58"/>
      <c r="G202" s="4"/>
      <c r="H202" s="4"/>
      <c r="I202" s="4"/>
      <c r="J202" s="4"/>
      <c r="K202" s="66"/>
      <c r="L202" s="4"/>
      <c r="M202" s="4"/>
      <c r="N202" s="4"/>
      <c r="O202" s="4"/>
      <c r="P202" s="4"/>
      <c r="Q202" s="4"/>
      <c r="R202" s="4"/>
      <c r="S202" s="27">
        <f>IF(E202="OK",1,2)</f>
        <v>1</v>
      </c>
      <c r="T202" s="4"/>
      <c r="U202" s="23"/>
      <c r="V202" s="23"/>
      <c r="W202" s="23"/>
      <c r="X202" s="42"/>
      <c r="Y202" s="23"/>
      <c r="Z202" s="23"/>
      <c r="AA202" s="23"/>
      <c r="AB202" s="23"/>
    </row>
    <row r="203" spans="1:28" ht="5.0999999999999996" customHeight="1" x14ac:dyDescent="0.15">
      <c r="A203" s="23"/>
      <c r="B203" s="4"/>
      <c r="C203" s="4"/>
      <c r="D203" s="4"/>
      <c r="E203" s="4"/>
      <c r="F203" s="4"/>
      <c r="G203" s="4"/>
      <c r="H203" s="4"/>
      <c r="I203" s="4"/>
      <c r="J203" s="4"/>
      <c r="K203" s="4"/>
      <c r="L203" s="4"/>
      <c r="M203" s="4"/>
      <c r="N203" s="4"/>
      <c r="O203" s="4"/>
      <c r="P203" s="4"/>
      <c r="Q203" s="4"/>
      <c r="R203" s="4"/>
      <c r="S203" s="4"/>
      <c r="T203" s="4"/>
      <c r="U203" s="23"/>
      <c r="V203" s="23"/>
      <c r="W203" s="23"/>
      <c r="X203" s="42"/>
      <c r="Y203" s="23"/>
      <c r="Z203" s="23"/>
      <c r="AA203" s="23"/>
      <c r="AB203" s="23"/>
    </row>
    <row r="204" spans="1:28" x14ac:dyDescent="0.15">
      <c r="A204" s="23"/>
      <c r="B204" s="4"/>
      <c r="C204" s="4" t="s">
        <v>54</v>
      </c>
      <c r="D204" s="4"/>
      <c r="E204" s="4"/>
      <c r="F204" s="4"/>
      <c r="G204" s="4"/>
      <c r="H204" s="4"/>
      <c r="I204" s="4"/>
      <c r="J204" s="4"/>
      <c r="K204" s="4"/>
      <c r="L204" s="4"/>
      <c r="M204" s="4"/>
      <c r="N204" s="4"/>
      <c r="O204" s="4"/>
      <c r="P204" s="4"/>
      <c r="Q204" s="4"/>
      <c r="R204" s="4"/>
      <c r="S204" s="4"/>
      <c r="T204" s="4"/>
      <c r="U204" s="23"/>
      <c r="V204" s="23"/>
      <c r="W204" s="23"/>
      <c r="X204" s="42"/>
      <c r="Y204" s="23"/>
      <c r="Z204" s="23"/>
      <c r="AA204" s="23"/>
      <c r="AB204" s="23"/>
    </row>
    <row r="205" spans="1:28" ht="5.0999999999999996" customHeight="1" thickBot="1" x14ac:dyDescent="0.2">
      <c r="A205" s="23"/>
      <c r="B205" s="4"/>
      <c r="C205" s="4"/>
      <c r="D205" s="4"/>
      <c r="E205" s="4"/>
      <c r="F205" s="4"/>
      <c r="G205" s="4"/>
      <c r="H205" s="4"/>
      <c r="I205" s="4"/>
      <c r="J205" s="4"/>
      <c r="K205" s="4"/>
      <c r="L205" s="4"/>
      <c r="M205" s="4"/>
      <c r="N205" s="4"/>
      <c r="O205" s="4"/>
      <c r="P205" s="4"/>
      <c r="Q205" s="4"/>
      <c r="R205" s="4"/>
      <c r="S205" s="4"/>
      <c r="T205" s="4"/>
      <c r="U205" s="23"/>
      <c r="V205" s="23"/>
      <c r="W205" s="23"/>
      <c r="X205" s="42"/>
      <c r="Y205" s="23"/>
      <c r="Z205" s="23"/>
      <c r="AA205" s="23"/>
      <c r="AB205" s="23"/>
    </row>
    <row r="206" spans="1:28" ht="14.25" thickBot="1" x14ac:dyDescent="0.2">
      <c r="A206" s="23"/>
      <c r="B206" s="4"/>
      <c r="C206" s="4"/>
      <c r="D206" s="4"/>
      <c r="E206" s="32" t="str">
        <f>IF(反映シート!$C$132=FALSE,"OK",IF(AND(反映シート!$C$132=TRUE,反映シート!G339&gt;0),"OK","NG"))</f>
        <v>OK</v>
      </c>
      <c r="F206" s="58"/>
      <c r="G206" s="4"/>
      <c r="H206" s="4"/>
      <c r="I206" s="4"/>
      <c r="J206" s="4"/>
      <c r="K206" s="66"/>
      <c r="L206" s="4"/>
      <c r="M206" s="4"/>
      <c r="N206" s="4"/>
      <c r="O206" s="4"/>
      <c r="P206" s="4"/>
      <c r="Q206" s="4"/>
      <c r="R206" s="4"/>
      <c r="S206" s="27">
        <f>IF(E206="OK",1,2)</f>
        <v>1</v>
      </c>
      <c r="T206" s="4"/>
      <c r="U206" s="23"/>
      <c r="V206" s="23"/>
      <c r="W206" s="23"/>
      <c r="X206" s="42"/>
      <c r="Y206" s="23"/>
      <c r="Z206" s="23"/>
      <c r="AA206" s="23"/>
      <c r="AB206" s="23"/>
    </row>
    <row r="207" spans="1:28" ht="5.0999999999999996" customHeight="1" x14ac:dyDescent="0.15">
      <c r="A207" s="23"/>
      <c r="B207" s="4"/>
      <c r="C207" s="4"/>
      <c r="D207" s="4"/>
      <c r="E207" s="4"/>
      <c r="F207" s="4"/>
      <c r="G207" s="4"/>
      <c r="H207" s="4"/>
      <c r="I207" s="4"/>
      <c r="J207" s="4"/>
      <c r="K207" s="4"/>
      <c r="L207" s="4"/>
      <c r="M207" s="4"/>
      <c r="N207" s="4"/>
      <c r="O207" s="4"/>
      <c r="P207" s="4"/>
      <c r="Q207" s="4"/>
      <c r="R207" s="4"/>
      <c r="S207" s="4"/>
      <c r="T207" s="4"/>
      <c r="U207" s="23"/>
      <c r="V207" s="23"/>
      <c r="W207" s="23"/>
      <c r="X207" s="42"/>
      <c r="Y207" s="23"/>
      <c r="Z207" s="23"/>
      <c r="AA207" s="23"/>
      <c r="AB207" s="23"/>
    </row>
    <row r="208" spans="1:28" x14ac:dyDescent="0.1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row>
    <row r="209" spans="1:28" ht="5.0999999999999996" customHeight="1" x14ac:dyDescent="0.15">
      <c r="A209" s="23"/>
      <c r="B209" s="2"/>
      <c r="C209" s="3"/>
      <c r="D209" s="3"/>
      <c r="E209" s="3"/>
      <c r="F209" s="3"/>
      <c r="G209" s="2"/>
      <c r="H209" s="2"/>
      <c r="I209" s="2"/>
      <c r="J209" s="2"/>
      <c r="K209" s="2"/>
      <c r="L209" s="2"/>
      <c r="M209" s="2"/>
      <c r="N209" s="2"/>
      <c r="O209" s="2"/>
      <c r="P209" s="2"/>
      <c r="Q209" s="2"/>
      <c r="R209" s="2"/>
      <c r="S209" s="2"/>
      <c r="T209" s="2"/>
      <c r="U209" s="23"/>
      <c r="V209" s="23"/>
      <c r="W209" s="23"/>
      <c r="X209" s="42"/>
      <c r="Y209" s="23"/>
      <c r="Z209" s="23"/>
      <c r="AA209" s="23"/>
      <c r="AB209" s="23"/>
    </row>
    <row r="210" spans="1:28" x14ac:dyDescent="0.15">
      <c r="A210" s="23"/>
      <c r="B210" s="2" t="s">
        <v>356</v>
      </c>
      <c r="C210" s="2"/>
      <c r="D210" s="2"/>
      <c r="E210" s="2"/>
      <c r="F210" s="2"/>
      <c r="G210" s="2"/>
      <c r="H210" s="2"/>
      <c r="I210" s="2"/>
      <c r="J210" s="2"/>
      <c r="K210" s="2"/>
      <c r="L210" s="2"/>
      <c r="M210" s="2"/>
      <c r="N210" s="2"/>
      <c r="O210" s="2"/>
      <c r="P210" s="2"/>
      <c r="Q210" s="2"/>
      <c r="R210" s="2"/>
      <c r="S210" s="2"/>
      <c r="T210" s="2"/>
      <c r="U210" s="23"/>
      <c r="V210" s="23"/>
      <c r="W210" s="23"/>
      <c r="X210" s="42"/>
      <c r="Y210" s="23"/>
      <c r="Z210" s="23"/>
      <c r="AA210" s="23"/>
      <c r="AB210" s="23"/>
    </row>
    <row r="211" spans="1:28" ht="5.0999999999999996" customHeight="1" thickBot="1" x14ac:dyDescent="0.2">
      <c r="A211" s="23"/>
      <c r="B211" s="2"/>
      <c r="C211" s="2"/>
      <c r="D211" s="2"/>
      <c r="E211" s="2"/>
      <c r="F211" s="2"/>
      <c r="G211" s="2"/>
      <c r="H211" s="2"/>
      <c r="I211" s="2"/>
      <c r="J211" s="2"/>
      <c r="K211" s="2"/>
      <c r="L211" s="2"/>
      <c r="M211" s="2"/>
      <c r="N211" s="2"/>
      <c r="O211" s="2"/>
      <c r="P211" s="2"/>
      <c r="Q211" s="2"/>
      <c r="R211" s="2"/>
      <c r="S211" s="2"/>
      <c r="T211" s="2"/>
      <c r="U211" s="23"/>
      <c r="V211" s="23"/>
      <c r="W211" s="23"/>
      <c r="X211" s="42"/>
      <c r="Y211" s="23"/>
      <c r="Z211" s="23"/>
      <c r="AA211" s="23"/>
      <c r="AB211" s="23"/>
    </row>
    <row r="212" spans="1:28" ht="14.25" thickBot="1" x14ac:dyDescent="0.2">
      <c r="A212" s="23"/>
      <c r="B212" s="2"/>
      <c r="C212" s="63"/>
      <c r="D212" s="2"/>
      <c r="E212" s="32" t="str">
        <f>IF(入力シート!C348&lt;&gt;"","OK","NG")</f>
        <v>NG</v>
      </c>
      <c r="F212" s="2"/>
      <c r="G212" s="2"/>
      <c r="H212" s="2"/>
      <c r="I212" s="2"/>
      <c r="J212" s="2"/>
      <c r="K212" s="2"/>
      <c r="L212" s="2"/>
      <c r="M212" s="2"/>
      <c r="N212" s="2"/>
      <c r="O212" s="2"/>
      <c r="P212" s="2"/>
      <c r="Q212" s="2"/>
      <c r="R212" s="2"/>
      <c r="S212" s="2"/>
      <c r="T212" s="2"/>
      <c r="U212" s="23"/>
      <c r="V212" s="26"/>
      <c r="W212" s="26"/>
      <c r="X212" s="108" t="str">
        <f>E212</f>
        <v>NG</v>
      </c>
      <c r="Y212" s="23"/>
      <c r="Z212" s="23"/>
      <c r="AA212" s="23"/>
      <c r="AB212" s="23"/>
    </row>
    <row r="213" spans="1:28" ht="5.0999999999999996" customHeight="1" x14ac:dyDescent="0.15">
      <c r="A213" s="23"/>
      <c r="B213" s="2"/>
      <c r="C213" s="2"/>
      <c r="D213" s="2"/>
      <c r="E213" s="2"/>
      <c r="F213" s="2"/>
      <c r="G213" s="2"/>
      <c r="H213" s="2"/>
      <c r="I213" s="2"/>
      <c r="J213" s="2"/>
      <c r="K213" s="2"/>
      <c r="L213" s="2"/>
      <c r="M213" s="2"/>
      <c r="N213" s="2"/>
      <c r="O213" s="2"/>
      <c r="P213" s="2"/>
      <c r="Q213" s="2"/>
      <c r="R213" s="2"/>
      <c r="S213" s="2"/>
      <c r="T213" s="2"/>
      <c r="U213" s="23"/>
      <c r="V213" s="23"/>
      <c r="W213" s="23"/>
      <c r="X213" s="42"/>
      <c r="Y213" s="23"/>
      <c r="Z213" s="23"/>
      <c r="AA213" s="23"/>
      <c r="AB213" s="23"/>
    </row>
    <row r="214" spans="1:28" x14ac:dyDescent="0.15">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row>
    <row r="215" spans="1:28" ht="5.0999999999999996" customHeight="1" x14ac:dyDescent="0.15">
      <c r="A215" s="23"/>
      <c r="B215" s="4"/>
      <c r="C215" s="4"/>
      <c r="D215" s="4"/>
      <c r="E215" s="4"/>
      <c r="F215" s="4"/>
      <c r="G215" s="4"/>
      <c r="H215" s="4"/>
      <c r="I215" s="4"/>
      <c r="J215" s="4"/>
      <c r="K215" s="4"/>
      <c r="L215" s="4"/>
      <c r="M215" s="4"/>
      <c r="N215" s="4"/>
      <c r="O215" s="4"/>
      <c r="P215" s="4"/>
      <c r="Q215" s="4"/>
      <c r="R215" s="4"/>
      <c r="S215" s="4"/>
      <c r="T215" s="4"/>
      <c r="U215" s="23"/>
      <c r="V215" s="23"/>
      <c r="W215" s="23"/>
      <c r="X215" s="42"/>
      <c r="Y215" s="23"/>
      <c r="Z215" s="23"/>
      <c r="AA215" s="23"/>
      <c r="AB215" s="23"/>
    </row>
    <row r="216" spans="1:28" x14ac:dyDescent="0.15">
      <c r="A216" s="23"/>
      <c r="B216" s="4" t="s">
        <v>357</v>
      </c>
      <c r="C216" s="4"/>
      <c r="D216" s="4"/>
      <c r="E216" s="4"/>
      <c r="F216" s="4"/>
      <c r="G216" s="4"/>
      <c r="H216" s="4"/>
      <c r="I216" s="4"/>
      <c r="J216" s="4"/>
      <c r="K216" s="4"/>
      <c r="L216" s="4"/>
      <c r="M216" s="4"/>
      <c r="N216" s="4"/>
      <c r="O216" s="4"/>
      <c r="P216" s="4"/>
      <c r="Q216" s="4"/>
      <c r="R216" s="4"/>
      <c r="S216" s="4"/>
      <c r="T216" s="4"/>
      <c r="U216" s="23"/>
      <c r="V216" s="23"/>
      <c r="W216" s="23"/>
      <c r="X216" s="42"/>
      <c r="Y216" s="23"/>
      <c r="Z216" s="23"/>
      <c r="AA216" s="23"/>
      <c r="AB216" s="23"/>
    </row>
    <row r="217" spans="1:28" ht="5.0999999999999996" customHeight="1" thickBot="1" x14ac:dyDescent="0.2">
      <c r="A217" s="23"/>
      <c r="B217" s="4"/>
      <c r="C217" s="4"/>
      <c r="D217" s="4"/>
      <c r="E217" s="4"/>
      <c r="F217" s="4"/>
      <c r="G217" s="4"/>
      <c r="H217" s="4"/>
      <c r="I217" s="4"/>
      <c r="J217" s="4"/>
      <c r="K217" s="4"/>
      <c r="L217" s="4"/>
      <c r="M217" s="4"/>
      <c r="N217" s="4"/>
      <c r="O217" s="4"/>
      <c r="P217" s="4"/>
      <c r="Q217" s="4"/>
      <c r="R217" s="4"/>
      <c r="S217" s="4"/>
      <c r="T217" s="4"/>
      <c r="U217" s="23"/>
      <c r="V217" s="23"/>
      <c r="W217" s="23"/>
      <c r="X217" s="42"/>
      <c r="Y217" s="23"/>
      <c r="Z217" s="23"/>
      <c r="AA217" s="23"/>
      <c r="AB217" s="23"/>
    </row>
    <row r="218" spans="1:28" ht="14.25" thickBot="1" x14ac:dyDescent="0.2">
      <c r="A218" s="23"/>
      <c r="B218" s="4"/>
      <c r="C218" s="66" t="s">
        <v>64</v>
      </c>
      <c r="D218" s="4"/>
      <c r="E218" s="32" t="str">
        <f>IF(反映シート!G357&lt;&gt;"","WRITED","SPACE")</f>
        <v>SPACE</v>
      </c>
      <c r="F218" s="58"/>
      <c r="G218" s="4"/>
      <c r="H218" s="4"/>
      <c r="I218" s="4"/>
      <c r="J218" s="4"/>
      <c r="K218" s="4"/>
      <c r="L218" s="4"/>
      <c r="M218" s="4"/>
      <c r="N218" s="4"/>
      <c r="O218" s="4"/>
      <c r="P218" s="4"/>
      <c r="Q218" s="34" t="str">
        <f>S218&amp;S220&amp;S222</f>
        <v>555</v>
      </c>
      <c r="R218" s="4"/>
      <c r="S218" s="35">
        <f>IF(E218="SPACE",5,6)</f>
        <v>5</v>
      </c>
      <c r="T218" s="4"/>
      <c r="U218" s="23"/>
      <c r="V218" s="23"/>
      <c r="W218" s="23"/>
      <c r="X218" s="42" t="str">
        <f>IF(COUNTIF(E218:E222,"WRITED")=0,"OK","NG")</f>
        <v>OK</v>
      </c>
      <c r="Y218" s="23"/>
      <c r="Z218" s="23"/>
      <c r="AA218" s="23"/>
      <c r="AB218" s="23"/>
    </row>
    <row r="219" spans="1:28" ht="5.0999999999999996" customHeight="1" thickBot="1" x14ac:dyDescent="0.2">
      <c r="A219" s="23"/>
      <c r="B219" s="4"/>
      <c r="C219" s="4"/>
      <c r="D219" s="4"/>
      <c r="E219" s="4"/>
      <c r="F219" s="4"/>
      <c r="G219" s="4"/>
      <c r="H219" s="4"/>
      <c r="I219" s="4"/>
      <c r="J219" s="4"/>
      <c r="K219" s="4"/>
      <c r="L219" s="4"/>
      <c r="M219" s="4"/>
      <c r="N219" s="4"/>
      <c r="O219" s="4"/>
      <c r="P219" s="4"/>
      <c r="Q219" s="4"/>
      <c r="R219" s="4"/>
      <c r="S219" s="4"/>
      <c r="T219" s="4"/>
      <c r="U219" s="23"/>
      <c r="V219" s="23"/>
      <c r="W219" s="23"/>
      <c r="X219" s="42"/>
      <c r="Y219" s="23"/>
      <c r="Z219" s="23"/>
      <c r="AA219" s="23"/>
      <c r="AB219" s="23"/>
    </row>
    <row r="220" spans="1:28" ht="14.25" thickBot="1" x14ac:dyDescent="0.2">
      <c r="A220" s="23"/>
      <c r="B220" s="4"/>
      <c r="C220" s="58" t="s">
        <v>66</v>
      </c>
      <c r="D220" s="4"/>
      <c r="E220" s="32" t="str">
        <f>IF(反映シート!G361&lt;&gt;"","WRITED","SPACE")</f>
        <v>SPACE</v>
      </c>
      <c r="F220" s="58"/>
      <c r="G220" s="4"/>
      <c r="H220" s="4"/>
      <c r="I220" s="4"/>
      <c r="J220" s="4"/>
      <c r="K220" s="4"/>
      <c r="L220" s="4"/>
      <c r="M220" s="4"/>
      <c r="N220" s="4"/>
      <c r="O220" s="4"/>
      <c r="P220" s="4"/>
      <c r="Q220" s="4"/>
      <c r="R220" s="4"/>
      <c r="S220" s="35">
        <f>IF(E220="SPACE",5,6)</f>
        <v>5</v>
      </c>
      <c r="T220" s="4"/>
      <c r="U220" s="23"/>
      <c r="V220" s="23"/>
      <c r="W220" s="23"/>
      <c r="X220" s="42"/>
      <c r="Y220" s="23"/>
      <c r="Z220" s="23"/>
      <c r="AA220" s="23"/>
      <c r="AB220" s="23"/>
    </row>
    <row r="221" spans="1:28" ht="5.0999999999999996" customHeight="1" thickBot="1" x14ac:dyDescent="0.2">
      <c r="A221" s="23"/>
      <c r="B221" s="4"/>
      <c r="C221" s="4"/>
      <c r="D221" s="4"/>
      <c r="E221" s="4"/>
      <c r="F221" s="4"/>
      <c r="G221" s="4"/>
      <c r="H221" s="4"/>
      <c r="I221" s="4"/>
      <c r="J221" s="4"/>
      <c r="K221" s="4"/>
      <c r="L221" s="4"/>
      <c r="M221" s="4"/>
      <c r="N221" s="4"/>
      <c r="O221" s="4"/>
      <c r="P221" s="4"/>
      <c r="Q221" s="4"/>
      <c r="R221" s="4"/>
      <c r="S221" s="4"/>
      <c r="T221" s="4"/>
      <c r="U221" s="23"/>
      <c r="V221" s="23"/>
      <c r="W221" s="23"/>
      <c r="X221" s="42"/>
      <c r="Y221" s="23"/>
      <c r="Z221" s="23"/>
      <c r="AA221" s="23"/>
      <c r="AB221" s="23"/>
    </row>
    <row r="222" spans="1:28" ht="14.25" thickBot="1" x14ac:dyDescent="0.2">
      <c r="A222" s="23"/>
      <c r="B222" s="4"/>
      <c r="C222" s="58" t="s">
        <v>87</v>
      </c>
      <c r="D222" s="4"/>
      <c r="E222" s="32" t="str">
        <f>IF(反映シート!G363&lt;&gt;"","WRITED","SPACE")</f>
        <v>SPACE</v>
      </c>
      <c r="F222" s="58"/>
      <c r="G222" s="4"/>
      <c r="H222" s="4"/>
      <c r="I222" s="4"/>
      <c r="J222" s="4"/>
      <c r="K222" s="4"/>
      <c r="L222" s="4"/>
      <c r="M222" s="4"/>
      <c r="N222" s="4"/>
      <c r="O222" s="4"/>
      <c r="P222" s="4"/>
      <c r="Q222" s="4"/>
      <c r="R222" s="4"/>
      <c r="S222" s="35">
        <f>IF(E222="SPACE",5,6)</f>
        <v>5</v>
      </c>
      <c r="T222" s="4"/>
      <c r="U222" s="23"/>
      <c r="V222" s="23"/>
      <c r="W222" s="23"/>
      <c r="X222" s="42"/>
      <c r="Y222" s="23"/>
      <c r="Z222" s="23"/>
      <c r="AA222" s="23"/>
      <c r="AB222" s="23"/>
    </row>
    <row r="223" spans="1:28" ht="5.0999999999999996" customHeight="1" x14ac:dyDescent="0.15">
      <c r="A223" s="23"/>
      <c r="B223" s="4"/>
      <c r="C223" s="4"/>
      <c r="D223" s="4"/>
      <c r="E223" s="4"/>
      <c r="F223" s="4"/>
      <c r="G223" s="4"/>
      <c r="H223" s="4"/>
      <c r="I223" s="4"/>
      <c r="J223" s="4"/>
      <c r="K223" s="4"/>
      <c r="L223" s="4"/>
      <c r="M223" s="4"/>
      <c r="N223" s="4"/>
      <c r="O223" s="4"/>
      <c r="P223" s="4"/>
      <c r="Q223" s="4"/>
      <c r="R223" s="4"/>
      <c r="S223" s="4"/>
      <c r="T223" s="4"/>
      <c r="U223" s="23"/>
      <c r="V223" s="23"/>
      <c r="W223" s="23"/>
      <c r="X223" s="42"/>
      <c r="Y223" s="23"/>
      <c r="Z223" s="23"/>
      <c r="AA223" s="23"/>
      <c r="AB223" s="23"/>
    </row>
    <row r="224" spans="1:28" x14ac:dyDescent="0.15">
      <c r="A224" s="23"/>
      <c r="B224" s="4"/>
      <c r="C224" s="4" t="s">
        <v>68</v>
      </c>
      <c r="D224" s="4"/>
      <c r="E224" s="4"/>
      <c r="F224" s="4"/>
      <c r="G224" s="4"/>
      <c r="H224" s="4"/>
      <c r="I224" s="4"/>
      <c r="J224" s="4"/>
      <c r="K224" s="4"/>
      <c r="L224" s="4"/>
      <c r="M224" s="4"/>
      <c r="N224" s="4"/>
      <c r="O224" s="4"/>
      <c r="P224" s="4"/>
      <c r="Q224" s="4"/>
      <c r="R224" s="4"/>
      <c r="S224" s="4"/>
      <c r="T224" s="4"/>
      <c r="U224" s="23"/>
      <c r="V224" s="23"/>
      <c r="W224" s="23"/>
      <c r="X224" s="42"/>
      <c r="Y224" s="23"/>
      <c r="Z224" s="23"/>
      <c r="AA224" s="23"/>
      <c r="AB224" s="23"/>
    </row>
    <row r="225" spans="1:28" ht="5.0999999999999996" customHeight="1" thickBot="1" x14ac:dyDescent="0.2">
      <c r="A225" s="23"/>
      <c r="B225" s="4"/>
      <c r="C225" s="4"/>
      <c r="D225" s="4"/>
      <c r="E225" s="4"/>
      <c r="F225" s="4"/>
      <c r="G225" s="4"/>
      <c r="H225" s="4"/>
      <c r="I225" s="4"/>
      <c r="J225" s="4"/>
      <c r="K225" s="4"/>
      <c r="L225" s="4"/>
      <c r="M225" s="4"/>
      <c r="N225" s="4"/>
      <c r="O225" s="4"/>
      <c r="P225" s="4"/>
      <c r="Q225" s="4"/>
      <c r="R225" s="4"/>
      <c r="S225" s="4"/>
      <c r="T225" s="4"/>
      <c r="U225" s="23"/>
      <c r="V225" s="23"/>
      <c r="W225" s="23"/>
      <c r="X225" s="42"/>
      <c r="Y225" s="23"/>
      <c r="Z225" s="23"/>
      <c r="AA225" s="23"/>
      <c r="AB225" s="23"/>
    </row>
    <row r="226" spans="1:28" ht="14.25" thickBot="1" x14ac:dyDescent="0.2">
      <c r="A226" s="23"/>
      <c r="B226" s="4"/>
      <c r="C226" s="58" t="s">
        <v>69</v>
      </c>
      <c r="D226" s="4"/>
      <c r="E226" s="32" t="str">
        <f>IF(反映シート!G367&lt;&gt;"","OK","NG")</f>
        <v>NG</v>
      </c>
      <c r="F226" s="58"/>
      <c r="G226" s="4"/>
      <c r="H226" s="4"/>
      <c r="I226" s="4"/>
      <c r="J226" s="4"/>
      <c r="K226" s="4"/>
      <c r="L226" s="4"/>
      <c r="M226" s="4"/>
      <c r="N226" s="4"/>
      <c r="O226" s="4"/>
      <c r="P226" s="4"/>
      <c r="Q226" s="34" t="str">
        <f>S226&amp;S228</f>
        <v>22</v>
      </c>
      <c r="R226" s="4"/>
      <c r="S226" s="27">
        <f>IF(E226="OK",1,2)</f>
        <v>2</v>
      </c>
      <c r="T226" s="4"/>
      <c r="U226" s="23"/>
      <c r="V226" s="23"/>
      <c r="W226" s="23"/>
      <c r="X226" s="42"/>
      <c r="Y226" s="23"/>
      <c r="Z226" s="23"/>
      <c r="AA226" s="23"/>
      <c r="AB226" s="23"/>
    </row>
    <row r="227" spans="1:28" ht="5.0999999999999996" customHeight="1" thickBot="1" x14ac:dyDescent="0.2">
      <c r="A227" s="23"/>
      <c r="B227" s="4"/>
      <c r="C227" s="4"/>
      <c r="D227" s="4"/>
      <c r="E227" s="4"/>
      <c r="F227" s="4"/>
      <c r="G227" s="4"/>
      <c r="H227" s="4"/>
      <c r="I227" s="4"/>
      <c r="J227" s="4"/>
      <c r="K227" s="4"/>
      <c r="L227" s="4"/>
      <c r="M227" s="4"/>
      <c r="N227" s="4"/>
      <c r="O227" s="4"/>
      <c r="P227" s="4"/>
      <c r="Q227" s="4"/>
      <c r="R227" s="4"/>
      <c r="S227" s="4"/>
      <c r="T227" s="4"/>
      <c r="U227" s="23"/>
      <c r="V227" s="23"/>
      <c r="W227" s="23"/>
      <c r="X227" s="42"/>
      <c r="Y227" s="23"/>
      <c r="Z227" s="23"/>
      <c r="AA227" s="23"/>
      <c r="AB227" s="23"/>
    </row>
    <row r="228" spans="1:28" ht="14.25" thickBot="1" x14ac:dyDescent="0.2">
      <c r="A228" s="23"/>
      <c r="B228" s="4"/>
      <c r="C228" s="58" t="s">
        <v>70</v>
      </c>
      <c r="D228" s="4"/>
      <c r="E228" s="32" t="str">
        <f>IF(反映シート!G369&lt;&gt;"","OK","NG")</f>
        <v>NG</v>
      </c>
      <c r="F228" s="58"/>
      <c r="G228" s="4"/>
      <c r="H228" s="4"/>
      <c r="I228" s="4"/>
      <c r="J228" s="4"/>
      <c r="K228" s="4"/>
      <c r="L228" s="4"/>
      <c r="M228" s="4"/>
      <c r="N228" s="4"/>
      <c r="O228" s="4"/>
      <c r="P228" s="4"/>
      <c r="Q228" s="4"/>
      <c r="R228" s="4"/>
      <c r="S228" s="27">
        <f>IF(E228="OK",1,2)</f>
        <v>2</v>
      </c>
      <c r="T228" s="4"/>
      <c r="U228" s="23"/>
      <c r="V228" s="23"/>
      <c r="W228" s="23"/>
      <c r="X228" s="42"/>
      <c r="Y228" s="23"/>
      <c r="Z228" s="23"/>
      <c r="AA228" s="23"/>
      <c r="AB228" s="23"/>
    </row>
    <row r="229" spans="1:28" ht="5.0999999999999996" customHeight="1" x14ac:dyDescent="0.15">
      <c r="A229" s="23"/>
      <c r="B229" s="4"/>
      <c r="C229" s="4"/>
      <c r="D229" s="4"/>
      <c r="E229" s="4"/>
      <c r="F229" s="4"/>
      <c r="G229" s="4"/>
      <c r="H229" s="4"/>
      <c r="I229" s="4"/>
      <c r="J229" s="4"/>
      <c r="K229" s="4"/>
      <c r="L229" s="4"/>
      <c r="M229" s="4"/>
      <c r="N229" s="4"/>
      <c r="O229" s="4"/>
      <c r="P229" s="4"/>
      <c r="Q229" s="4"/>
      <c r="R229" s="4"/>
      <c r="S229" s="4"/>
      <c r="T229" s="4"/>
      <c r="U229" s="23"/>
      <c r="V229" s="23"/>
      <c r="W229" s="23"/>
      <c r="X229" s="42"/>
      <c r="Y229" s="23"/>
      <c r="Z229" s="23"/>
      <c r="AA229" s="23"/>
      <c r="AB229" s="23"/>
    </row>
    <row r="230" spans="1:28" x14ac:dyDescent="0.15">
      <c r="A230" s="23"/>
      <c r="B230" s="4"/>
      <c r="C230" s="4" t="s">
        <v>71</v>
      </c>
      <c r="D230" s="4"/>
      <c r="E230" s="4"/>
      <c r="F230" s="4"/>
      <c r="G230" s="4"/>
      <c r="H230" s="4"/>
      <c r="I230" s="4"/>
      <c r="J230" s="4"/>
      <c r="K230" s="4"/>
      <c r="L230" s="4"/>
      <c r="M230" s="4"/>
      <c r="N230" s="4"/>
      <c r="O230" s="4"/>
      <c r="P230" s="4"/>
      <c r="Q230" s="4"/>
      <c r="R230" s="4"/>
      <c r="S230" s="4"/>
      <c r="T230" s="4"/>
      <c r="U230" s="23"/>
      <c r="V230" s="23"/>
      <c r="W230" s="23"/>
      <c r="X230" s="42"/>
      <c r="Y230" s="23"/>
      <c r="Z230" s="23"/>
      <c r="AA230" s="23"/>
      <c r="AB230" s="23"/>
    </row>
    <row r="231" spans="1:28" ht="5.0999999999999996" customHeight="1" thickBot="1" x14ac:dyDescent="0.2">
      <c r="A231" s="23"/>
      <c r="B231" s="4"/>
      <c r="C231" s="4"/>
      <c r="D231" s="4"/>
      <c r="E231" s="4"/>
      <c r="F231" s="4"/>
      <c r="G231" s="4"/>
      <c r="H231" s="4"/>
      <c r="I231" s="4"/>
      <c r="J231" s="4"/>
      <c r="K231" s="4"/>
      <c r="L231" s="4"/>
      <c r="M231" s="4"/>
      <c r="N231" s="4"/>
      <c r="O231" s="4"/>
      <c r="P231" s="4"/>
      <c r="Q231" s="4"/>
      <c r="R231" s="4"/>
      <c r="S231" s="4"/>
      <c r="T231" s="4"/>
      <c r="U231" s="23"/>
      <c r="V231" s="23"/>
      <c r="W231" s="23"/>
      <c r="X231" s="42"/>
      <c r="Y231" s="23"/>
      <c r="Z231" s="23"/>
      <c r="AA231" s="23"/>
      <c r="AB231" s="23"/>
    </row>
    <row r="232" spans="1:28" ht="14.25" thickBot="1" x14ac:dyDescent="0.2">
      <c r="A232" s="23"/>
      <c r="B232" s="4"/>
      <c r="C232" s="58" t="s">
        <v>72</v>
      </c>
      <c r="D232" s="4"/>
      <c r="E232" s="32" t="str">
        <f>IF(反映シート!G373&lt;&gt;"","OK","NG")</f>
        <v>NG</v>
      </c>
      <c r="F232" s="58"/>
      <c r="G232" s="4"/>
      <c r="H232" s="4"/>
      <c r="I232" s="4"/>
      <c r="J232" s="4"/>
      <c r="K232" s="4"/>
      <c r="L232" s="4"/>
      <c r="M232" s="4"/>
      <c r="N232" s="4"/>
      <c r="O232" s="4"/>
      <c r="P232" s="4"/>
      <c r="Q232" s="34" t="str">
        <f>S232&amp;S234&amp;S236</f>
        <v>252</v>
      </c>
      <c r="R232" s="4"/>
      <c r="S232" s="27">
        <f>IF(E232="OK",1,2)</f>
        <v>2</v>
      </c>
      <c r="T232" s="4"/>
      <c r="U232" s="23"/>
      <c r="V232" s="23"/>
      <c r="W232" s="23"/>
      <c r="X232" s="42"/>
      <c r="Y232" s="23"/>
      <c r="Z232" s="23"/>
      <c r="AA232" s="23"/>
      <c r="AB232" s="23"/>
    </row>
    <row r="233" spans="1:28" ht="5.0999999999999996" customHeight="1" thickBot="1" x14ac:dyDescent="0.2">
      <c r="A233" s="23"/>
      <c r="B233" s="4"/>
      <c r="C233" s="4"/>
      <c r="D233" s="4"/>
      <c r="E233" s="4"/>
      <c r="F233" s="4"/>
      <c r="G233" s="4"/>
      <c r="H233" s="4"/>
      <c r="I233" s="4"/>
      <c r="J233" s="4"/>
      <c r="K233" s="4"/>
      <c r="L233" s="4"/>
      <c r="M233" s="4"/>
      <c r="N233" s="4"/>
      <c r="O233" s="4"/>
      <c r="P233" s="4"/>
      <c r="Q233" s="4"/>
      <c r="R233" s="4"/>
      <c r="S233" s="4"/>
      <c r="T233" s="4"/>
      <c r="U233" s="23"/>
      <c r="V233" s="23"/>
      <c r="W233" s="23"/>
      <c r="X233" s="42"/>
      <c r="Y233" s="23"/>
      <c r="Z233" s="23"/>
      <c r="AA233" s="23"/>
      <c r="AB233" s="23"/>
    </row>
    <row r="234" spans="1:28" ht="14.25" thickBot="1" x14ac:dyDescent="0.2">
      <c r="A234" s="23"/>
      <c r="B234" s="4"/>
      <c r="C234" s="58" t="s">
        <v>73</v>
      </c>
      <c r="D234" s="4"/>
      <c r="E234" s="32" t="str">
        <f>IF(反映シート!G375&lt;&gt;"","WRITED","SPACE")</f>
        <v>SPACE</v>
      </c>
      <c r="F234" s="58"/>
      <c r="G234" s="4"/>
      <c r="H234" s="4"/>
      <c r="I234" s="4"/>
      <c r="J234" s="4"/>
      <c r="K234" s="4"/>
      <c r="L234" s="4"/>
      <c r="M234" s="4"/>
      <c r="N234" s="4"/>
      <c r="O234" s="4"/>
      <c r="P234" s="4"/>
      <c r="Q234" s="4"/>
      <c r="R234" s="4"/>
      <c r="S234" s="35">
        <f>IF(E234="SPACE",5,6)</f>
        <v>5</v>
      </c>
      <c r="T234" s="4"/>
      <c r="U234" s="23"/>
      <c r="V234" s="23"/>
      <c r="W234" s="23"/>
      <c r="X234" s="42"/>
      <c r="Y234" s="23"/>
      <c r="Z234" s="23"/>
      <c r="AA234" s="23"/>
      <c r="AB234" s="23"/>
    </row>
    <row r="235" spans="1:28" ht="5.0999999999999996" customHeight="1" thickBot="1" x14ac:dyDescent="0.2">
      <c r="A235" s="23"/>
      <c r="B235" s="4"/>
      <c r="C235" s="4"/>
      <c r="D235" s="4"/>
      <c r="E235" s="4"/>
      <c r="F235" s="4"/>
      <c r="G235" s="4"/>
      <c r="H235" s="4"/>
      <c r="I235" s="4"/>
      <c r="J235" s="4"/>
      <c r="K235" s="4"/>
      <c r="L235" s="4"/>
      <c r="M235" s="4"/>
      <c r="N235" s="4"/>
      <c r="O235" s="4"/>
      <c r="P235" s="4"/>
      <c r="Q235" s="4"/>
      <c r="R235" s="4"/>
      <c r="S235" s="4"/>
      <c r="T235" s="4"/>
      <c r="U235" s="23"/>
      <c r="V235" s="23"/>
      <c r="W235" s="23"/>
      <c r="X235" s="42"/>
      <c r="Y235" s="23"/>
      <c r="Z235" s="23"/>
      <c r="AA235" s="23"/>
      <c r="AB235" s="23"/>
    </row>
    <row r="236" spans="1:28" ht="14.25" thickBot="1" x14ac:dyDescent="0.2">
      <c r="A236" s="23"/>
      <c r="B236" s="4"/>
      <c r="C236" s="58" t="s">
        <v>74</v>
      </c>
      <c r="D236" s="4"/>
      <c r="E236" s="32" t="str">
        <f>IF(反映シート!G377&lt;&gt;"","OK","NG")</f>
        <v>NG</v>
      </c>
      <c r="F236" s="58"/>
      <c r="G236" s="4"/>
      <c r="H236" s="4"/>
      <c r="I236" s="4"/>
      <c r="J236" s="4"/>
      <c r="K236" s="4"/>
      <c r="L236" s="4"/>
      <c r="M236" s="4"/>
      <c r="N236" s="4"/>
      <c r="O236" s="4"/>
      <c r="P236" s="4"/>
      <c r="Q236" s="4"/>
      <c r="R236" s="4"/>
      <c r="S236" s="27">
        <f>IF(E236="OK",1,2)</f>
        <v>2</v>
      </c>
      <c r="T236" s="4"/>
      <c r="U236" s="23"/>
      <c r="V236" s="23"/>
      <c r="W236" s="23"/>
      <c r="X236" s="42"/>
      <c r="Y236" s="23"/>
      <c r="Z236" s="23"/>
      <c r="AA236" s="23"/>
      <c r="AB236" s="23"/>
    </row>
    <row r="237" spans="1:28" ht="5.0999999999999996" customHeight="1" thickBot="1" x14ac:dyDescent="0.2">
      <c r="A237" s="23"/>
      <c r="B237" s="4"/>
      <c r="C237" s="4"/>
      <c r="D237" s="4"/>
      <c r="E237" s="4"/>
      <c r="F237" s="4"/>
      <c r="G237" s="4"/>
      <c r="H237" s="4"/>
      <c r="I237" s="4"/>
      <c r="J237" s="4"/>
      <c r="K237" s="4"/>
      <c r="L237" s="4"/>
      <c r="M237" s="4"/>
      <c r="N237" s="4"/>
      <c r="O237" s="4"/>
      <c r="P237" s="4"/>
      <c r="Q237" s="4"/>
      <c r="R237" s="4"/>
      <c r="S237" s="4"/>
      <c r="T237" s="4"/>
      <c r="U237" s="23"/>
      <c r="V237" s="23"/>
      <c r="W237" s="23"/>
      <c r="X237" s="42"/>
      <c r="Y237" s="23"/>
      <c r="Z237" s="23"/>
      <c r="AA237" s="23"/>
      <c r="AB237" s="23"/>
    </row>
    <row r="238" spans="1:28" ht="14.25" thickBot="1" x14ac:dyDescent="0.2">
      <c r="A238" s="23"/>
      <c r="B238" s="4"/>
      <c r="C238" s="58" t="s">
        <v>367</v>
      </c>
      <c r="D238" s="4"/>
      <c r="E238" s="32" t="str">
        <f>IF(反映シート!G379&lt;&gt;"","WRITED","SPACE")</f>
        <v>SPACE</v>
      </c>
      <c r="F238" s="58"/>
      <c r="G238" s="4"/>
      <c r="H238" s="4"/>
      <c r="I238" s="4"/>
      <c r="J238" s="4"/>
      <c r="K238" s="4"/>
      <c r="L238" s="4"/>
      <c r="M238" s="4"/>
      <c r="N238" s="4"/>
      <c r="O238" s="4"/>
      <c r="P238" s="4"/>
      <c r="Q238" s="4"/>
      <c r="R238" s="4"/>
      <c r="S238" s="35">
        <f>IF(E238="SPACE",5,6)</f>
        <v>5</v>
      </c>
      <c r="T238" s="4"/>
      <c r="U238" s="23"/>
      <c r="V238" s="23"/>
      <c r="W238" s="23"/>
      <c r="X238" s="42"/>
      <c r="Y238" s="23"/>
      <c r="Z238" s="23"/>
      <c r="AA238" s="23"/>
      <c r="AB238" s="23"/>
    </row>
    <row r="239" spans="1:28" ht="5.0999999999999996" customHeight="1" x14ac:dyDescent="0.15">
      <c r="A239" s="23"/>
      <c r="B239" s="4"/>
      <c r="C239" s="4"/>
      <c r="D239" s="4"/>
      <c r="E239" s="4"/>
      <c r="F239" s="4"/>
      <c r="G239" s="4"/>
      <c r="H239" s="4"/>
      <c r="I239" s="4"/>
      <c r="J239" s="4"/>
      <c r="K239" s="4"/>
      <c r="L239" s="4"/>
      <c r="M239" s="4"/>
      <c r="N239" s="4"/>
      <c r="O239" s="4"/>
      <c r="P239" s="4"/>
      <c r="Q239" s="4"/>
      <c r="R239" s="4"/>
      <c r="S239" s="4"/>
      <c r="T239" s="4"/>
      <c r="U239" s="23"/>
      <c r="V239" s="23"/>
      <c r="W239" s="23"/>
      <c r="X239" s="42"/>
      <c r="Y239" s="23"/>
      <c r="Z239" s="23"/>
      <c r="AA239" s="23"/>
      <c r="AB239" s="23"/>
    </row>
    <row r="240" spans="1:28" x14ac:dyDescent="0.15">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42"/>
      <c r="Y240" s="23"/>
      <c r="Z240" s="23"/>
      <c r="AA240" s="23"/>
      <c r="AB240" s="23"/>
    </row>
    <row r="241" spans="1:28" ht="5.0999999999999996" customHeight="1" x14ac:dyDescent="0.15">
      <c r="A241" s="23"/>
      <c r="B241" s="2"/>
      <c r="C241" s="2"/>
      <c r="D241" s="2"/>
      <c r="E241" s="2"/>
      <c r="F241" s="2"/>
      <c r="G241" s="2"/>
      <c r="H241" s="2"/>
      <c r="I241" s="2"/>
      <c r="J241" s="2"/>
      <c r="K241" s="2"/>
      <c r="L241" s="2"/>
      <c r="M241" s="2"/>
      <c r="N241" s="2"/>
      <c r="O241" s="2"/>
      <c r="P241" s="2"/>
      <c r="Q241" s="2"/>
      <c r="R241" s="2"/>
      <c r="S241" s="2"/>
      <c r="T241" s="2"/>
      <c r="U241" s="23"/>
      <c r="V241" s="23"/>
      <c r="W241" s="23"/>
      <c r="X241" s="42"/>
      <c r="Y241" s="23"/>
      <c r="Z241" s="23"/>
      <c r="AA241" s="23"/>
      <c r="AB241" s="23"/>
    </row>
    <row r="242" spans="1:28" x14ac:dyDescent="0.15">
      <c r="A242" s="23"/>
      <c r="B242" s="2" t="s">
        <v>361</v>
      </c>
      <c r="C242" s="2"/>
      <c r="D242" s="2"/>
      <c r="E242" s="2"/>
      <c r="F242" s="2"/>
      <c r="G242" s="2"/>
      <c r="H242" s="2"/>
      <c r="I242" s="2"/>
      <c r="J242" s="2"/>
      <c r="K242" s="2"/>
      <c r="L242" s="2"/>
      <c r="M242" s="2"/>
      <c r="N242" s="2"/>
      <c r="O242" s="2"/>
      <c r="P242" s="2"/>
      <c r="Q242" s="2"/>
      <c r="R242" s="2"/>
      <c r="S242" s="2"/>
      <c r="T242" s="2"/>
      <c r="U242" s="23"/>
      <c r="V242" s="23"/>
      <c r="W242" s="23"/>
      <c r="X242" s="42"/>
      <c r="Y242" s="23"/>
      <c r="Z242" s="23"/>
      <c r="AA242" s="23"/>
      <c r="AB242" s="23"/>
    </row>
    <row r="243" spans="1:28" x14ac:dyDescent="0.15">
      <c r="A243" s="23"/>
      <c r="B243" s="2"/>
      <c r="C243" s="2" t="s">
        <v>71</v>
      </c>
      <c r="D243" s="2"/>
      <c r="E243" s="2"/>
      <c r="F243" s="2"/>
      <c r="G243" s="2"/>
      <c r="H243" s="2"/>
      <c r="I243" s="2"/>
      <c r="J243" s="2"/>
      <c r="K243" s="2"/>
      <c r="L243" s="2"/>
      <c r="M243" s="2"/>
      <c r="N243" s="2"/>
      <c r="O243" s="2"/>
      <c r="P243" s="2"/>
      <c r="Q243" s="2"/>
      <c r="R243" s="2"/>
      <c r="S243" s="2"/>
      <c r="T243" s="2"/>
      <c r="U243" s="23"/>
      <c r="V243" s="23"/>
      <c r="W243" s="23"/>
      <c r="X243" s="42"/>
      <c r="Y243" s="23"/>
      <c r="Z243" s="23"/>
      <c r="AA243" s="23"/>
      <c r="AB243" s="23"/>
    </row>
    <row r="244" spans="1:28" ht="5.0999999999999996" customHeight="1" thickBot="1" x14ac:dyDescent="0.2">
      <c r="A244" s="23"/>
      <c r="B244" s="2"/>
      <c r="C244" s="2"/>
      <c r="D244" s="2"/>
      <c r="E244" s="2"/>
      <c r="F244" s="2"/>
      <c r="G244" s="2"/>
      <c r="H244" s="2"/>
      <c r="I244" s="2"/>
      <c r="J244" s="2"/>
      <c r="K244" s="2"/>
      <c r="L244" s="2"/>
      <c r="M244" s="2"/>
      <c r="N244" s="2"/>
      <c r="O244" s="2"/>
      <c r="P244" s="2"/>
      <c r="Q244" s="2"/>
      <c r="R244" s="2"/>
      <c r="S244" s="2"/>
      <c r="T244" s="2"/>
      <c r="U244" s="23"/>
      <c r="V244" s="23"/>
      <c r="W244" s="23"/>
      <c r="X244" s="42"/>
      <c r="Y244" s="23"/>
      <c r="Z244" s="23"/>
      <c r="AA244" s="23"/>
      <c r="AB244" s="23"/>
    </row>
    <row r="245" spans="1:28" ht="14.25" thickBot="1" x14ac:dyDescent="0.2">
      <c r="A245" s="23"/>
      <c r="B245" s="2"/>
      <c r="C245" s="63" t="s">
        <v>72</v>
      </c>
      <c r="D245" s="2"/>
      <c r="E245" s="32" t="str">
        <f>IF(反映シート!G387&lt;&gt;"","OK","NG")</f>
        <v>NG</v>
      </c>
      <c r="F245" s="63"/>
      <c r="G245" s="2"/>
      <c r="H245" s="2"/>
      <c r="I245" s="2"/>
      <c r="J245" s="2"/>
      <c r="K245" s="2"/>
      <c r="L245" s="2"/>
      <c r="M245" s="2"/>
      <c r="N245" s="2"/>
      <c r="O245" s="2"/>
      <c r="P245" s="2"/>
      <c r="Q245" s="34" t="str">
        <f>S245&amp;S247&amp;S249</f>
        <v>252</v>
      </c>
      <c r="R245" s="2"/>
      <c r="S245" s="27">
        <f>IF(E245="OK",1,2)</f>
        <v>2</v>
      </c>
      <c r="T245" s="2"/>
      <c r="U245" s="23"/>
      <c r="V245" s="23"/>
      <c r="W245" s="23"/>
      <c r="X245" s="42" t="str">
        <f>IF(反映シート!$E$15&lt;&gt;"なし",IF(COUNTIF(E245:E251,"NG")=0,"OK","NG"),"OK")</f>
        <v>OK</v>
      </c>
      <c r="Y245" s="23"/>
      <c r="Z245" s="23"/>
      <c r="AA245" s="23"/>
      <c r="AB245" s="23"/>
    </row>
    <row r="246" spans="1:28" ht="5.0999999999999996" customHeight="1" thickBot="1" x14ac:dyDescent="0.2">
      <c r="A246" s="23"/>
      <c r="B246" s="2"/>
      <c r="C246" s="2"/>
      <c r="D246" s="2"/>
      <c r="E246" s="2"/>
      <c r="F246" s="2"/>
      <c r="G246" s="2"/>
      <c r="H246" s="2"/>
      <c r="I246" s="2"/>
      <c r="J246" s="2"/>
      <c r="K246" s="2"/>
      <c r="L246" s="2"/>
      <c r="M246" s="2"/>
      <c r="N246" s="2"/>
      <c r="O246" s="2"/>
      <c r="P246" s="2"/>
      <c r="Q246" s="2"/>
      <c r="R246" s="2"/>
      <c r="S246" s="2"/>
      <c r="T246" s="2"/>
      <c r="U246" s="23"/>
      <c r="V246" s="23"/>
      <c r="W246" s="23"/>
      <c r="X246" s="42"/>
      <c r="Y246" s="23"/>
      <c r="Z246" s="23"/>
      <c r="AA246" s="23"/>
      <c r="AB246" s="23"/>
    </row>
    <row r="247" spans="1:28" ht="14.25" thickBot="1" x14ac:dyDescent="0.2">
      <c r="A247" s="23"/>
      <c r="B247" s="2"/>
      <c r="C247" s="63" t="s">
        <v>73</v>
      </c>
      <c r="D247" s="2"/>
      <c r="E247" s="32" t="str">
        <f>IF(反映シート!G389&lt;&gt;"","WRITED","SPACE")</f>
        <v>SPACE</v>
      </c>
      <c r="F247" s="63"/>
      <c r="G247" s="2"/>
      <c r="H247" s="2"/>
      <c r="I247" s="2"/>
      <c r="J247" s="2"/>
      <c r="K247" s="2"/>
      <c r="L247" s="2"/>
      <c r="M247" s="2"/>
      <c r="N247" s="2"/>
      <c r="O247" s="2"/>
      <c r="P247" s="2"/>
      <c r="Q247" s="2"/>
      <c r="R247" s="2"/>
      <c r="S247" s="35">
        <f>IF(E247="SPACE",5,6)</f>
        <v>5</v>
      </c>
      <c r="T247" s="2"/>
      <c r="U247" s="23"/>
      <c r="V247" s="23"/>
      <c r="W247" s="23"/>
      <c r="X247" s="42"/>
      <c r="Y247" s="23"/>
      <c r="Z247" s="23"/>
      <c r="AA247" s="23"/>
      <c r="AB247" s="23"/>
    </row>
    <row r="248" spans="1:28" ht="5.0999999999999996" customHeight="1" thickBot="1" x14ac:dyDescent="0.2">
      <c r="A248" s="23"/>
      <c r="B248" s="2"/>
      <c r="C248" s="2"/>
      <c r="D248" s="2"/>
      <c r="E248" s="2"/>
      <c r="F248" s="2"/>
      <c r="G248" s="2"/>
      <c r="H248" s="2"/>
      <c r="I248" s="2"/>
      <c r="J248" s="2"/>
      <c r="K248" s="2"/>
      <c r="L248" s="2"/>
      <c r="M248" s="2"/>
      <c r="N248" s="2"/>
      <c r="O248" s="2"/>
      <c r="P248" s="2"/>
      <c r="Q248" s="2"/>
      <c r="R248" s="2"/>
      <c r="S248" s="2"/>
      <c r="T248" s="2"/>
      <c r="U248" s="23"/>
      <c r="V248" s="23"/>
      <c r="W248" s="23"/>
      <c r="X248" s="42"/>
      <c r="Y248" s="23"/>
      <c r="Z248" s="23"/>
      <c r="AA248" s="23"/>
      <c r="AB248" s="23"/>
    </row>
    <row r="249" spans="1:28" ht="14.25" thickBot="1" x14ac:dyDescent="0.2">
      <c r="A249" s="23"/>
      <c r="B249" s="2"/>
      <c r="C249" s="63" t="s">
        <v>74</v>
      </c>
      <c r="D249" s="2"/>
      <c r="E249" s="32" t="str">
        <f>IF(反映シート!G391&lt;&gt;"","OK","NG")</f>
        <v>NG</v>
      </c>
      <c r="F249" s="63"/>
      <c r="G249" s="2"/>
      <c r="H249" s="2"/>
      <c r="I249" s="2"/>
      <c r="J249" s="2"/>
      <c r="K249" s="2"/>
      <c r="L249" s="2"/>
      <c r="M249" s="2"/>
      <c r="N249" s="2"/>
      <c r="O249" s="2"/>
      <c r="P249" s="2"/>
      <c r="Q249" s="2"/>
      <c r="R249" s="2"/>
      <c r="S249" s="27">
        <f>IF(E249="OK",1,2)</f>
        <v>2</v>
      </c>
      <c r="T249" s="2"/>
      <c r="U249" s="23"/>
      <c r="V249" s="23"/>
      <c r="W249" s="23"/>
      <c r="X249" s="42"/>
      <c r="Y249" s="23"/>
      <c r="Z249" s="23"/>
      <c r="AA249" s="23"/>
      <c r="AB249" s="23"/>
    </row>
    <row r="250" spans="1:28" ht="5.0999999999999996" customHeight="1" thickBot="1" x14ac:dyDescent="0.2">
      <c r="A250" s="23"/>
      <c r="B250" s="2"/>
      <c r="C250" s="2"/>
      <c r="D250" s="2"/>
      <c r="E250" s="2"/>
      <c r="F250" s="2"/>
      <c r="G250" s="2"/>
      <c r="H250" s="2"/>
      <c r="I250" s="2"/>
      <c r="J250" s="2"/>
      <c r="K250" s="2"/>
      <c r="L250" s="2"/>
      <c r="M250" s="2"/>
      <c r="N250" s="2"/>
      <c r="O250" s="2"/>
      <c r="P250" s="2"/>
      <c r="Q250" s="2"/>
      <c r="R250" s="2"/>
      <c r="S250" s="2"/>
      <c r="T250" s="2"/>
      <c r="U250" s="23"/>
      <c r="V250" s="23"/>
      <c r="W250" s="23"/>
      <c r="X250" s="42"/>
      <c r="Y250" s="23"/>
      <c r="Z250" s="23"/>
      <c r="AA250" s="23"/>
      <c r="AB250" s="23"/>
    </row>
    <row r="251" spans="1:28" ht="14.25" thickBot="1" x14ac:dyDescent="0.2">
      <c r="A251" s="23"/>
      <c r="B251" s="2"/>
      <c r="C251" s="63" t="s">
        <v>281</v>
      </c>
      <c r="D251" s="2"/>
      <c r="E251" s="32" t="str">
        <f>IF(反映シート!G393&lt;&gt;"","WRITED","SPACE")</f>
        <v>SPACE</v>
      </c>
      <c r="F251" s="63"/>
      <c r="G251" s="2"/>
      <c r="H251" s="2"/>
      <c r="I251" s="2"/>
      <c r="J251" s="2"/>
      <c r="K251" s="2"/>
      <c r="L251" s="2"/>
      <c r="M251" s="2"/>
      <c r="N251" s="2"/>
      <c r="O251" s="2"/>
      <c r="P251" s="2"/>
      <c r="Q251" s="2"/>
      <c r="R251" s="2"/>
      <c r="S251" s="35">
        <f>IF(E251="SPACE",5,6)</f>
        <v>5</v>
      </c>
      <c r="T251" s="2"/>
      <c r="U251" s="23"/>
      <c r="V251" s="23"/>
      <c r="W251" s="23"/>
      <c r="X251" s="42"/>
      <c r="Y251" s="23"/>
      <c r="Z251" s="23"/>
      <c r="AA251" s="23"/>
      <c r="AB251" s="23"/>
    </row>
    <row r="252" spans="1:28" ht="5.0999999999999996" customHeight="1" x14ac:dyDescent="0.15">
      <c r="A252" s="23"/>
      <c r="B252" s="2"/>
      <c r="C252" s="2"/>
      <c r="D252" s="2"/>
      <c r="E252" s="2"/>
      <c r="F252" s="2"/>
      <c r="G252" s="2"/>
      <c r="H252" s="2"/>
      <c r="I252" s="2"/>
      <c r="J252" s="2"/>
      <c r="K252" s="2"/>
      <c r="L252" s="2"/>
      <c r="M252" s="2"/>
      <c r="N252" s="2"/>
      <c r="O252" s="2"/>
      <c r="P252" s="2"/>
      <c r="Q252" s="2"/>
      <c r="R252" s="2"/>
      <c r="S252" s="2"/>
      <c r="T252" s="2"/>
      <c r="U252" s="23"/>
      <c r="V252" s="23"/>
      <c r="W252" s="23"/>
      <c r="X252" s="42"/>
      <c r="Y252" s="23"/>
      <c r="Z252" s="23"/>
      <c r="AA252" s="23"/>
      <c r="AB252" s="23"/>
    </row>
    <row r="253" spans="1:28" x14ac:dyDescent="0.15">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row>
    <row r="254" spans="1:28" ht="5.0999999999999996" customHeight="1" x14ac:dyDescent="0.15">
      <c r="A254" s="23"/>
      <c r="B254" s="4"/>
      <c r="C254" s="4"/>
      <c r="D254" s="4"/>
      <c r="E254" s="4"/>
      <c r="F254" s="4"/>
      <c r="G254" s="4"/>
      <c r="H254" s="4"/>
      <c r="I254" s="4"/>
      <c r="J254" s="4"/>
      <c r="K254" s="4"/>
      <c r="L254" s="4"/>
      <c r="M254" s="4"/>
      <c r="N254" s="4"/>
      <c r="O254" s="4"/>
      <c r="P254" s="4"/>
      <c r="Q254" s="4"/>
      <c r="R254" s="4"/>
      <c r="S254" s="4"/>
      <c r="T254" s="4"/>
      <c r="U254" s="23"/>
      <c r="V254" s="23"/>
      <c r="W254" s="23"/>
      <c r="X254" s="42"/>
      <c r="Y254" s="23"/>
      <c r="Z254" s="23"/>
      <c r="AA254" s="23"/>
      <c r="AB254" s="23"/>
    </row>
    <row r="255" spans="1:28" x14ac:dyDescent="0.15">
      <c r="A255" s="23"/>
      <c r="B255" s="28" t="s">
        <v>358</v>
      </c>
      <c r="C255" s="4"/>
      <c r="D255" s="4"/>
      <c r="E255" s="4"/>
      <c r="F255" s="4"/>
      <c r="G255" s="4"/>
      <c r="H255" s="4"/>
      <c r="I255" s="4"/>
      <c r="J255" s="4"/>
      <c r="K255" s="4"/>
      <c r="L255" s="4"/>
      <c r="M255" s="4"/>
      <c r="N255" s="4"/>
      <c r="O255" s="4"/>
      <c r="P255" s="4"/>
      <c r="Q255" s="4"/>
      <c r="R255" s="4"/>
      <c r="S255" s="4"/>
      <c r="T255" s="4"/>
      <c r="U255" s="23"/>
      <c r="V255" s="23"/>
      <c r="W255" s="23"/>
      <c r="X255" s="42"/>
      <c r="Y255" s="23"/>
      <c r="Z255" s="23"/>
      <c r="AA255" s="23"/>
      <c r="AB255" s="23"/>
    </row>
    <row r="256" spans="1:28" ht="5.0999999999999996" customHeight="1" thickBot="1" x14ac:dyDescent="0.2">
      <c r="A256" s="23"/>
      <c r="B256" s="4"/>
      <c r="C256" s="4"/>
      <c r="D256" s="4"/>
      <c r="E256" s="4"/>
      <c r="F256" s="4"/>
      <c r="G256" s="4"/>
      <c r="H256" s="4"/>
      <c r="I256" s="4"/>
      <c r="J256" s="4"/>
      <c r="K256" s="4"/>
      <c r="L256" s="4"/>
      <c r="M256" s="4"/>
      <c r="N256" s="4"/>
      <c r="O256" s="4"/>
      <c r="P256" s="4"/>
      <c r="Q256" s="4"/>
      <c r="R256" s="4"/>
      <c r="S256" s="4"/>
      <c r="T256" s="4"/>
      <c r="U256" s="23"/>
      <c r="V256" s="23"/>
      <c r="W256" s="23"/>
      <c r="X256" s="42"/>
      <c r="Y256" s="23"/>
      <c r="Z256" s="23"/>
      <c r="AA256" s="23"/>
      <c r="AB256" s="23"/>
    </row>
    <row r="257" spans="1:28" ht="14.25" thickBot="1" x14ac:dyDescent="0.2">
      <c r="A257" s="23"/>
      <c r="B257" s="4"/>
      <c r="C257" s="58" t="s">
        <v>86</v>
      </c>
      <c r="D257" s="58"/>
      <c r="E257" s="32" t="str">
        <f>IF(OR(AND(反映シート!E403&gt;=1,反映シート!E403&lt;=15),反映シート!E403="16以上"),"OK","NG")</f>
        <v>NG</v>
      </c>
      <c r="F257" s="58"/>
      <c r="G257" s="4"/>
      <c r="H257" s="4"/>
      <c r="I257" s="4"/>
      <c r="J257" s="4"/>
      <c r="K257" s="4"/>
      <c r="L257" s="4"/>
      <c r="M257" s="4"/>
      <c r="N257" s="4"/>
      <c r="O257" s="4"/>
      <c r="P257" s="4"/>
      <c r="Q257" s="4"/>
      <c r="R257" s="4"/>
      <c r="S257" s="4"/>
      <c r="T257" s="58"/>
      <c r="U257" s="23"/>
      <c r="V257" s="23"/>
      <c r="W257" s="23"/>
      <c r="X257" s="42" t="str">
        <f>IF(COUNTIF(C257:Q289,"NG")=0,"OK","NG")</f>
        <v>NG</v>
      </c>
      <c r="Y257" s="23"/>
      <c r="Z257" s="23"/>
      <c r="AA257" s="23"/>
      <c r="AB257" s="23"/>
    </row>
    <row r="258" spans="1:28" ht="5.0999999999999996" customHeight="1" x14ac:dyDescent="0.15">
      <c r="A258" s="23"/>
      <c r="B258" s="4"/>
      <c r="C258" s="4"/>
      <c r="D258" s="4"/>
      <c r="E258" s="4"/>
      <c r="F258" s="4"/>
      <c r="G258" s="4"/>
      <c r="H258" s="4"/>
      <c r="I258" s="4"/>
      <c r="J258" s="4"/>
      <c r="K258" s="4"/>
      <c r="L258" s="4"/>
      <c r="M258" s="4"/>
      <c r="N258" s="4"/>
      <c r="O258" s="4"/>
      <c r="P258" s="4"/>
      <c r="Q258" s="4"/>
      <c r="R258" s="4"/>
      <c r="S258" s="4"/>
      <c r="T258" s="4"/>
      <c r="U258" s="23"/>
      <c r="V258" s="23"/>
      <c r="W258" s="23"/>
      <c r="X258" s="42"/>
      <c r="Y258" s="23"/>
      <c r="Z258" s="23"/>
      <c r="AA258" s="23"/>
      <c r="AB258" s="23"/>
    </row>
    <row r="259" spans="1:28" x14ac:dyDescent="0.15">
      <c r="A259" s="23"/>
      <c r="B259" s="4"/>
      <c r="C259" s="13" t="s">
        <v>87</v>
      </c>
      <c r="D259" s="4"/>
      <c r="E259" s="13" t="s">
        <v>129</v>
      </c>
      <c r="F259" s="4"/>
      <c r="G259" s="13" t="s">
        <v>130</v>
      </c>
      <c r="H259" s="13"/>
      <c r="I259" s="13" t="s">
        <v>131</v>
      </c>
      <c r="J259" s="4"/>
      <c r="K259" s="13" t="s">
        <v>116</v>
      </c>
      <c r="L259" s="4"/>
      <c r="M259" s="13" t="s">
        <v>117</v>
      </c>
      <c r="N259" s="4"/>
      <c r="O259" s="13" t="s">
        <v>132</v>
      </c>
      <c r="P259" s="13"/>
      <c r="Q259" s="13" t="s">
        <v>91</v>
      </c>
      <c r="R259" s="4"/>
      <c r="S259" s="4"/>
      <c r="T259" s="4"/>
      <c r="U259" s="23"/>
      <c r="V259" s="23"/>
      <c r="W259" s="23"/>
      <c r="X259" s="42"/>
      <c r="Y259" s="23"/>
      <c r="Z259" s="23"/>
      <c r="AA259" s="23"/>
      <c r="AB259" s="23"/>
    </row>
    <row r="260" spans="1:28" ht="5.0999999999999996" customHeight="1" x14ac:dyDescent="0.15">
      <c r="A260" s="23"/>
      <c r="B260" s="4"/>
      <c r="C260" s="4"/>
      <c r="D260" s="4"/>
      <c r="E260" s="4"/>
      <c r="F260" s="4"/>
      <c r="G260" s="4"/>
      <c r="H260" s="13"/>
      <c r="I260" s="4"/>
      <c r="J260" s="4"/>
      <c r="K260" s="4"/>
      <c r="L260" s="4"/>
      <c r="M260" s="4"/>
      <c r="N260" s="4"/>
      <c r="O260" s="4"/>
      <c r="P260" s="4"/>
      <c r="Q260" s="4"/>
      <c r="R260" s="4"/>
      <c r="S260" s="4"/>
      <c r="T260" s="4"/>
      <c r="U260" s="23"/>
      <c r="V260" s="23"/>
      <c r="W260" s="23"/>
      <c r="X260" s="42"/>
      <c r="Y260" s="23"/>
      <c r="Z260" s="23"/>
      <c r="AA260" s="23"/>
      <c r="AB260" s="23"/>
    </row>
    <row r="261" spans="1:28" x14ac:dyDescent="0.15">
      <c r="A261" s="23"/>
      <c r="B261" s="20">
        <v>1</v>
      </c>
      <c r="C261" s="4"/>
      <c r="D261" s="4"/>
      <c r="E261" s="4"/>
      <c r="F261" s="4"/>
      <c r="G261" s="4"/>
      <c r="H261" s="4"/>
      <c r="I261" s="4"/>
      <c r="J261" s="4"/>
      <c r="K261" s="4"/>
      <c r="L261" s="4"/>
      <c r="M261" s="4"/>
      <c r="N261" s="4"/>
      <c r="O261" s="4"/>
      <c r="P261" s="4"/>
      <c r="Q261" s="4"/>
      <c r="R261" s="4"/>
      <c r="S261" s="4"/>
      <c r="T261" s="4"/>
      <c r="U261" s="23"/>
      <c r="V261" s="23"/>
      <c r="W261" s="23"/>
      <c r="X261" s="42"/>
      <c r="Y261" s="23"/>
      <c r="Z261" s="23"/>
      <c r="AA261" s="23"/>
      <c r="AB261" s="23"/>
    </row>
    <row r="262" spans="1:28" ht="5.0999999999999996" customHeight="1" thickBot="1" x14ac:dyDescent="0.2">
      <c r="A262" s="23"/>
      <c r="B262" s="4"/>
      <c r="C262" s="13"/>
      <c r="D262" s="4"/>
      <c r="E262" s="77"/>
      <c r="F262" s="4"/>
      <c r="G262" s="4"/>
      <c r="H262" s="13"/>
      <c r="I262" s="4"/>
      <c r="J262" s="4"/>
      <c r="K262" s="4"/>
      <c r="L262" s="4"/>
      <c r="M262" s="4"/>
      <c r="N262" s="4"/>
      <c r="O262" s="4"/>
      <c r="P262" s="4"/>
      <c r="Q262" s="4"/>
      <c r="R262" s="4"/>
      <c r="S262" s="4"/>
      <c r="T262" s="4"/>
      <c r="U262" s="23"/>
      <c r="V262" s="23"/>
      <c r="W262" s="23"/>
      <c r="X262" s="42"/>
      <c r="Y262" s="23"/>
      <c r="Z262" s="23"/>
      <c r="AA262" s="23"/>
      <c r="AB262" s="23"/>
    </row>
    <row r="263" spans="1:28" ht="14.25" thickBot="1" x14ac:dyDescent="0.2">
      <c r="A263" s="23"/>
      <c r="B263" s="20">
        <v>2</v>
      </c>
      <c r="C263" s="32" t="str">
        <f>IF(反映シート!$E$403="","OK",IF(AND(OR(反映シート!$E$403&gt;=反映シート!$B411,反映シート!$E$403="16以上"),反映シート!C411&lt;&gt;""),"OK",IF(反映シート!$E$403&lt;反映シート!$B411,"OK","NG")))</f>
        <v>OK</v>
      </c>
      <c r="D263" s="4"/>
      <c r="E263" s="32" t="str">
        <f>IF(反映シート!$E$403="","OK",IF(AND(OR(反映シート!$E$403&gt;=反映シート!$B411,反映シート!$E$403="16以上"),反映シート!E411&lt;&gt;""),"OK",IF(反映シート!$E$403&lt;反映シート!$B411,"OK","NG")))</f>
        <v>OK</v>
      </c>
      <c r="F263" s="4"/>
      <c r="G263" s="32" t="str">
        <f>IF(反映シート!$E$403="","OK",IF(AND(OR(反映シート!$E$403&gt;=反映シート!$B411,反映シート!$E$403="16以上"),反映シート!G411&lt;&gt;""),"OK",IF(反映シート!$E$403&lt;反映シート!$B411,"OK","NG")))</f>
        <v>OK</v>
      </c>
      <c r="H263" s="13"/>
      <c r="I263" s="32" t="str">
        <f>IF(反映シート!$E$403="","OK",IF(AND(OR(反映シート!$E$403&gt;=反映シート!$B411,反映シート!$E$403="16以上"),反映シート!I411&lt;&gt;""),"OK",IF(反映シート!$E$403&lt;反映シート!$B411,"OK","NG")))</f>
        <v>OK</v>
      </c>
      <c r="J263" s="21"/>
      <c r="K263" s="32" t="str">
        <f>IF(反映シート!$E$403="","OK",IF(AND(OR(反映シート!$E$403&gt;=反映シート!$B411,反映シート!$E$403="16以上"),反映シート!K411&lt;&gt;""),"OK",IF(反映シート!$E$403&lt;反映シート!$B411,"OK","NG")))</f>
        <v>OK</v>
      </c>
      <c r="L263" s="4"/>
      <c r="M263" s="32" t="str">
        <f>IF(反映シート!$E$403="","OK",IF(AND(OR(反映シート!$E$403&gt;=反映シート!$B411,反映シート!$E$403="16以上"),反映シート!M411&lt;&gt;""),"OK",IF(反映シート!$E$403&lt;反映シート!$B411,"OK","NG")))</f>
        <v>OK</v>
      </c>
      <c r="N263" s="4"/>
      <c r="O263" s="32" t="str">
        <f>IF(反映シート!$E$403="","OK",IF(AND(OR(反映シート!$E$403&gt;=反映シート!$B411,反映シート!$E$403="16以上"),反映シート!O411&lt;&gt;""),"OK",IF(反映シート!$E$403&lt;反映シート!$B411,"OK","NG")))</f>
        <v>OK</v>
      </c>
      <c r="P263" s="4"/>
      <c r="Q263" s="32" t="str">
        <f>IF(反映シート!$E$403="","OK",IF(AND(OR(反映シート!$E$403&gt;=反映シート!$B411,反映シート!$E$403="16以上"),反映シート!Q411&lt;&gt;""),"OK",IF(反映シート!$E$403&lt;反映シート!$B411,"OK","NG")))</f>
        <v>OK</v>
      </c>
      <c r="R263" s="4"/>
      <c r="S263" s="17" t="str">
        <f>IF(C263="OK",1,2)&amp;IF(E263="OK",1,2)&amp;IF(G263="OK",1,2)&amp;IF(I263="OK",1,2)&amp;IF(K263="OK",1,2)&amp;IF(M263="OK",1,2)&amp;IF(O263="OK",1,2)&amp;IF(Q263="OK",1,2)</f>
        <v>11111111</v>
      </c>
      <c r="T263" s="4"/>
      <c r="U263" s="23"/>
      <c r="V263" s="23"/>
      <c r="W263" s="23"/>
      <c r="X263" s="42"/>
      <c r="Y263" s="23"/>
      <c r="Z263" s="23"/>
      <c r="AA263" s="23"/>
      <c r="AB263" s="23"/>
    </row>
    <row r="264" spans="1:28" ht="5.0999999999999996" customHeight="1" thickBot="1" x14ac:dyDescent="0.2">
      <c r="A264" s="23"/>
      <c r="B264" s="4"/>
      <c r="C264" s="13"/>
      <c r="D264" s="4"/>
      <c r="E264" s="77"/>
      <c r="F264" s="4"/>
      <c r="G264" s="4"/>
      <c r="H264" s="13"/>
      <c r="I264" s="4"/>
      <c r="J264" s="4"/>
      <c r="K264" s="4"/>
      <c r="L264" s="4"/>
      <c r="M264" s="4"/>
      <c r="N264" s="4"/>
      <c r="O264" s="4"/>
      <c r="P264" s="4"/>
      <c r="Q264" s="4"/>
      <c r="R264" s="4"/>
      <c r="S264" s="4"/>
      <c r="T264" s="4"/>
      <c r="U264" s="23"/>
      <c r="V264" s="23"/>
      <c r="W264" s="23"/>
      <c r="X264" s="42"/>
      <c r="Y264" s="23"/>
      <c r="Z264" s="23"/>
      <c r="AA264" s="23"/>
      <c r="AB264" s="23"/>
    </row>
    <row r="265" spans="1:28" ht="14.25" thickBot="1" x14ac:dyDescent="0.2">
      <c r="A265" s="23"/>
      <c r="B265" s="20">
        <v>3</v>
      </c>
      <c r="C265" s="32" t="str">
        <f>IF(反映シート!$E$403="","OK",IF(AND(OR(反映シート!$E$403&gt;=反映シート!$B413,反映シート!$E$403="16以上"),反映シート!C413&lt;&gt;""),"OK",IF(反映シート!$E$403&lt;反映シート!$B413,"OK","NG")))</f>
        <v>OK</v>
      </c>
      <c r="D265" s="4"/>
      <c r="E265" s="32" t="str">
        <f>IF(反映シート!$E$403="","OK",IF(AND(OR(反映シート!$E$403&gt;=反映シート!$B413,反映シート!$E$403="16以上"),反映シート!E413&lt;&gt;""),"OK",IF(反映シート!$E$403&lt;反映シート!$B413,"OK","NG")))</f>
        <v>OK</v>
      </c>
      <c r="F265" s="4"/>
      <c r="G265" s="32" t="str">
        <f>IF(反映シート!$E$403="","OK",IF(AND(OR(反映シート!$E$403&gt;=反映シート!$B413,反映シート!$E$403="16以上"),反映シート!G413&lt;&gt;""),"OK",IF(反映シート!$E$403&lt;反映シート!$B413,"OK","NG")))</f>
        <v>OK</v>
      </c>
      <c r="H265" s="13"/>
      <c r="I265" s="32" t="str">
        <f>IF(反映シート!$E$403="","OK",IF(AND(OR(反映シート!$E$403&gt;=反映シート!$B413,反映シート!$E$403="16以上"),反映シート!I413&lt;&gt;""),"OK",IF(反映シート!$E$403&lt;反映シート!$B413,"OK","NG")))</f>
        <v>OK</v>
      </c>
      <c r="J265" s="21"/>
      <c r="K265" s="32" t="str">
        <f>IF(反映シート!$E$403="","OK",IF(AND(OR(反映シート!$E$403&gt;=反映シート!$B413,反映シート!$E$403="16以上"),反映シート!K413&lt;&gt;""),"OK",IF(反映シート!$E$403&lt;反映シート!$B413,"OK","NG")))</f>
        <v>OK</v>
      </c>
      <c r="L265" s="4"/>
      <c r="M265" s="32" t="str">
        <f>IF(反映シート!$E$403="","OK",IF(AND(OR(反映シート!$E$403&gt;=反映シート!$B413,反映シート!$E$403="16以上"),反映シート!M413&lt;&gt;""),"OK",IF(反映シート!$E$403&lt;反映シート!$B413,"OK","NG")))</f>
        <v>OK</v>
      </c>
      <c r="N265" s="4"/>
      <c r="O265" s="32" t="str">
        <f>IF(反映シート!$E$403="","OK",IF(AND(OR(反映シート!$E$403&gt;=反映シート!$B413,反映シート!$E$403="16以上"),反映シート!O413&lt;&gt;""),"OK",IF(反映シート!$E$403&lt;反映シート!$B413,"OK","NG")))</f>
        <v>OK</v>
      </c>
      <c r="P265" s="4"/>
      <c r="Q265" s="32" t="str">
        <f>IF(反映シート!$E$403="","OK",IF(AND(OR(反映シート!$E$403&gt;=反映シート!$B413,反映シート!$E$403="16以上"),反映シート!Q413&lt;&gt;""),"OK",IF(反映シート!$E$403&lt;反映シート!$B413,"OK","NG")))</f>
        <v>OK</v>
      </c>
      <c r="R265" s="4"/>
      <c r="S265" s="17" t="str">
        <f>IF(C265="OK",1,2)&amp;IF(E265="OK",1,2)&amp;IF(G265="OK",1,2)&amp;IF(I265="OK",1,2)&amp;IF(K265="OK",1,2)&amp;IF(M265="OK",1,2)&amp;IF(O265="OK",1,2)&amp;IF(Q265="OK",1,2)</f>
        <v>11111111</v>
      </c>
      <c r="T265" s="4"/>
      <c r="U265" s="23"/>
      <c r="V265" s="23"/>
      <c r="W265" s="23"/>
      <c r="X265" s="42"/>
      <c r="Y265" s="23"/>
      <c r="Z265" s="23"/>
      <c r="AA265" s="23"/>
      <c r="AB265" s="23"/>
    </row>
    <row r="266" spans="1:28" ht="5.0999999999999996" customHeight="1" thickBot="1" x14ac:dyDescent="0.2">
      <c r="A266" s="23"/>
      <c r="B266" s="4"/>
      <c r="C266" s="13"/>
      <c r="D266" s="4"/>
      <c r="E266" s="77"/>
      <c r="F266" s="4"/>
      <c r="G266" s="4"/>
      <c r="H266" s="13"/>
      <c r="I266" s="4"/>
      <c r="J266" s="4"/>
      <c r="K266" s="4"/>
      <c r="L266" s="4"/>
      <c r="M266" s="4"/>
      <c r="N266" s="4"/>
      <c r="O266" s="4"/>
      <c r="P266" s="4"/>
      <c r="Q266" s="4"/>
      <c r="R266" s="4"/>
      <c r="S266" s="4"/>
      <c r="T266" s="4"/>
      <c r="U266" s="23"/>
      <c r="V266" s="23"/>
      <c r="W266" s="23"/>
      <c r="X266" s="42"/>
      <c r="Y266" s="23"/>
      <c r="Z266" s="23"/>
      <c r="AA266" s="23"/>
      <c r="AB266" s="23"/>
    </row>
    <row r="267" spans="1:28" ht="14.25" thickBot="1" x14ac:dyDescent="0.2">
      <c r="A267" s="23"/>
      <c r="B267" s="20">
        <v>4</v>
      </c>
      <c r="C267" s="32" t="str">
        <f>IF(反映シート!$E$403="","OK",IF(AND(OR(反映シート!$E$403&gt;=反映シート!$B415,反映シート!$E$403="16以上"),反映シート!C415&lt;&gt;""),"OK",IF(反映シート!$E$403&lt;反映シート!$B415,"OK","NG")))</f>
        <v>OK</v>
      </c>
      <c r="D267" s="4"/>
      <c r="E267" s="32" t="str">
        <f>IF(反映シート!$E$403="","OK",IF(AND(OR(反映シート!$E$403&gt;=反映シート!$B415,反映シート!$E$403="16以上"),反映シート!E415&lt;&gt;""),"OK",IF(反映シート!$E$403&lt;反映シート!$B415,"OK","NG")))</f>
        <v>OK</v>
      </c>
      <c r="F267" s="4"/>
      <c r="G267" s="32" t="str">
        <f>IF(反映シート!$E$403="","OK",IF(AND(OR(反映シート!$E$403&gt;=反映シート!$B415,反映シート!$E$403="16以上"),反映シート!G415&lt;&gt;""),"OK",IF(反映シート!$E$403&lt;反映シート!$B415,"OK","NG")))</f>
        <v>OK</v>
      </c>
      <c r="H267" s="13"/>
      <c r="I267" s="32" t="str">
        <f>IF(反映シート!$E$403="","OK",IF(AND(OR(反映シート!$E$403&gt;=反映シート!$B415,反映シート!$E$403="16以上"),反映シート!I415&lt;&gt;""),"OK",IF(反映シート!$E$403&lt;反映シート!$B415,"OK","NG")))</f>
        <v>OK</v>
      </c>
      <c r="J267" s="21"/>
      <c r="K267" s="32" t="str">
        <f>IF(反映シート!$E$403="","OK",IF(AND(OR(反映シート!$E$403&gt;=反映シート!$B415,反映シート!$E$403="16以上"),反映シート!K415&lt;&gt;""),"OK",IF(反映シート!$E$403&lt;反映シート!$B415,"OK","NG")))</f>
        <v>OK</v>
      </c>
      <c r="L267" s="4"/>
      <c r="M267" s="32" t="str">
        <f>IF(反映シート!$E$403="","OK",IF(AND(OR(反映シート!$E$403&gt;=反映シート!$B415,反映シート!$E$403="16以上"),反映シート!M415&lt;&gt;""),"OK",IF(反映シート!$E$403&lt;反映シート!$B415,"OK","NG")))</f>
        <v>OK</v>
      </c>
      <c r="N267" s="4"/>
      <c r="O267" s="32" t="str">
        <f>IF(反映シート!$E$403="","OK",IF(AND(OR(反映シート!$E$403&gt;=反映シート!$B415,反映シート!$E$403="16以上"),反映シート!O415&lt;&gt;""),"OK",IF(反映シート!$E$403&lt;反映シート!$B415,"OK","NG")))</f>
        <v>OK</v>
      </c>
      <c r="P267" s="4"/>
      <c r="Q267" s="32" t="str">
        <f>IF(反映シート!$E$403="","OK",IF(AND(OR(反映シート!$E$403&gt;=反映シート!$B415,反映シート!$E$403="16以上"),反映シート!Q415&lt;&gt;""),"OK",IF(反映シート!$E$403&lt;反映シート!$B415,"OK","NG")))</f>
        <v>OK</v>
      </c>
      <c r="R267" s="4"/>
      <c r="S267" s="17" t="str">
        <f>IF(C267="OK",1,2)&amp;IF(E267="OK",1,2)&amp;IF(G267="OK",1,2)&amp;IF(I267="OK",1,2)&amp;IF(K267="OK",1,2)&amp;IF(M267="OK",1,2)&amp;IF(O267="OK",1,2)&amp;IF(Q267="OK",1,2)</f>
        <v>11111111</v>
      </c>
      <c r="T267" s="4"/>
      <c r="U267" s="23"/>
      <c r="V267" s="23"/>
      <c r="W267" s="23"/>
      <c r="X267" s="42"/>
      <c r="Y267" s="23"/>
      <c r="Z267" s="23"/>
      <c r="AA267" s="23"/>
      <c r="AB267" s="23"/>
    </row>
    <row r="268" spans="1:28" ht="5.0999999999999996" customHeight="1" thickBot="1" x14ac:dyDescent="0.2">
      <c r="A268" s="23"/>
      <c r="B268" s="4"/>
      <c r="C268" s="13"/>
      <c r="D268" s="4"/>
      <c r="E268" s="77"/>
      <c r="F268" s="4"/>
      <c r="G268" s="4"/>
      <c r="H268" s="13"/>
      <c r="I268" s="4"/>
      <c r="J268" s="4"/>
      <c r="K268" s="4"/>
      <c r="L268" s="4"/>
      <c r="M268" s="4"/>
      <c r="N268" s="4"/>
      <c r="O268" s="4"/>
      <c r="P268" s="4"/>
      <c r="Q268" s="4"/>
      <c r="R268" s="4"/>
      <c r="S268" s="4"/>
      <c r="T268" s="4"/>
      <c r="U268" s="23"/>
      <c r="V268" s="23"/>
      <c r="W268" s="23"/>
      <c r="X268" s="42"/>
      <c r="Y268" s="23"/>
      <c r="Z268" s="23"/>
      <c r="AA268" s="23"/>
      <c r="AB268" s="23"/>
    </row>
    <row r="269" spans="1:28" ht="14.25" thickBot="1" x14ac:dyDescent="0.2">
      <c r="A269" s="23"/>
      <c r="B269" s="20">
        <v>5</v>
      </c>
      <c r="C269" s="32" t="str">
        <f>IF(反映シート!$E$403="","OK",IF(AND(OR(反映シート!$E$403&gt;=反映シート!$B417,反映シート!$E$403="16以上"),反映シート!C417&lt;&gt;""),"OK",IF(反映シート!$E$403&lt;反映シート!$B417,"OK","NG")))</f>
        <v>OK</v>
      </c>
      <c r="D269" s="4"/>
      <c r="E269" s="32" t="str">
        <f>IF(反映シート!$E$403="","OK",IF(AND(OR(反映シート!$E$403&gt;=反映シート!$B417,反映シート!$E$403="16以上"),反映シート!E417&lt;&gt;""),"OK",IF(反映シート!$E$403&lt;反映シート!$B417,"OK","NG")))</f>
        <v>OK</v>
      </c>
      <c r="F269" s="4"/>
      <c r="G269" s="32" t="str">
        <f>IF(反映シート!$E$403="","OK",IF(AND(OR(反映シート!$E$403&gt;=反映シート!$B417,反映シート!$E$403="16以上"),反映シート!G417&lt;&gt;""),"OK",IF(反映シート!$E$403&lt;反映シート!$B417,"OK","NG")))</f>
        <v>OK</v>
      </c>
      <c r="H269" s="13"/>
      <c r="I269" s="32" t="str">
        <f>IF(反映シート!$E$403="","OK",IF(AND(OR(反映シート!$E$403&gt;=反映シート!$B417,反映シート!$E$403="16以上"),反映シート!I417&lt;&gt;""),"OK",IF(反映シート!$E$403&lt;反映シート!$B417,"OK","NG")))</f>
        <v>OK</v>
      </c>
      <c r="J269" s="21"/>
      <c r="K269" s="32" t="str">
        <f>IF(反映シート!$E$403="","OK",IF(AND(OR(反映シート!$E$403&gt;=反映シート!$B417,反映シート!$E$403="16以上"),反映シート!K417&lt;&gt;""),"OK",IF(反映シート!$E$403&lt;反映シート!$B417,"OK","NG")))</f>
        <v>OK</v>
      </c>
      <c r="L269" s="4"/>
      <c r="M269" s="32" t="str">
        <f>IF(反映シート!$E$403="","OK",IF(AND(OR(反映シート!$E$403&gt;=反映シート!$B417,反映シート!$E$403="16以上"),反映シート!M417&lt;&gt;""),"OK",IF(反映シート!$E$403&lt;反映シート!$B417,"OK","NG")))</f>
        <v>OK</v>
      </c>
      <c r="N269" s="4"/>
      <c r="O269" s="32" t="str">
        <f>IF(反映シート!$E$403="","OK",IF(AND(OR(反映シート!$E$403&gt;=反映シート!$B417,反映シート!$E$403="16以上"),反映シート!O417&lt;&gt;""),"OK",IF(反映シート!$E$403&lt;反映シート!$B417,"OK","NG")))</f>
        <v>OK</v>
      </c>
      <c r="P269" s="4"/>
      <c r="Q269" s="32" t="str">
        <f>IF(反映シート!$E$403="","OK",IF(AND(OR(反映シート!$E$403&gt;=反映シート!$B417,反映シート!$E$403="16以上"),反映シート!Q417&lt;&gt;""),"OK",IF(反映シート!$E$403&lt;反映シート!$B417,"OK","NG")))</f>
        <v>OK</v>
      </c>
      <c r="R269" s="4"/>
      <c r="S269" s="17" t="str">
        <f>IF(C269="OK",1,2)&amp;IF(E269="OK",1,2)&amp;IF(G269="OK",1,2)&amp;IF(I269="OK",1,2)&amp;IF(K269="OK",1,2)&amp;IF(M269="OK",1,2)&amp;IF(O269="OK",1,2)&amp;IF(Q269="OK",1,2)</f>
        <v>11111111</v>
      </c>
      <c r="T269" s="4"/>
      <c r="U269" s="23"/>
      <c r="V269" s="23"/>
      <c r="W269" s="23"/>
      <c r="X269" s="42"/>
      <c r="Y269" s="23"/>
      <c r="Z269" s="23"/>
      <c r="AA269" s="23"/>
      <c r="AB269" s="23"/>
    </row>
    <row r="270" spans="1:28" ht="5.0999999999999996" customHeight="1" thickBot="1" x14ac:dyDescent="0.2">
      <c r="A270" s="23"/>
      <c r="B270" s="4"/>
      <c r="C270" s="13"/>
      <c r="D270" s="4"/>
      <c r="E270" s="77"/>
      <c r="F270" s="4"/>
      <c r="G270" s="4"/>
      <c r="H270" s="13"/>
      <c r="I270" s="4"/>
      <c r="J270" s="4"/>
      <c r="K270" s="4"/>
      <c r="L270" s="4"/>
      <c r="M270" s="4"/>
      <c r="N270" s="4"/>
      <c r="O270" s="4"/>
      <c r="P270" s="4"/>
      <c r="Q270" s="4"/>
      <c r="R270" s="4"/>
      <c r="S270" s="4"/>
      <c r="T270" s="4"/>
      <c r="U270" s="23"/>
      <c r="V270" s="23"/>
      <c r="W270" s="23"/>
      <c r="X270" s="42"/>
      <c r="Y270" s="23"/>
      <c r="Z270" s="23"/>
      <c r="AA270" s="23"/>
      <c r="AB270" s="23"/>
    </row>
    <row r="271" spans="1:28" ht="14.25" thickBot="1" x14ac:dyDescent="0.2">
      <c r="A271" s="23"/>
      <c r="B271" s="20">
        <v>6</v>
      </c>
      <c r="C271" s="32" t="str">
        <f>IF(反映シート!$E$403="","OK",IF(AND(OR(反映シート!$E$403&gt;=反映シート!$B419,反映シート!$E$403="16以上"),反映シート!C419&lt;&gt;""),"OK",IF(反映シート!$E$403&lt;反映シート!$B419,"OK","NG")))</f>
        <v>OK</v>
      </c>
      <c r="D271" s="4"/>
      <c r="E271" s="32" t="str">
        <f>IF(反映シート!$E$403="","OK",IF(AND(OR(反映シート!$E$403&gt;=反映シート!$B419,反映シート!$E$403="16以上"),反映シート!E419&lt;&gt;""),"OK",IF(反映シート!$E$403&lt;反映シート!$B419,"OK","NG")))</f>
        <v>OK</v>
      </c>
      <c r="F271" s="4"/>
      <c r="G271" s="32" t="str">
        <f>IF(反映シート!$E$403="","OK",IF(AND(OR(反映シート!$E$403&gt;=反映シート!$B419,反映シート!$E$403="16以上"),反映シート!G419&lt;&gt;""),"OK",IF(反映シート!$E$403&lt;反映シート!$B419,"OK","NG")))</f>
        <v>OK</v>
      </c>
      <c r="H271" s="13"/>
      <c r="I271" s="32" t="str">
        <f>IF(反映シート!$E$403="","OK",IF(AND(OR(反映シート!$E$403&gt;=反映シート!$B419,反映シート!$E$403="16以上"),反映シート!I419&lt;&gt;""),"OK",IF(反映シート!$E$403&lt;反映シート!$B419,"OK","NG")))</f>
        <v>OK</v>
      </c>
      <c r="J271" s="21"/>
      <c r="K271" s="32" t="str">
        <f>IF(反映シート!$E$403="","OK",IF(AND(OR(反映シート!$E$403&gt;=反映シート!$B419,反映シート!$E$403="16以上"),反映シート!K419&lt;&gt;""),"OK",IF(反映シート!$E$403&lt;反映シート!$B419,"OK","NG")))</f>
        <v>OK</v>
      </c>
      <c r="L271" s="4"/>
      <c r="M271" s="32" t="str">
        <f>IF(反映シート!$E$403="","OK",IF(AND(OR(反映シート!$E$403&gt;=反映シート!$B419,反映シート!$E$403="16以上"),反映シート!M419&lt;&gt;""),"OK",IF(反映シート!$E$403&lt;反映シート!$B419,"OK","NG")))</f>
        <v>OK</v>
      </c>
      <c r="N271" s="4"/>
      <c r="O271" s="32" t="str">
        <f>IF(反映シート!$E$403="","OK",IF(AND(OR(反映シート!$E$403&gt;=反映シート!$B419,反映シート!$E$403="16以上"),反映シート!O419&lt;&gt;""),"OK",IF(反映シート!$E$403&lt;反映シート!$B419,"OK","NG")))</f>
        <v>OK</v>
      </c>
      <c r="P271" s="4"/>
      <c r="Q271" s="32" t="str">
        <f>IF(反映シート!$E$403="","OK",IF(AND(OR(反映シート!$E$403&gt;=反映シート!$B419,反映シート!$E$403="16以上"),反映シート!Q419&lt;&gt;""),"OK",IF(反映シート!$E$403&lt;反映シート!$B419,"OK","NG")))</f>
        <v>OK</v>
      </c>
      <c r="R271" s="4"/>
      <c r="S271" s="17" t="str">
        <f>IF(C271="OK",1,2)&amp;IF(E271="OK",1,2)&amp;IF(G271="OK",1,2)&amp;IF(I271="OK",1,2)&amp;IF(K271="OK",1,2)&amp;IF(M271="OK",1,2)&amp;IF(O271="OK",1,2)&amp;IF(Q271="OK",1,2)</f>
        <v>11111111</v>
      </c>
      <c r="T271" s="4"/>
      <c r="U271" s="23"/>
      <c r="V271" s="23"/>
      <c r="W271" s="23"/>
      <c r="X271" s="42"/>
      <c r="Y271" s="23"/>
      <c r="Z271" s="23"/>
      <c r="AA271" s="23"/>
      <c r="AB271" s="23"/>
    </row>
    <row r="272" spans="1:28" ht="5.0999999999999996" customHeight="1" thickBot="1" x14ac:dyDescent="0.2">
      <c r="A272" s="23"/>
      <c r="B272" s="4"/>
      <c r="C272" s="13"/>
      <c r="D272" s="4"/>
      <c r="E272" s="77"/>
      <c r="F272" s="4"/>
      <c r="G272" s="4"/>
      <c r="H272" s="13"/>
      <c r="I272" s="4"/>
      <c r="J272" s="4"/>
      <c r="K272" s="4"/>
      <c r="L272" s="4"/>
      <c r="M272" s="4"/>
      <c r="N272" s="4"/>
      <c r="O272" s="4"/>
      <c r="P272" s="4"/>
      <c r="Q272" s="4"/>
      <c r="R272" s="4"/>
      <c r="S272" s="4"/>
      <c r="T272" s="4"/>
      <c r="U272" s="23"/>
      <c r="V272" s="23"/>
      <c r="W272" s="23"/>
      <c r="X272" s="42"/>
      <c r="Y272" s="23"/>
      <c r="Z272" s="23"/>
      <c r="AA272" s="23"/>
      <c r="AB272" s="23"/>
    </row>
    <row r="273" spans="1:28" ht="14.25" thickBot="1" x14ac:dyDescent="0.2">
      <c r="A273" s="23"/>
      <c r="B273" s="20">
        <v>7</v>
      </c>
      <c r="C273" s="32" t="str">
        <f>IF(反映シート!$E$403="","OK",IF(AND(OR(反映シート!$E$403&gt;=反映シート!$B421,反映シート!$E$403="16以上"),反映シート!C421&lt;&gt;""),"OK",IF(反映シート!$E$403&lt;反映シート!$B421,"OK","NG")))</f>
        <v>OK</v>
      </c>
      <c r="D273" s="4"/>
      <c r="E273" s="32" t="str">
        <f>IF(反映シート!$E$403="","OK",IF(AND(OR(反映シート!$E$403&gt;=反映シート!$B421,反映シート!$E$403="16以上"),反映シート!E421&lt;&gt;""),"OK",IF(反映シート!$E$403&lt;反映シート!$B421,"OK","NG")))</f>
        <v>OK</v>
      </c>
      <c r="F273" s="4"/>
      <c r="G273" s="32" t="str">
        <f>IF(反映シート!$E$403="","OK",IF(AND(OR(反映シート!$E$403&gt;=反映シート!$B421,反映シート!$E$403="16以上"),反映シート!G421&lt;&gt;""),"OK",IF(反映シート!$E$403&lt;反映シート!$B421,"OK","NG")))</f>
        <v>OK</v>
      </c>
      <c r="H273" s="13"/>
      <c r="I273" s="32" t="str">
        <f>IF(反映シート!$E$403="","OK",IF(AND(OR(反映シート!$E$403&gt;=反映シート!$B421,反映シート!$E$403="16以上"),反映シート!I421&lt;&gt;""),"OK",IF(反映シート!$E$403&lt;反映シート!$B421,"OK","NG")))</f>
        <v>OK</v>
      </c>
      <c r="J273" s="21"/>
      <c r="K273" s="32" t="str">
        <f>IF(反映シート!$E$403="","OK",IF(AND(OR(反映シート!$E$403&gt;=反映シート!$B421,反映シート!$E$403="16以上"),反映シート!K421&lt;&gt;""),"OK",IF(反映シート!$E$403&lt;反映シート!$B421,"OK","NG")))</f>
        <v>OK</v>
      </c>
      <c r="L273" s="4"/>
      <c r="M273" s="32" t="str">
        <f>IF(反映シート!$E$403="","OK",IF(AND(OR(反映シート!$E$403&gt;=反映シート!$B421,反映シート!$E$403="16以上"),反映シート!M421&lt;&gt;""),"OK",IF(反映シート!$E$403&lt;反映シート!$B421,"OK","NG")))</f>
        <v>OK</v>
      </c>
      <c r="N273" s="4"/>
      <c r="O273" s="32" t="str">
        <f>IF(反映シート!$E$403="","OK",IF(AND(OR(反映シート!$E$403&gt;=反映シート!$B421,反映シート!$E$403="16以上"),反映シート!O421&lt;&gt;""),"OK",IF(反映シート!$E$403&lt;反映シート!$B421,"OK","NG")))</f>
        <v>OK</v>
      </c>
      <c r="P273" s="4"/>
      <c r="Q273" s="32" t="str">
        <f>IF(反映シート!$E$403="","OK",IF(AND(OR(反映シート!$E$403&gt;=反映シート!$B421,反映シート!$E$403="16以上"),反映シート!Q421&lt;&gt;""),"OK",IF(反映シート!$E$403&lt;反映シート!$B421,"OK","NG")))</f>
        <v>OK</v>
      </c>
      <c r="R273" s="4"/>
      <c r="S273" s="17" t="str">
        <f>IF(C273="OK",1,2)&amp;IF(E273="OK",1,2)&amp;IF(G273="OK",1,2)&amp;IF(I273="OK",1,2)&amp;IF(K273="OK",1,2)&amp;IF(M273="OK",1,2)&amp;IF(O273="OK",1,2)&amp;IF(Q273="OK",1,2)</f>
        <v>11111111</v>
      </c>
      <c r="T273" s="4"/>
      <c r="U273" s="23"/>
      <c r="V273" s="23"/>
      <c r="W273" s="23"/>
      <c r="X273" s="42"/>
      <c r="Y273" s="23"/>
      <c r="Z273" s="23"/>
      <c r="AA273" s="23"/>
      <c r="AB273" s="23"/>
    </row>
    <row r="274" spans="1:28" ht="5.0999999999999996" customHeight="1" thickBot="1" x14ac:dyDescent="0.2">
      <c r="A274" s="23"/>
      <c r="B274" s="4"/>
      <c r="C274" s="13"/>
      <c r="D274" s="4"/>
      <c r="E274" s="77"/>
      <c r="F274" s="4"/>
      <c r="G274" s="4"/>
      <c r="H274" s="13"/>
      <c r="I274" s="4"/>
      <c r="J274" s="4"/>
      <c r="K274" s="4"/>
      <c r="L274" s="4"/>
      <c r="M274" s="4"/>
      <c r="N274" s="4"/>
      <c r="O274" s="4"/>
      <c r="P274" s="4"/>
      <c r="Q274" s="4"/>
      <c r="R274" s="4"/>
      <c r="S274" s="4"/>
      <c r="T274" s="4"/>
      <c r="U274" s="23"/>
      <c r="V274" s="23"/>
      <c r="W274" s="23"/>
      <c r="X274" s="42"/>
      <c r="Y274" s="23"/>
      <c r="Z274" s="23"/>
      <c r="AA274" s="23"/>
      <c r="AB274" s="23"/>
    </row>
    <row r="275" spans="1:28" ht="14.25" thickBot="1" x14ac:dyDescent="0.2">
      <c r="A275" s="23"/>
      <c r="B275" s="20">
        <v>8</v>
      </c>
      <c r="C275" s="32" t="str">
        <f>IF(反映シート!$E$403="","OK",IF(AND(OR(反映シート!$E$403&gt;=反映シート!$B423,反映シート!$E$403="16以上"),反映シート!C423&lt;&gt;""),"OK",IF(反映シート!$E$403&lt;反映シート!$B423,"OK","NG")))</f>
        <v>OK</v>
      </c>
      <c r="D275" s="4"/>
      <c r="E275" s="32" t="str">
        <f>IF(反映シート!$E$403="","OK",IF(AND(OR(反映シート!$E$403&gt;=反映シート!$B423,反映シート!$E$403="16以上"),反映シート!E423&lt;&gt;""),"OK",IF(反映シート!$E$403&lt;反映シート!$B423,"OK","NG")))</f>
        <v>OK</v>
      </c>
      <c r="F275" s="4"/>
      <c r="G275" s="32" t="str">
        <f>IF(反映シート!$E$403="","OK",IF(AND(OR(反映シート!$E$403&gt;=反映シート!$B423,反映シート!$E$403="16以上"),反映シート!G423&lt;&gt;""),"OK",IF(反映シート!$E$403&lt;反映シート!$B423,"OK","NG")))</f>
        <v>OK</v>
      </c>
      <c r="H275" s="13"/>
      <c r="I275" s="32" t="str">
        <f>IF(反映シート!$E$403="","OK",IF(AND(OR(反映シート!$E$403&gt;=反映シート!$B423,反映シート!$E$403="16以上"),反映シート!I423&lt;&gt;""),"OK",IF(反映シート!$E$403&lt;反映シート!$B423,"OK","NG")))</f>
        <v>OK</v>
      </c>
      <c r="J275" s="21"/>
      <c r="K275" s="32" t="str">
        <f>IF(反映シート!$E$403="","OK",IF(AND(OR(反映シート!$E$403&gt;=反映シート!$B423,反映シート!$E$403="16以上"),反映シート!K423&lt;&gt;""),"OK",IF(反映シート!$E$403&lt;反映シート!$B423,"OK","NG")))</f>
        <v>OK</v>
      </c>
      <c r="L275" s="4"/>
      <c r="M275" s="32" t="str">
        <f>IF(反映シート!$E$403="","OK",IF(AND(OR(反映シート!$E$403&gt;=反映シート!$B423,反映シート!$E$403="16以上"),反映シート!M423&lt;&gt;""),"OK",IF(反映シート!$E$403&lt;反映シート!$B423,"OK","NG")))</f>
        <v>OK</v>
      </c>
      <c r="N275" s="4"/>
      <c r="O275" s="32" t="str">
        <f>IF(反映シート!$E$403="","OK",IF(AND(OR(反映シート!$E$403&gt;=反映シート!$B423,反映シート!$E$403="16以上"),反映シート!O423&lt;&gt;""),"OK",IF(反映シート!$E$403&lt;反映シート!$B423,"OK","NG")))</f>
        <v>OK</v>
      </c>
      <c r="P275" s="4"/>
      <c r="Q275" s="32" t="str">
        <f>IF(反映シート!$E$403="","OK",IF(AND(OR(反映シート!$E$403&gt;=反映シート!$B423,反映シート!$E$403="16以上"),反映シート!Q423&lt;&gt;""),"OK",IF(反映シート!$E$403&lt;反映シート!$B423,"OK","NG")))</f>
        <v>OK</v>
      </c>
      <c r="R275" s="4"/>
      <c r="S275" s="17" t="str">
        <f>IF(C275="OK",1,2)&amp;IF(E275="OK",1,2)&amp;IF(G275="OK",1,2)&amp;IF(I275="OK",1,2)&amp;IF(K275="OK",1,2)&amp;IF(M275="OK",1,2)&amp;IF(O275="OK",1,2)&amp;IF(Q275="OK",1,2)</f>
        <v>11111111</v>
      </c>
      <c r="T275" s="4"/>
      <c r="U275" s="23"/>
      <c r="V275" s="23"/>
      <c r="W275" s="23"/>
      <c r="X275" s="42"/>
      <c r="Y275" s="23"/>
      <c r="Z275" s="23"/>
      <c r="AA275" s="23"/>
      <c r="AB275" s="23"/>
    </row>
    <row r="276" spans="1:28" ht="5.0999999999999996" customHeight="1" thickBot="1" x14ac:dyDescent="0.2">
      <c r="A276" s="23"/>
      <c r="B276" s="4"/>
      <c r="C276" s="13"/>
      <c r="D276" s="4"/>
      <c r="E276" s="77"/>
      <c r="F276" s="4"/>
      <c r="G276" s="4"/>
      <c r="H276" s="13"/>
      <c r="I276" s="4"/>
      <c r="J276" s="4"/>
      <c r="K276" s="4"/>
      <c r="L276" s="4"/>
      <c r="M276" s="4"/>
      <c r="N276" s="4"/>
      <c r="O276" s="4"/>
      <c r="P276" s="4"/>
      <c r="Q276" s="4"/>
      <c r="R276" s="4"/>
      <c r="S276" s="4"/>
      <c r="T276" s="4"/>
      <c r="U276" s="23"/>
      <c r="V276" s="23"/>
      <c r="W276" s="23"/>
      <c r="X276" s="42"/>
      <c r="Y276" s="23"/>
      <c r="Z276" s="23"/>
      <c r="AA276" s="23"/>
      <c r="AB276" s="23"/>
    </row>
    <row r="277" spans="1:28" ht="14.25" thickBot="1" x14ac:dyDescent="0.2">
      <c r="A277" s="23"/>
      <c r="B277" s="20">
        <v>9</v>
      </c>
      <c r="C277" s="32" t="str">
        <f>IF(反映シート!$E$403="","OK",IF(AND(OR(反映シート!$E$403&gt;=反映シート!$B425,反映シート!$E$403="16以上"),反映シート!C425&lt;&gt;""),"OK",IF(反映シート!$E$403&lt;反映シート!$B425,"OK","NG")))</f>
        <v>OK</v>
      </c>
      <c r="D277" s="4"/>
      <c r="E277" s="32" t="str">
        <f>IF(反映シート!$E$403="","OK",IF(AND(OR(反映シート!$E$403&gt;=反映シート!$B425,反映シート!$E$403="16以上"),反映シート!E425&lt;&gt;""),"OK",IF(反映シート!$E$403&lt;反映シート!$B425,"OK","NG")))</f>
        <v>OK</v>
      </c>
      <c r="F277" s="4"/>
      <c r="G277" s="32" t="str">
        <f>IF(反映シート!$E$403="","OK",IF(AND(OR(反映シート!$E$403&gt;=反映シート!$B425,反映シート!$E$403="16以上"),反映シート!G425&lt;&gt;""),"OK",IF(反映シート!$E$403&lt;反映シート!$B425,"OK","NG")))</f>
        <v>OK</v>
      </c>
      <c r="H277" s="13"/>
      <c r="I277" s="32" t="str">
        <f>IF(反映シート!$E$403="","OK",IF(AND(OR(反映シート!$E$403&gt;=反映シート!$B425,反映シート!$E$403="16以上"),反映シート!I425&lt;&gt;""),"OK",IF(反映シート!$E$403&lt;反映シート!$B425,"OK","NG")))</f>
        <v>OK</v>
      </c>
      <c r="J277" s="21"/>
      <c r="K277" s="32" t="str">
        <f>IF(反映シート!$E$403="","OK",IF(AND(OR(反映シート!$E$403&gt;=反映シート!$B425,反映シート!$E$403="16以上"),反映シート!K425&lt;&gt;""),"OK",IF(反映シート!$E$403&lt;反映シート!$B425,"OK","NG")))</f>
        <v>OK</v>
      </c>
      <c r="L277" s="4"/>
      <c r="M277" s="32" t="str">
        <f>IF(反映シート!$E$403="","OK",IF(AND(OR(反映シート!$E$403&gt;=反映シート!$B425,反映シート!$E$403="16以上"),反映シート!M425&lt;&gt;""),"OK",IF(反映シート!$E$403&lt;反映シート!$B425,"OK","NG")))</f>
        <v>OK</v>
      </c>
      <c r="N277" s="4"/>
      <c r="O277" s="32" t="str">
        <f>IF(反映シート!$E$403="","OK",IF(AND(OR(反映シート!$E$403&gt;=反映シート!$B425,反映シート!$E$403="16以上"),反映シート!O425&lt;&gt;""),"OK",IF(反映シート!$E$403&lt;反映シート!$B425,"OK","NG")))</f>
        <v>OK</v>
      </c>
      <c r="P277" s="4"/>
      <c r="Q277" s="32" t="str">
        <f>IF(反映シート!$E$403="","OK",IF(AND(OR(反映シート!$E$403&gt;=反映シート!$B425,反映シート!$E$403="16以上"),反映シート!Q425&lt;&gt;""),"OK",IF(反映シート!$E$403&lt;反映シート!$B425,"OK","NG")))</f>
        <v>OK</v>
      </c>
      <c r="R277" s="4"/>
      <c r="S277" s="17" t="str">
        <f>IF(C277="OK",1,2)&amp;IF(E277="OK",1,2)&amp;IF(G277="OK",1,2)&amp;IF(I277="OK",1,2)&amp;IF(K277="OK",1,2)&amp;IF(M277="OK",1,2)&amp;IF(O277="OK",1,2)&amp;IF(Q277="OK",1,2)</f>
        <v>11111111</v>
      </c>
      <c r="T277" s="4"/>
      <c r="U277" s="23"/>
      <c r="V277" s="23"/>
      <c r="W277" s="23"/>
      <c r="X277" s="42"/>
      <c r="Y277" s="23"/>
      <c r="Z277" s="23"/>
      <c r="AA277" s="23"/>
      <c r="AB277" s="23"/>
    </row>
    <row r="278" spans="1:28" ht="5.0999999999999996" customHeight="1" thickBot="1" x14ac:dyDescent="0.2">
      <c r="A278" s="23"/>
      <c r="B278" s="4"/>
      <c r="C278" s="13"/>
      <c r="D278" s="4"/>
      <c r="E278" s="77"/>
      <c r="F278" s="4"/>
      <c r="G278" s="4"/>
      <c r="H278" s="13"/>
      <c r="I278" s="4"/>
      <c r="J278" s="4"/>
      <c r="K278" s="4"/>
      <c r="L278" s="4"/>
      <c r="M278" s="4"/>
      <c r="N278" s="4"/>
      <c r="O278" s="4"/>
      <c r="P278" s="4"/>
      <c r="Q278" s="4"/>
      <c r="R278" s="4"/>
      <c r="S278" s="4"/>
      <c r="T278" s="4"/>
      <c r="U278" s="23"/>
      <c r="V278" s="23"/>
      <c r="W278" s="23"/>
      <c r="X278" s="42"/>
      <c r="Y278" s="23"/>
      <c r="Z278" s="23"/>
      <c r="AA278" s="23"/>
      <c r="AB278" s="23"/>
    </row>
    <row r="279" spans="1:28" ht="14.25" thickBot="1" x14ac:dyDescent="0.2">
      <c r="A279" s="23"/>
      <c r="B279" s="20">
        <v>10</v>
      </c>
      <c r="C279" s="32" t="str">
        <f>IF(反映シート!$E$403="","OK",IF(AND(OR(反映シート!$E$403&gt;=反映シート!$B427,反映シート!$E$403="16以上"),反映シート!C427&lt;&gt;""),"OK",IF(反映シート!$E$403&lt;反映シート!$B427,"OK","NG")))</f>
        <v>OK</v>
      </c>
      <c r="D279" s="4"/>
      <c r="E279" s="32" t="str">
        <f>IF(反映シート!$E$403="","OK",IF(AND(OR(反映シート!$E$403&gt;=反映シート!$B427,反映シート!$E$403="16以上"),反映シート!E427&lt;&gt;""),"OK",IF(反映シート!$E$403&lt;反映シート!$B427,"OK","NG")))</f>
        <v>OK</v>
      </c>
      <c r="F279" s="4"/>
      <c r="G279" s="32" t="str">
        <f>IF(反映シート!$E$403="","OK",IF(AND(OR(反映シート!$E$403&gt;=反映シート!$B427,反映シート!$E$403="16以上"),反映シート!G427&lt;&gt;""),"OK",IF(反映シート!$E$403&lt;反映シート!$B427,"OK","NG")))</f>
        <v>OK</v>
      </c>
      <c r="H279" s="13"/>
      <c r="I279" s="32" t="str">
        <f>IF(反映シート!$E$403="","OK",IF(AND(OR(反映シート!$E$403&gt;=反映シート!$B427,反映シート!$E$403="16以上"),反映シート!I427&lt;&gt;""),"OK",IF(反映シート!$E$403&lt;反映シート!$B427,"OK","NG")))</f>
        <v>OK</v>
      </c>
      <c r="J279" s="21"/>
      <c r="K279" s="32" t="str">
        <f>IF(反映シート!$E$403="","OK",IF(AND(OR(反映シート!$E$403&gt;=反映シート!$B427,反映シート!$E$403="16以上"),反映シート!K427&lt;&gt;""),"OK",IF(反映シート!$E$403&lt;反映シート!$B427,"OK","NG")))</f>
        <v>OK</v>
      </c>
      <c r="L279" s="4"/>
      <c r="M279" s="32" t="str">
        <f>IF(反映シート!$E$403="","OK",IF(AND(OR(反映シート!$E$403&gt;=反映シート!$B427,反映シート!$E$403="16以上"),反映シート!M427&lt;&gt;""),"OK",IF(反映シート!$E$403&lt;反映シート!$B427,"OK","NG")))</f>
        <v>OK</v>
      </c>
      <c r="N279" s="4"/>
      <c r="O279" s="32" t="str">
        <f>IF(反映シート!$E$403="","OK",IF(AND(OR(反映シート!$E$403&gt;=反映シート!$B427,反映シート!$E$403="16以上"),反映シート!O427&lt;&gt;""),"OK",IF(反映シート!$E$403&lt;反映シート!$B427,"OK","NG")))</f>
        <v>OK</v>
      </c>
      <c r="P279" s="4"/>
      <c r="Q279" s="32" t="str">
        <f>IF(反映シート!$E$403="","OK",IF(AND(OR(反映シート!$E$403&gt;=反映シート!$B427,反映シート!$E$403="16以上"),反映シート!Q427&lt;&gt;""),"OK",IF(反映シート!$E$403&lt;反映シート!$B427,"OK","NG")))</f>
        <v>OK</v>
      </c>
      <c r="R279" s="4"/>
      <c r="S279" s="17" t="str">
        <f>IF(C279="OK",1,2)&amp;IF(E279="OK",1,2)&amp;IF(G279="OK",1,2)&amp;IF(I279="OK",1,2)&amp;IF(K279="OK",1,2)&amp;IF(M279="OK",1,2)&amp;IF(O279="OK",1,2)&amp;IF(Q279="OK",1,2)</f>
        <v>11111111</v>
      </c>
      <c r="T279" s="4"/>
      <c r="U279" s="23"/>
      <c r="V279" s="23"/>
      <c r="W279" s="23"/>
      <c r="X279" s="42"/>
      <c r="Y279" s="23"/>
      <c r="Z279" s="23"/>
      <c r="AA279" s="23"/>
      <c r="AB279" s="23"/>
    </row>
    <row r="280" spans="1:28" ht="5.0999999999999996" customHeight="1" thickBot="1" x14ac:dyDescent="0.2">
      <c r="A280" s="23"/>
      <c r="B280" s="4"/>
      <c r="C280" s="13"/>
      <c r="D280" s="4"/>
      <c r="E280" s="77"/>
      <c r="F280" s="4"/>
      <c r="G280" s="4"/>
      <c r="H280" s="13"/>
      <c r="I280" s="4"/>
      <c r="J280" s="4"/>
      <c r="K280" s="4"/>
      <c r="L280" s="4"/>
      <c r="M280" s="4"/>
      <c r="N280" s="4"/>
      <c r="O280" s="4"/>
      <c r="P280" s="4"/>
      <c r="Q280" s="4"/>
      <c r="R280" s="4"/>
      <c r="S280" s="4"/>
      <c r="T280" s="4"/>
      <c r="U280" s="23"/>
      <c r="V280" s="23"/>
      <c r="W280" s="23"/>
      <c r="X280" s="42"/>
      <c r="Y280" s="23"/>
      <c r="Z280" s="23"/>
      <c r="AA280" s="23"/>
      <c r="AB280" s="23"/>
    </row>
    <row r="281" spans="1:28" ht="14.25" thickBot="1" x14ac:dyDescent="0.2">
      <c r="A281" s="23"/>
      <c r="B281" s="20">
        <v>11</v>
      </c>
      <c r="C281" s="32" t="str">
        <f>IF(反映シート!$E$403="","OK",IF(AND(OR(反映シート!$E$403&gt;=反映シート!$B429,反映シート!$E$403="16以上"),反映シート!C429&lt;&gt;""),"OK",IF(反映シート!$E$403&lt;反映シート!$B429,"OK","NG")))</f>
        <v>OK</v>
      </c>
      <c r="D281" s="4"/>
      <c r="E281" s="32" t="str">
        <f>IF(反映シート!$E$403="","OK",IF(AND(OR(反映シート!$E$403&gt;=反映シート!$B429,反映シート!$E$403="16以上"),反映シート!E429&lt;&gt;""),"OK",IF(反映シート!$E$403&lt;反映シート!$B429,"OK","NG")))</f>
        <v>OK</v>
      </c>
      <c r="F281" s="4"/>
      <c r="G281" s="32" t="str">
        <f>IF(反映シート!$E$403="","OK",IF(AND(OR(反映シート!$E$403&gt;=反映シート!$B429,反映シート!$E$403="16以上"),反映シート!G429&lt;&gt;""),"OK",IF(反映シート!$E$403&lt;反映シート!$B429,"OK","NG")))</f>
        <v>OK</v>
      </c>
      <c r="H281" s="13"/>
      <c r="I281" s="32" t="str">
        <f>IF(反映シート!$E$403="","OK",IF(AND(OR(反映シート!$E$403&gt;=反映シート!$B429,反映シート!$E$403="16以上"),反映シート!I429&lt;&gt;""),"OK",IF(反映シート!$E$403&lt;反映シート!$B429,"OK","NG")))</f>
        <v>OK</v>
      </c>
      <c r="J281" s="21"/>
      <c r="K281" s="32" t="str">
        <f>IF(反映シート!$E$403="","OK",IF(AND(OR(反映シート!$E$403&gt;=反映シート!$B429,反映シート!$E$403="16以上"),反映シート!K429&lt;&gt;""),"OK",IF(反映シート!$E$403&lt;反映シート!$B429,"OK","NG")))</f>
        <v>OK</v>
      </c>
      <c r="L281" s="4"/>
      <c r="M281" s="32" t="str">
        <f>IF(反映シート!$E$403="","OK",IF(AND(OR(反映シート!$E$403&gt;=反映シート!$B429,反映シート!$E$403="16以上"),反映シート!M429&lt;&gt;""),"OK",IF(反映シート!$E$403&lt;反映シート!$B429,"OK","NG")))</f>
        <v>OK</v>
      </c>
      <c r="N281" s="4"/>
      <c r="O281" s="32" t="str">
        <f>IF(反映シート!$E$403="","OK",IF(AND(OR(反映シート!$E$403&gt;=反映シート!$B429,反映シート!$E$403="16以上"),反映シート!O429&lt;&gt;""),"OK",IF(反映シート!$E$403&lt;反映シート!$B429,"OK","NG")))</f>
        <v>OK</v>
      </c>
      <c r="P281" s="4"/>
      <c r="Q281" s="32" t="str">
        <f>IF(反映シート!$E$403="","OK",IF(AND(OR(反映シート!$E$403&gt;=反映シート!$B429,反映シート!$E$403="16以上"),反映シート!Q429&lt;&gt;""),"OK",IF(反映シート!$E$403&lt;反映シート!$B429,"OK","NG")))</f>
        <v>OK</v>
      </c>
      <c r="R281" s="4"/>
      <c r="S281" s="17" t="str">
        <f>IF(C281="OK",1,2)&amp;IF(E281="OK",1,2)&amp;IF(G281="OK",1,2)&amp;IF(I281="OK",1,2)&amp;IF(K281="OK",1,2)&amp;IF(M281="OK",1,2)&amp;IF(O281="OK",1,2)&amp;IF(Q281="OK",1,2)</f>
        <v>11111111</v>
      </c>
      <c r="T281" s="4"/>
      <c r="U281" s="23"/>
      <c r="V281" s="23"/>
      <c r="W281" s="23"/>
      <c r="X281" s="42"/>
      <c r="Y281" s="23"/>
      <c r="Z281" s="23"/>
      <c r="AA281" s="23"/>
      <c r="AB281" s="23"/>
    </row>
    <row r="282" spans="1:28" ht="5.0999999999999996" customHeight="1" thickBot="1" x14ac:dyDescent="0.2">
      <c r="A282" s="23"/>
      <c r="B282" s="4"/>
      <c r="C282" s="13"/>
      <c r="D282" s="4"/>
      <c r="E282" s="77"/>
      <c r="F282" s="4"/>
      <c r="G282" s="4"/>
      <c r="H282" s="13"/>
      <c r="I282" s="4"/>
      <c r="J282" s="4"/>
      <c r="K282" s="4"/>
      <c r="L282" s="4"/>
      <c r="M282" s="4"/>
      <c r="N282" s="4"/>
      <c r="O282" s="4"/>
      <c r="P282" s="4"/>
      <c r="Q282" s="4"/>
      <c r="R282" s="4"/>
      <c r="S282" s="4"/>
      <c r="T282" s="4"/>
      <c r="U282" s="23"/>
      <c r="V282" s="23"/>
      <c r="W282" s="23"/>
      <c r="X282" s="42"/>
      <c r="Y282" s="23"/>
      <c r="Z282" s="23"/>
      <c r="AA282" s="23"/>
      <c r="AB282" s="23"/>
    </row>
    <row r="283" spans="1:28" ht="14.25" thickBot="1" x14ac:dyDescent="0.2">
      <c r="A283" s="23"/>
      <c r="B283" s="20">
        <v>12</v>
      </c>
      <c r="C283" s="32" t="str">
        <f>IF(反映シート!$E$403="","OK",IF(AND(OR(反映シート!$E$403&gt;=反映シート!$B431,反映シート!$E$403="16以上"),反映シート!C431&lt;&gt;""),"OK",IF(反映シート!$E$403&lt;反映シート!$B431,"OK","NG")))</f>
        <v>OK</v>
      </c>
      <c r="D283" s="4"/>
      <c r="E283" s="32" t="str">
        <f>IF(反映シート!$E$403="","OK",IF(AND(OR(反映シート!$E$403&gt;=反映シート!$B431,反映シート!$E$403="16以上"),反映シート!E431&lt;&gt;""),"OK",IF(反映シート!$E$403&lt;反映シート!$B431,"OK","NG")))</f>
        <v>OK</v>
      </c>
      <c r="F283" s="4"/>
      <c r="G283" s="32" t="str">
        <f>IF(反映シート!$E$403="","OK",IF(AND(OR(反映シート!$E$403&gt;=反映シート!$B431,反映シート!$E$403="16以上"),反映シート!G431&lt;&gt;""),"OK",IF(反映シート!$E$403&lt;反映シート!$B431,"OK","NG")))</f>
        <v>OK</v>
      </c>
      <c r="H283" s="13"/>
      <c r="I283" s="32" t="str">
        <f>IF(反映シート!$E$403="","OK",IF(AND(OR(反映シート!$E$403&gt;=反映シート!$B431,反映シート!$E$403="16以上"),反映シート!I431&lt;&gt;""),"OK",IF(反映シート!$E$403&lt;反映シート!$B431,"OK","NG")))</f>
        <v>OK</v>
      </c>
      <c r="J283" s="21"/>
      <c r="K283" s="32" t="str">
        <f>IF(反映シート!$E$403="","OK",IF(AND(OR(反映シート!$E$403&gt;=反映シート!$B431,反映シート!$E$403="16以上"),反映シート!K431&lt;&gt;""),"OK",IF(反映シート!$E$403&lt;反映シート!$B431,"OK","NG")))</f>
        <v>OK</v>
      </c>
      <c r="L283" s="4"/>
      <c r="M283" s="32" t="str">
        <f>IF(反映シート!$E$403="","OK",IF(AND(OR(反映シート!$E$403&gt;=反映シート!$B431,反映シート!$E$403="16以上"),反映シート!M431&lt;&gt;""),"OK",IF(反映シート!$E$403&lt;反映シート!$B431,"OK","NG")))</f>
        <v>OK</v>
      </c>
      <c r="N283" s="4"/>
      <c r="O283" s="32" t="str">
        <f>IF(反映シート!$E$403="","OK",IF(AND(OR(反映シート!$E$403&gt;=反映シート!$B431,反映シート!$E$403="16以上"),反映シート!O431&lt;&gt;""),"OK",IF(反映シート!$E$403&lt;反映シート!$B431,"OK","NG")))</f>
        <v>OK</v>
      </c>
      <c r="P283" s="4"/>
      <c r="Q283" s="32" t="str">
        <f>IF(反映シート!$E$403="","OK",IF(AND(OR(反映シート!$E$403&gt;=反映シート!$B431,反映シート!$E$403="16以上"),反映シート!Q431&lt;&gt;""),"OK",IF(反映シート!$E$403&lt;反映シート!$B431,"OK","NG")))</f>
        <v>OK</v>
      </c>
      <c r="R283" s="4"/>
      <c r="S283" s="17" t="str">
        <f>IF(C283="OK",1,2)&amp;IF(E283="OK",1,2)&amp;IF(G283="OK",1,2)&amp;IF(I283="OK",1,2)&amp;IF(K283="OK",1,2)&amp;IF(M283="OK",1,2)&amp;IF(O283="OK",1,2)&amp;IF(Q283="OK",1,2)</f>
        <v>11111111</v>
      </c>
      <c r="T283" s="4"/>
      <c r="U283" s="23"/>
      <c r="V283" s="23"/>
      <c r="W283" s="23"/>
      <c r="X283" s="42"/>
      <c r="Y283" s="23"/>
      <c r="Z283" s="23"/>
      <c r="AA283" s="23"/>
      <c r="AB283" s="23"/>
    </row>
    <row r="284" spans="1:28" ht="5.0999999999999996" customHeight="1" thickBot="1" x14ac:dyDescent="0.2">
      <c r="A284" s="23"/>
      <c r="B284" s="4"/>
      <c r="C284" s="13"/>
      <c r="D284" s="4"/>
      <c r="E284" s="77"/>
      <c r="F284" s="4"/>
      <c r="G284" s="4"/>
      <c r="H284" s="13"/>
      <c r="I284" s="4"/>
      <c r="J284" s="4"/>
      <c r="K284" s="4"/>
      <c r="L284" s="4"/>
      <c r="M284" s="4"/>
      <c r="N284" s="4"/>
      <c r="O284" s="4"/>
      <c r="P284" s="4"/>
      <c r="Q284" s="4"/>
      <c r="R284" s="4"/>
      <c r="S284" s="4"/>
      <c r="T284" s="4"/>
      <c r="U284" s="23"/>
      <c r="V284" s="23"/>
      <c r="W284" s="23"/>
      <c r="X284" s="42"/>
      <c r="Y284" s="23"/>
      <c r="Z284" s="23"/>
      <c r="AA284" s="23"/>
      <c r="AB284" s="23"/>
    </row>
    <row r="285" spans="1:28" ht="14.25" thickBot="1" x14ac:dyDescent="0.2">
      <c r="A285" s="23"/>
      <c r="B285" s="20">
        <v>13</v>
      </c>
      <c r="C285" s="32" t="str">
        <f>IF(反映シート!$E$403="","OK",IF(AND(OR(反映シート!$E$403&gt;=反映シート!$B433,反映シート!$E$403="16以上"),反映シート!C433&lt;&gt;""),"OK",IF(反映シート!$E$403&lt;反映シート!$B433,"OK","NG")))</f>
        <v>OK</v>
      </c>
      <c r="D285" s="4"/>
      <c r="E285" s="32" t="str">
        <f>IF(反映シート!$E$403="","OK",IF(AND(OR(反映シート!$E$403&gt;=反映シート!$B433,反映シート!$E$403="16以上"),反映シート!E433&lt;&gt;""),"OK",IF(反映シート!$E$403&lt;反映シート!$B433,"OK","NG")))</f>
        <v>OK</v>
      </c>
      <c r="F285" s="4"/>
      <c r="G285" s="32" t="str">
        <f>IF(反映シート!$E$403="","OK",IF(AND(OR(反映シート!$E$403&gt;=反映シート!$B433,反映シート!$E$403="16以上"),反映シート!G433&lt;&gt;""),"OK",IF(反映シート!$E$403&lt;反映シート!$B433,"OK","NG")))</f>
        <v>OK</v>
      </c>
      <c r="H285" s="13"/>
      <c r="I285" s="32" t="str">
        <f>IF(反映シート!$E$403="","OK",IF(AND(OR(反映シート!$E$403&gt;=反映シート!$B433,反映シート!$E$403="16以上"),反映シート!I433&lt;&gt;""),"OK",IF(反映シート!$E$403&lt;反映シート!$B433,"OK","NG")))</f>
        <v>OK</v>
      </c>
      <c r="J285" s="21"/>
      <c r="K285" s="32" t="str">
        <f>IF(反映シート!$E$403="","OK",IF(AND(OR(反映シート!$E$403&gt;=反映シート!$B433,反映シート!$E$403="16以上"),反映シート!K433&lt;&gt;""),"OK",IF(反映シート!$E$403&lt;反映シート!$B433,"OK","NG")))</f>
        <v>OK</v>
      </c>
      <c r="L285" s="4"/>
      <c r="M285" s="32" t="str">
        <f>IF(反映シート!$E$403="","OK",IF(AND(OR(反映シート!$E$403&gt;=反映シート!$B433,反映シート!$E$403="16以上"),反映シート!M433&lt;&gt;""),"OK",IF(反映シート!$E$403&lt;反映シート!$B433,"OK","NG")))</f>
        <v>OK</v>
      </c>
      <c r="N285" s="4"/>
      <c r="O285" s="32" t="str">
        <f>IF(反映シート!$E$403="","OK",IF(AND(OR(反映シート!$E$403&gt;=反映シート!$B433,反映シート!$E$403="16以上"),反映シート!O433&lt;&gt;""),"OK",IF(反映シート!$E$403&lt;反映シート!$B433,"OK","NG")))</f>
        <v>OK</v>
      </c>
      <c r="P285" s="4"/>
      <c r="Q285" s="32" t="str">
        <f>IF(反映シート!$E$403="","OK",IF(AND(OR(反映シート!$E$403&gt;=反映シート!$B433,反映シート!$E$403="16以上"),反映シート!Q433&lt;&gt;""),"OK",IF(反映シート!$E$403&lt;反映シート!$B433,"OK","NG")))</f>
        <v>OK</v>
      </c>
      <c r="R285" s="4"/>
      <c r="S285" s="17" t="str">
        <f>IF(C285="OK",1,2)&amp;IF(E285="OK",1,2)&amp;IF(G285="OK",1,2)&amp;IF(I285="OK",1,2)&amp;IF(K285="OK",1,2)&amp;IF(M285="OK",1,2)&amp;IF(O285="OK",1,2)&amp;IF(Q285="OK",1,2)</f>
        <v>11111111</v>
      </c>
      <c r="T285" s="4"/>
      <c r="U285" s="23"/>
      <c r="V285" s="23"/>
      <c r="W285" s="23"/>
      <c r="X285" s="42"/>
      <c r="Y285" s="23"/>
      <c r="Z285" s="23"/>
      <c r="AA285" s="23"/>
      <c r="AB285" s="23"/>
    </row>
    <row r="286" spans="1:28" ht="5.0999999999999996" customHeight="1" thickBot="1" x14ac:dyDescent="0.2">
      <c r="A286" s="23"/>
      <c r="B286" s="4"/>
      <c r="C286" s="13"/>
      <c r="D286" s="4"/>
      <c r="E286" s="77"/>
      <c r="F286" s="4"/>
      <c r="G286" s="4"/>
      <c r="H286" s="13"/>
      <c r="I286" s="4"/>
      <c r="J286" s="4"/>
      <c r="K286" s="4"/>
      <c r="L286" s="4"/>
      <c r="M286" s="4"/>
      <c r="N286" s="4"/>
      <c r="O286" s="4"/>
      <c r="P286" s="4"/>
      <c r="Q286" s="4"/>
      <c r="R286" s="4"/>
      <c r="S286" s="4"/>
      <c r="T286" s="4"/>
      <c r="U286" s="23"/>
      <c r="V286" s="23"/>
      <c r="W286" s="23"/>
      <c r="X286" s="42"/>
      <c r="Y286" s="23"/>
      <c r="Z286" s="23"/>
      <c r="AA286" s="23"/>
      <c r="AB286" s="23"/>
    </row>
    <row r="287" spans="1:28" ht="14.25" thickBot="1" x14ac:dyDescent="0.2">
      <c r="A287" s="23"/>
      <c r="B287" s="20">
        <v>14</v>
      </c>
      <c r="C287" s="32" t="str">
        <f>IF(反映シート!$E$403="","OK",IF(AND(OR(反映シート!$E$403&gt;=反映シート!$B435,反映シート!$E$403="16以上"),反映シート!C435&lt;&gt;""),"OK",IF(反映シート!$E$403&lt;反映シート!$B435,"OK","NG")))</f>
        <v>OK</v>
      </c>
      <c r="D287" s="4"/>
      <c r="E287" s="32" t="str">
        <f>IF(反映シート!$E$403="","OK",IF(AND(OR(反映シート!$E$403&gt;=反映シート!$B435,反映シート!$E$403="16以上"),反映シート!E435&lt;&gt;""),"OK",IF(反映シート!$E$403&lt;反映シート!$B435,"OK","NG")))</f>
        <v>OK</v>
      </c>
      <c r="F287" s="4"/>
      <c r="G287" s="32" t="str">
        <f>IF(反映シート!$E$403="","OK",IF(AND(OR(反映シート!$E$403&gt;=反映シート!$B435,反映シート!$E$403="16以上"),反映シート!G435&lt;&gt;""),"OK",IF(反映シート!$E$403&lt;反映シート!$B435,"OK","NG")))</f>
        <v>OK</v>
      </c>
      <c r="H287" s="13"/>
      <c r="I287" s="32" t="str">
        <f>IF(反映シート!$E$403="","OK",IF(AND(OR(反映シート!$E$403&gt;=反映シート!$B435,反映シート!$E$403="16以上"),反映シート!I435&lt;&gt;""),"OK",IF(反映シート!$E$403&lt;反映シート!$B435,"OK","NG")))</f>
        <v>OK</v>
      </c>
      <c r="J287" s="21"/>
      <c r="K287" s="32" t="str">
        <f>IF(反映シート!$E$403="","OK",IF(AND(OR(反映シート!$E$403&gt;=反映シート!$B435,反映シート!$E$403="16以上"),反映シート!K435&lt;&gt;""),"OK",IF(反映シート!$E$403&lt;反映シート!$B435,"OK","NG")))</f>
        <v>OK</v>
      </c>
      <c r="L287" s="4"/>
      <c r="M287" s="32" t="str">
        <f>IF(反映シート!$E$403="","OK",IF(AND(OR(反映シート!$E$403&gt;=反映シート!$B435,反映シート!$E$403="16以上"),反映シート!M435&lt;&gt;""),"OK",IF(反映シート!$E$403&lt;反映シート!$B435,"OK","NG")))</f>
        <v>OK</v>
      </c>
      <c r="N287" s="4"/>
      <c r="O287" s="32" t="str">
        <f>IF(反映シート!$E$403="","OK",IF(AND(OR(反映シート!$E$403&gt;=反映シート!$B435,反映シート!$E$403="16以上"),反映シート!O435&lt;&gt;""),"OK",IF(反映シート!$E$403&lt;反映シート!$B435,"OK","NG")))</f>
        <v>OK</v>
      </c>
      <c r="P287" s="4"/>
      <c r="Q287" s="32" t="str">
        <f>IF(反映シート!$E$403="","OK",IF(AND(OR(反映シート!$E$403&gt;=反映シート!$B435,反映シート!$E$403="16以上"),反映シート!Q435&lt;&gt;""),"OK",IF(反映シート!$E$403&lt;反映シート!$B435,"OK","NG")))</f>
        <v>OK</v>
      </c>
      <c r="R287" s="4"/>
      <c r="S287" s="17" t="str">
        <f>IF(C287="OK",1,2)&amp;IF(E287="OK",1,2)&amp;IF(G287="OK",1,2)&amp;IF(I287="OK",1,2)&amp;IF(K287="OK",1,2)&amp;IF(M287="OK",1,2)&amp;IF(O287="OK",1,2)&amp;IF(Q287="OK",1,2)</f>
        <v>11111111</v>
      </c>
      <c r="T287" s="4"/>
      <c r="U287" s="23"/>
      <c r="V287" s="23"/>
      <c r="W287" s="23"/>
      <c r="X287" s="42"/>
      <c r="Y287" s="23"/>
      <c r="Z287" s="23"/>
      <c r="AA287" s="23"/>
      <c r="AB287" s="23"/>
    </row>
    <row r="288" spans="1:28" ht="5.0999999999999996" customHeight="1" thickBot="1" x14ac:dyDescent="0.2">
      <c r="A288" s="23"/>
      <c r="B288" s="4"/>
      <c r="C288" s="13"/>
      <c r="D288" s="4"/>
      <c r="E288" s="77"/>
      <c r="F288" s="4"/>
      <c r="G288" s="4"/>
      <c r="H288" s="13"/>
      <c r="I288" s="4"/>
      <c r="J288" s="4"/>
      <c r="K288" s="4"/>
      <c r="L288" s="4"/>
      <c r="M288" s="4"/>
      <c r="N288" s="4"/>
      <c r="O288" s="4"/>
      <c r="P288" s="4"/>
      <c r="Q288" s="4"/>
      <c r="R288" s="4"/>
      <c r="S288" s="4"/>
      <c r="T288" s="4"/>
      <c r="U288" s="23"/>
      <c r="V288" s="23"/>
      <c r="W288" s="23"/>
      <c r="X288" s="42"/>
      <c r="Y288" s="23"/>
      <c r="Z288" s="23"/>
      <c r="AA288" s="23"/>
      <c r="AB288" s="23"/>
    </row>
    <row r="289" spans="1:28" ht="14.25" thickBot="1" x14ac:dyDescent="0.2">
      <c r="A289" s="23"/>
      <c r="B289" s="20">
        <v>15</v>
      </c>
      <c r="C289" s="32" t="str">
        <f>IF(反映シート!$E$403="","OK",IF(AND(OR(反映シート!$E$403&gt;=反映シート!$B437,反映シート!$E$403="16以上"),反映シート!C437&lt;&gt;""),"OK",IF(反映シート!$E$403&lt;反映シート!$B437,"OK","NG")))</f>
        <v>OK</v>
      </c>
      <c r="D289" s="4"/>
      <c r="E289" s="32" t="str">
        <f>IF(反映シート!$E$403="","OK",IF(AND(OR(反映シート!$E$403&gt;=反映シート!$B437,反映シート!$E$403="16以上"),反映シート!E437&lt;&gt;""),"OK",IF(反映シート!$E$403&lt;反映シート!$B437,"OK","NG")))</f>
        <v>OK</v>
      </c>
      <c r="F289" s="4"/>
      <c r="G289" s="32" t="str">
        <f>IF(反映シート!$E$403="","OK",IF(AND(OR(反映シート!$E$403&gt;=反映シート!$B437,反映シート!$E$403="16以上"),反映シート!G437&lt;&gt;""),"OK",IF(反映シート!$E$403&lt;反映シート!$B437,"OK","NG")))</f>
        <v>OK</v>
      </c>
      <c r="H289" s="13"/>
      <c r="I289" s="32" t="str">
        <f>IF(反映シート!$E$403="","OK",IF(AND(OR(反映シート!$E$403&gt;=反映シート!$B437,反映シート!$E$403="16以上"),反映シート!I437&lt;&gt;""),"OK",IF(反映シート!$E$403&lt;反映シート!$B437,"OK","NG")))</f>
        <v>OK</v>
      </c>
      <c r="J289" s="21"/>
      <c r="K289" s="32" t="str">
        <f>IF(反映シート!$E$403="","OK",IF(AND(OR(反映シート!$E$403&gt;=反映シート!$B437,反映シート!$E$403="16以上"),反映シート!K437&lt;&gt;""),"OK",IF(反映シート!$E$403&lt;反映シート!$B437,"OK","NG")))</f>
        <v>OK</v>
      </c>
      <c r="L289" s="4"/>
      <c r="M289" s="32" t="str">
        <f>IF(反映シート!$E$403="","OK",IF(AND(OR(反映シート!$E$403&gt;=反映シート!$B437,反映シート!$E$403="16以上"),反映シート!M437&lt;&gt;""),"OK",IF(反映シート!$E$403&lt;反映シート!$B437,"OK","NG")))</f>
        <v>OK</v>
      </c>
      <c r="N289" s="4"/>
      <c r="O289" s="32" t="str">
        <f>IF(反映シート!$E$403="","OK",IF(AND(OR(反映シート!$E$403&gt;=反映シート!$B437,反映シート!$E$403="16以上"),反映シート!O437&lt;&gt;""),"OK",IF(反映シート!$E$403&lt;反映シート!$B437,"OK","NG")))</f>
        <v>OK</v>
      </c>
      <c r="P289" s="4"/>
      <c r="Q289" s="32" t="str">
        <f>IF(反映シート!$E$403="","OK",IF(AND(OR(反映シート!$E$403&gt;=反映シート!$B437,反映シート!$E$403="16以上"),反映シート!Q437&lt;&gt;""),"OK",IF(反映シート!$E$403&lt;反映シート!$B437,"OK","NG")))</f>
        <v>OK</v>
      </c>
      <c r="R289" s="4"/>
      <c r="S289" s="17" t="str">
        <f>IF(C289="OK",1,2)&amp;IF(E289="OK",1,2)&amp;IF(G289="OK",1,2)&amp;IF(I289="OK",1,2)&amp;IF(K289="OK",1,2)&amp;IF(M289="OK",1,2)&amp;IF(O289="OK",1,2)&amp;IF(Q289="OK",1,2)</f>
        <v>11111111</v>
      </c>
      <c r="T289" s="4"/>
      <c r="U289" s="23"/>
      <c r="V289" s="23"/>
      <c r="W289" s="23"/>
      <c r="X289" s="42"/>
      <c r="Y289" s="23"/>
      <c r="Z289" s="23"/>
      <c r="AA289" s="23"/>
      <c r="AB289" s="23"/>
    </row>
    <row r="290" spans="1:28" ht="5.0999999999999996" customHeight="1" x14ac:dyDescent="0.15">
      <c r="A290" s="23"/>
      <c r="B290" s="4"/>
      <c r="C290" s="4"/>
      <c r="D290" s="4"/>
      <c r="E290" s="4"/>
      <c r="F290" s="4"/>
      <c r="G290" s="4"/>
      <c r="H290" s="4"/>
      <c r="I290" s="4"/>
      <c r="J290" s="4"/>
      <c r="K290" s="4"/>
      <c r="L290" s="4"/>
      <c r="M290" s="4"/>
      <c r="N290" s="4"/>
      <c r="O290" s="4"/>
      <c r="P290" s="4"/>
      <c r="Q290" s="4"/>
      <c r="R290" s="4"/>
      <c r="S290" s="4"/>
      <c r="T290" s="4"/>
      <c r="U290" s="23"/>
      <c r="V290" s="23"/>
      <c r="W290" s="23"/>
      <c r="X290" s="42"/>
      <c r="Y290" s="23"/>
      <c r="Z290" s="23"/>
      <c r="AA290" s="23"/>
      <c r="AB290" s="23"/>
    </row>
    <row r="291" spans="1:28" x14ac:dyDescent="0.15">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row>
    <row r="292" spans="1:28" ht="5.0999999999999996" customHeight="1" x14ac:dyDescent="0.15">
      <c r="A292" s="23"/>
      <c r="B292" s="2"/>
      <c r="C292" s="2"/>
      <c r="D292" s="2"/>
      <c r="E292" s="2"/>
      <c r="F292" s="2"/>
      <c r="G292" s="2"/>
      <c r="H292" s="2"/>
      <c r="I292" s="2"/>
      <c r="J292" s="2"/>
      <c r="K292" s="2"/>
      <c r="L292" s="2"/>
      <c r="M292" s="2"/>
      <c r="N292" s="2"/>
      <c r="O292" s="2"/>
      <c r="P292" s="2"/>
      <c r="Q292" s="2"/>
      <c r="R292" s="2"/>
      <c r="S292" s="2"/>
      <c r="T292" s="2"/>
      <c r="U292" s="23"/>
      <c r="V292" s="23"/>
      <c r="W292" s="23"/>
      <c r="X292" s="42"/>
      <c r="Y292" s="23"/>
      <c r="Z292" s="23"/>
      <c r="AA292" s="23"/>
      <c r="AB292" s="23"/>
    </row>
    <row r="293" spans="1:28" x14ac:dyDescent="0.15">
      <c r="A293" s="23"/>
      <c r="B293" s="30" t="s">
        <v>359</v>
      </c>
      <c r="C293" s="2"/>
      <c r="D293" s="2"/>
      <c r="E293" s="2"/>
      <c r="F293" s="2"/>
      <c r="G293" s="2"/>
      <c r="H293" s="2"/>
      <c r="I293" s="2"/>
      <c r="J293" s="2"/>
      <c r="K293" s="2"/>
      <c r="L293" s="2"/>
      <c r="M293" s="2"/>
      <c r="N293" s="2"/>
      <c r="O293" s="2"/>
      <c r="P293" s="2"/>
      <c r="Q293" s="2"/>
      <c r="R293" s="2"/>
      <c r="S293" s="2"/>
      <c r="T293" s="2"/>
      <c r="U293" s="23"/>
      <c r="V293" s="23"/>
      <c r="W293" s="23"/>
      <c r="X293" s="42"/>
      <c r="Y293" s="23"/>
      <c r="Z293" s="23"/>
      <c r="AA293" s="23"/>
      <c r="AB293" s="23"/>
    </row>
    <row r="294" spans="1:28" ht="5.0999999999999996" customHeight="1" thickBot="1" x14ac:dyDescent="0.2">
      <c r="A294" s="23"/>
      <c r="B294" s="2"/>
      <c r="C294" s="2"/>
      <c r="D294" s="2"/>
      <c r="E294" s="2"/>
      <c r="F294" s="2"/>
      <c r="G294" s="2"/>
      <c r="H294" s="2"/>
      <c r="I294" s="2"/>
      <c r="J294" s="2"/>
      <c r="K294" s="2"/>
      <c r="L294" s="2"/>
      <c r="M294" s="2"/>
      <c r="N294" s="2"/>
      <c r="O294" s="2"/>
      <c r="P294" s="2"/>
      <c r="Q294" s="2"/>
      <c r="R294" s="2"/>
      <c r="S294" s="2"/>
      <c r="T294" s="2"/>
      <c r="U294" s="23"/>
      <c r="V294" s="23"/>
      <c r="W294" s="23"/>
      <c r="X294" s="42"/>
      <c r="Y294" s="23"/>
      <c r="Z294" s="23"/>
      <c r="AA294" s="23"/>
      <c r="AB294" s="23"/>
    </row>
    <row r="295" spans="1:28" ht="14.25" thickBot="1" x14ac:dyDescent="0.2">
      <c r="A295" s="23"/>
      <c r="B295" s="2"/>
      <c r="C295" s="63" t="s">
        <v>86</v>
      </c>
      <c r="D295" s="63"/>
      <c r="E295" s="32" t="str">
        <f>IF(AND(反映シート!E15&lt;&gt;"なし",OR(AND(反映シート!E444&gt;=1,反映シート!E444&lt;=15),反映シート!E444="16以上")),"OK","NG")</f>
        <v>NG</v>
      </c>
      <c r="F295" s="63"/>
      <c r="G295" s="2"/>
      <c r="H295" s="2"/>
      <c r="I295" s="2"/>
      <c r="J295" s="2"/>
      <c r="K295" s="2"/>
      <c r="L295" s="2"/>
      <c r="M295" s="2"/>
      <c r="N295" s="2"/>
      <c r="O295" s="2"/>
      <c r="P295" s="2"/>
      <c r="Q295" s="2"/>
      <c r="R295" s="2"/>
      <c r="S295" s="2"/>
      <c r="T295" s="2"/>
      <c r="U295" s="23"/>
      <c r="V295" s="23"/>
      <c r="W295" s="23"/>
      <c r="X295" s="42" t="str">
        <f>IF(反映シート!$E$15&lt;&gt;"なし",IF(COUNTIF(C295:Q327,"NG")=0,"OK","NG"),"OK")</f>
        <v>OK</v>
      </c>
      <c r="Y295" s="23"/>
      <c r="Z295" s="23"/>
      <c r="AA295" s="23"/>
      <c r="AB295" s="23"/>
    </row>
    <row r="296" spans="1:28" ht="5.0999999999999996" customHeight="1" x14ac:dyDescent="0.15">
      <c r="A296" s="23"/>
      <c r="B296" s="2"/>
      <c r="C296" s="2"/>
      <c r="D296" s="2"/>
      <c r="E296" s="2"/>
      <c r="F296" s="2"/>
      <c r="G296" s="2"/>
      <c r="H296" s="2"/>
      <c r="I296" s="2"/>
      <c r="J296" s="2"/>
      <c r="K296" s="2"/>
      <c r="L296" s="2"/>
      <c r="M296" s="2"/>
      <c r="N296" s="2"/>
      <c r="O296" s="2"/>
      <c r="P296" s="2"/>
      <c r="Q296" s="2"/>
      <c r="R296" s="2"/>
      <c r="S296" s="2"/>
      <c r="T296" s="2"/>
      <c r="U296" s="23"/>
      <c r="V296" s="23"/>
      <c r="W296" s="23"/>
      <c r="X296" s="42"/>
      <c r="Y296" s="23"/>
      <c r="Z296" s="23"/>
      <c r="AA296" s="23"/>
      <c r="AB296" s="23"/>
    </row>
    <row r="297" spans="1:28" x14ac:dyDescent="0.15">
      <c r="A297" s="23"/>
      <c r="B297" s="2"/>
      <c r="C297" s="64" t="s">
        <v>87</v>
      </c>
      <c r="D297" s="2"/>
      <c r="E297" s="64" t="s">
        <v>129</v>
      </c>
      <c r="F297" s="2"/>
      <c r="G297" s="64" t="s">
        <v>130</v>
      </c>
      <c r="H297" s="64"/>
      <c r="I297" s="64" t="s">
        <v>131</v>
      </c>
      <c r="J297" s="2"/>
      <c r="K297" s="64" t="s">
        <v>116</v>
      </c>
      <c r="L297" s="2"/>
      <c r="M297" s="64" t="s">
        <v>117</v>
      </c>
      <c r="N297" s="2"/>
      <c r="O297" s="64" t="s">
        <v>132</v>
      </c>
      <c r="P297" s="64"/>
      <c r="Q297" s="64" t="s">
        <v>91</v>
      </c>
      <c r="R297" s="2"/>
      <c r="S297" s="2"/>
      <c r="T297" s="2"/>
      <c r="U297" s="23"/>
      <c r="V297" s="23"/>
      <c r="W297" s="23"/>
      <c r="X297" s="42"/>
      <c r="Y297" s="23"/>
      <c r="Z297" s="23"/>
      <c r="AA297" s="23"/>
      <c r="AB297" s="23"/>
    </row>
    <row r="298" spans="1:28" ht="5.0999999999999996" customHeight="1" thickBot="1" x14ac:dyDescent="0.2">
      <c r="A298" s="23"/>
      <c r="B298" s="2"/>
      <c r="C298" s="2"/>
      <c r="D298" s="2"/>
      <c r="E298" s="2"/>
      <c r="F298" s="2"/>
      <c r="G298" s="2"/>
      <c r="H298" s="64"/>
      <c r="I298" s="2"/>
      <c r="J298" s="2"/>
      <c r="K298" s="2"/>
      <c r="L298" s="2"/>
      <c r="M298" s="2"/>
      <c r="N298" s="2"/>
      <c r="O298" s="2"/>
      <c r="P298" s="2"/>
      <c r="Q298" s="2"/>
      <c r="R298" s="2"/>
      <c r="S298" s="2"/>
      <c r="T298" s="2"/>
      <c r="U298" s="23"/>
      <c r="V298" s="23"/>
      <c r="W298" s="23"/>
      <c r="X298" s="42"/>
      <c r="Y298" s="23"/>
      <c r="Z298" s="23"/>
      <c r="AA298" s="23"/>
      <c r="AB298" s="23"/>
    </row>
    <row r="299" spans="1:28" ht="14.25" thickBot="1" x14ac:dyDescent="0.2">
      <c r="A299" s="23"/>
      <c r="B299" s="16">
        <v>1</v>
      </c>
      <c r="C299" s="32" t="str">
        <f>IF(反映シート!$E$444="","OK",IF(AND(OR(反映シート!$E$444&gt;=反映シート!$B450,反映シート!$E$444="16以上"),反映シート!C450&lt;&gt;""),"OK",IF(反映シート!$E$444&lt;反映シート!$B450,"OK","NG")))</f>
        <v>OK</v>
      </c>
      <c r="D299" s="2"/>
      <c r="E299" s="32" t="str">
        <f>IF(反映シート!$E$444="","OK",IF(AND(OR(反映シート!$E$444&gt;=反映シート!$B450,反映シート!$E$444="16以上"),反映シート!E450&lt;&gt;""),"OK",IF(反映シート!$E$444&lt;反映シート!$B450,"OK","NG")))</f>
        <v>OK</v>
      </c>
      <c r="F299" s="64"/>
      <c r="G299" s="32" t="str">
        <f>IF(反映シート!$E$444="","OK",IF(AND(OR(反映シート!$E$444&gt;=反映シート!$B450,反映シート!$E$444="16以上"),反映シート!G450&lt;&gt;""),"OK",IF(反映シート!$E$444&lt;反映シート!$B450,"OK","NG")))</f>
        <v>OK</v>
      </c>
      <c r="H299" s="64"/>
      <c r="I299" s="32" t="str">
        <f>IF(反映シート!$E$444="","OK",IF(AND(OR(反映シート!$E$444&gt;=反映シート!$B450,反映シート!$E$444="16以上"),反映シート!I450&lt;&gt;""),"OK",IF(反映シート!$E$444&lt;反映シート!$B450,"OK","NG")))</f>
        <v>OK</v>
      </c>
      <c r="J299" s="64"/>
      <c r="K299" s="32" t="str">
        <f>IF(反映シート!$E$444="","OK",IF(AND(OR(反映シート!$E$444&gt;=反映シート!$B450,反映シート!$E$444="16以上"),反映シート!K450&lt;&gt;""),"OK",IF(反映シート!$E$444&lt;反映シート!$B450,"OK","NG")))</f>
        <v>OK</v>
      </c>
      <c r="L299" s="64"/>
      <c r="M299" s="32" t="str">
        <f>IF(反映シート!$E$444="","OK",IF(AND(OR(反映シート!$E$444&gt;=反映シート!$B450,反映シート!$E$444="16以上"),反映シート!M450&lt;&gt;""),"OK",IF(反映シート!$E$444&lt;反映シート!$B450,"OK","NG")))</f>
        <v>OK</v>
      </c>
      <c r="N299" s="64"/>
      <c r="O299" s="32" t="str">
        <f>IF(反映シート!$E$444="","OK",IF(AND(OR(反映シート!$E$444&gt;=反映シート!$B450,反映シート!$E$444="16以上"),反映シート!O450&lt;&gt;""),"OK",IF(反映シート!$E$444&lt;反映シート!$B450,"OK","NG")))</f>
        <v>OK</v>
      </c>
      <c r="P299" s="64"/>
      <c r="Q299" s="32" t="str">
        <f>IF(反映シート!$E$444="","OK",IF(AND(OR(反映シート!$E$444&gt;=反映シート!$B450,反映シート!$E$444="16以上"),反映シート!Q450&lt;&gt;""),"OK",IF(反映シート!$E$444&lt;反映シート!$B450,"OK","NG")))</f>
        <v>OK</v>
      </c>
      <c r="R299" s="2"/>
      <c r="S299" s="17" t="str">
        <f>IF(C299="OK",1,2)&amp;IF(E299="OK",1,2)&amp;IF(G299="OK",1,2)&amp;IF(I299="OK",1,2)&amp;IF(K299="OK",1,2)&amp;IF(M299="OK",1,2)&amp;IF(O299="OK",1,2)&amp;IF(Q299="OK",1,2)</f>
        <v>11111111</v>
      </c>
      <c r="T299" s="2"/>
      <c r="U299" s="23"/>
      <c r="V299" s="23"/>
      <c r="W299" s="23"/>
      <c r="X299" s="42"/>
      <c r="Y299" s="23"/>
      <c r="Z299" s="23"/>
      <c r="AA299" s="23"/>
      <c r="AB299" s="23"/>
    </row>
    <row r="300" spans="1:28" ht="5.0999999999999996" customHeight="1" thickBot="1" x14ac:dyDescent="0.2">
      <c r="A300" s="23"/>
      <c r="B300" s="2"/>
      <c r="C300" s="64"/>
      <c r="D300" s="2"/>
      <c r="E300" s="64"/>
      <c r="F300" s="64"/>
      <c r="G300" s="64"/>
      <c r="H300" s="64"/>
      <c r="I300" s="64"/>
      <c r="J300" s="64"/>
      <c r="K300" s="64"/>
      <c r="L300" s="64"/>
      <c r="M300" s="64"/>
      <c r="N300" s="64"/>
      <c r="O300" s="64"/>
      <c r="P300" s="64"/>
      <c r="Q300" s="64"/>
      <c r="R300" s="2"/>
      <c r="S300" s="2"/>
      <c r="T300" s="2"/>
      <c r="U300" s="23"/>
      <c r="V300" s="23"/>
      <c r="W300" s="23"/>
      <c r="X300" s="42"/>
      <c r="Y300" s="23"/>
      <c r="Z300" s="23"/>
      <c r="AA300" s="23"/>
      <c r="AB300" s="23"/>
    </row>
    <row r="301" spans="1:28" ht="14.25" thickBot="1" x14ac:dyDescent="0.2">
      <c r="A301" s="23"/>
      <c r="B301" s="16">
        <v>2</v>
      </c>
      <c r="C301" s="32" t="str">
        <f>IF(反映シート!$E$444="","OK",IF(AND(OR(反映シート!$E$444&gt;=反映シート!$B452,反映シート!$E$444="16以上"),反映シート!C452&lt;&gt;""),"OK",IF(反映シート!$E$444&lt;反映シート!$B452,"OK","NG")))</f>
        <v>OK</v>
      </c>
      <c r="D301" s="2"/>
      <c r="E301" s="32" t="str">
        <f>IF(反映シート!$E$444="","OK",IF(AND(OR(反映シート!$E$444&gt;=反映シート!$B452,反映シート!$E$444="16以上"),反映シート!E452&lt;&gt;""),"OK",IF(反映シート!$E$444&lt;反映シート!$B452,"OK","NG")))</f>
        <v>OK</v>
      </c>
      <c r="F301" s="64"/>
      <c r="G301" s="32" t="str">
        <f>IF(反映シート!$E$444="","OK",IF(AND(OR(反映シート!$E$444&gt;=反映シート!$B452,反映シート!$E$444="16以上"),反映シート!G452&lt;&gt;""),"OK",IF(反映シート!$E$444&lt;反映シート!$B452,"OK","NG")))</f>
        <v>OK</v>
      </c>
      <c r="H301" s="64"/>
      <c r="I301" s="32" t="str">
        <f>IF(反映シート!$E$444="","OK",IF(AND(OR(反映シート!$E$444&gt;=反映シート!$B452,反映シート!$E$444="16以上"),反映シート!I452&lt;&gt;""),"OK",IF(反映シート!$E$444&lt;反映シート!$B452,"OK","NG")))</f>
        <v>OK</v>
      </c>
      <c r="J301" s="64"/>
      <c r="K301" s="32" t="str">
        <f>IF(反映シート!$E$444="","OK",IF(AND(OR(反映シート!$E$444&gt;=反映シート!$B452,反映シート!$E$444="16以上"),反映シート!K452&lt;&gt;""),"OK",IF(反映シート!$E$444&lt;反映シート!$B452,"OK","NG")))</f>
        <v>OK</v>
      </c>
      <c r="L301" s="64"/>
      <c r="M301" s="32" t="str">
        <f>IF(反映シート!$E$444="","OK",IF(AND(OR(反映シート!$E$444&gt;=反映シート!$B452,反映シート!$E$444="16以上"),反映シート!M452&lt;&gt;""),"OK",IF(反映シート!$E$444&lt;反映シート!$B452,"OK","NG")))</f>
        <v>OK</v>
      </c>
      <c r="N301" s="64"/>
      <c r="O301" s="32" t="str">
        <f>IF(反映シート!$E$444="","OK",IF(AND(OR(反映シート!$E$444&gt;=反映シート!$B452,反映シート!$E$444="16以上"),反映シート!O452&lt;&gt;""),"OK",IF(反映シート!$E$444&lt;反映シート!$B452,"OK","NG")))</f>
        <v>OK</v>
      </c>
      <c r="P301" s="64"/>
      <c r="Q301" s="32" t="str">
        <f>IF(反映シート!$E$444="","OK",IF(AND(OR(反映シート!$E$444&gt;=反映シート!$B452,反映シート!$E$444="16以上"),反映シート!Q452&lt;&gt;""),"OK",IF(反映シート!$E$444&lt;反映シート!$B452,"OK","NG")))</f>
        <v>OK</v>
      </c>
      <c r="R301" s="2"/>
      <c r="S301" s="17" t="str">
        <f>IF(C301="OK",1,2)&amp;IF(E301="OK",1,2)&amp;IF(G301="OK",1,2)&amp;IF(I301="OK",1,2)&amp;IF(K301="OK",1,2)&amp;IF(M301="OK",1,2)&amp;IF(O301="OK",1,2)&amp;IF(Q301="OK",1,2)</f>
        <v>11111111</v>
      </c>
      <c r="T301" s="2"/>
      <c r="U301" s="23"/>
      <c r="V301" s="23"/>
      <c r="W301" s="23"/>
      <c r="X301" s="42"/>
      <c r="Y301" s="23"/>
      <c r="Z301" s="23"/>
      <c r="AA301" s="23"/>
      <c r="AB301" s="23"/>
    </row>
    <row r="302" spans="1:28" ht="5.0999999999999996" customHeight="1" thickBot="1" x14ac:dyDescent="0.2">
      <c r="A302" s="23"/>
      <c r="B302" s="2"/>
      <c r="C302" s="64"/>
      <c r="D302" s="64"/>
      <c r="E302" s="64"/>
      <c r="F302" s="64"/>
      <c r="G302" s="64"/>
      <c r="H302" s="64"/>
      <c r="I302" s="64"/>
      <c r="J302" s="64"/>
      <c r="K302" s="64"/>
      <c r="L302" s="64"/>
      <c r="M302" s="64"/>
      <c r="N302" s="64"/>
      <c r="O302" s="64"/>
      <c r="P302" s="64"/>
      <c r="Q302" s="64"/>
      <c r="R302" s="2"/>
      <c r="S302" s="2"/>
      <c r="T302" s="2"/>
      <c r="U302" s="23"/>
      <c r="V302" s="23"/>
      <c r="W302" s="23"/>
      <c r="X302" s="42"/>
      <c r="Y302" s="23"/>
      <c r="Z302" s="23"/>
      <c r="AA302" s="23"/>
      <c r="AB302" s="23"/>
    </row>
    <row r="303" spans="1:28" ht="14.25" thickBot="1" x14ac:dyDescent="0.2">
      <c r="A303" s="23"/>
      <c r="B303" s="16">
        <v>3</v>
      </c>
      <c r="C303" s="32" t="str">
        <f>IF(反映シート!$E$444="","OK",IF(AND(OR(反映シート!$E$444&gt;=反映シート!$B454,反映シート!$E$444="16以上"),反映シート!C454&lt;&gt;""),"OK",IF(反映シート!$E$444&lt;反映シート!$B454,"OK","NG")))</f>
        <v>OK</v>
      </c>
      <c r="D303" s="2"/>
      <c r="E303" s="32" t="str">
        <f>IF(反映シート!$E$444="","OK",IF(AND(OR(反映シート!$E$444&gt;=反映シート!$B454,反映シート!$E$444="16以上"),反映シート!E454&lt;&gt;""),"OK",IF(反映シート!$E$444&lt;反映シート!$B454,"OK","NG")))</f>
        <v>OK</v>
      </c>
      <c r="F303" s="64"/>
      <c r="G303" s="32" t="str">
        <f>IF(反映シート!$E$444="","OK",IF(AND(OR(反映シート!$E$444&gt;=反映シート!$B454,反映シート!$E$444="16以上"),反映シート!G454&lt;&gt;""),"OK",IF(反映シート!$E$444&lt;反映シート!$B454,"OK","NG")))</f>
        <v>OK</v>
      </c>
      <c r="H303" s="64"/>
      <c r="I303" s="32" t="str">
        <f>IF(反映シート!$E$444="","OK",IF(AND(OR(反映シート!$E$444&gt;=反映シート!$B454,反映シート!$E$444="16以上"),反映シート!I454&lt;&gt;""),"OK",IF(反映シート!$E$444&lt;反映シート!$B454,"OK","NG")))</f>
        <v>OK</v>
      </c>
      <c r="J303" s="64"/>
      <c r="K303" s="32" t="str">
        <f>IF(反映シート!$E$444="","OK",IF(AND(OR(反映シート!$E$444&gt;=反映シート!$B454,反映シート!$E$444="16以上"),反映シート!K454&lt;&gt;""),"OK",IF(反映シート!$E$444&lt;反映シート!$B454,"OK","NG")))</f>
        <v>OK</v>
      </c>
      <c r="L303" s="64"/>
      <c r="M303" s="32" t="str">
        <f>IF(反映シート!$E$444="","OK",IF(AND(OR(反映シート!$E$444&gt;=反映シート!$B454,反映シート!$E$444="16以上"),反映シート!M454&lt;&gt;""),"OK",IF(反映シート!$E$444&lt;反映シート!$B454,"OK","NG")))</f>
        <v>OK</v>
      </c>
      <c r="N303" s="64"/>
      <c r="O303" s="32" t="str">
        <f>IF(反映シート!$E$444="","OK",IF(AND(OR(反映シート!$E$444&gt;=反映シート!$B454,反映シート!$E$444="16以上"),反映シート!O454&lt;&gt;""),"OK",IF(反映シート!$E$444&lt;反映シート!$B454,"OK","NG")))</f>
        <v>OK</v>
      </c>
      <c r="P303" s="64"/>
      <c r="Q303" s="32" t="str">
        <f>IF(反映シート!$E$444="","OK",IF(AND(OR(反映シート!$E$444&gt;=反映シート!$B454,反映シート!$E$444="16以上"),反映シート!Q454&lt;&gt;""),"OK",IF(反映シート!$E$444&lt;反映シート!$B454,"OK","NG")))</f>
        <v>OK</v>
      </c>
      <c r="R303" s="2"/>
      <c r="S303" s="17" t="str">
        <f>IF(C303="OK",1,2)&amp;IF(E303="OK",1,2)&amp;IF(G303="OK",1,2)&amp;IF(I303="OK",1,2)&amp;IF(K303="OK",1,2)&amp;IF(M303="OK",1,2)&amp;IF(O303="OK",1,2)&amp;IF(Q303="OK",1,2)</f>
        <v>11111111</v>
      </c>
      <c r="T303" s="2"/>
      <c r="U303" s="23"/>
      <c r="V303" s="23"/>
      <c r="W303" s="23"/>
      <c r="X303" s="42"/>
      <c r="Y303" s="23"/>
      <c r="Z303" s="23"/>
      <c r="AA303" s="23"/>
      <c r="AB303" s="23"/>
    </row>
    <row r="304" spans="1:28" ht="5.0999999999999996" customHeight="1" thickBot="1" x14ac:dyDescent="0.2">
      <c r="A304" s="23"/>
      <c r="B304" s="2"/>
      <c r="C304" s="64"/>
      <c r="D304" s="64"/>
      <c r="E304" s="64"/>
      <c r="F304" s="64"/>
      <c r="G304" s="64"/>
      <c r="H304" s="64"/>
      <c r="I304" s="64"/>
      <c r="J304" s="64"/>
      <c r="K304" s="64"/>
      <c r="L304" s="64"/>
      <c r="M304" s="64"/>
      <c r="N304" s="64"/>
      <c r="O304" s="64"/>
      <c r="P304" s="64"/>
      <c r="Q304" s="64"/>
      <c r="R304" s="2"/>
      <c r="S304" s="2"/>
      <c r="T304" s="2"/>
      <c r="U304" s="23"/>
      <c r="V304" s="23"/>
      <c r="W304" s="23"/>
      <c r="X304" s="42"/>
      <c r="Y304" s="23"/>
      <c r="Z304" s="23"/>
      <c r="AA304" s="23"/>
      <c r="AB304" s="23"/>
    </row>
    <row r="305" spans="1:28" ht="14.25" thickBot="1" x14ac:dyDescent="0.2">
      <c r="A305" s="23"/>
      <c r="B305" s="16">
        <v>4</v>
      </c>
      <c r="C305" s="32" t="str">
        <f>IF(反映シート!$E$444="","OK",IF(AND(OR(反映シート!$E$444&gt;=反映シート!$B456,反映シート!$E$444="16以上"),反映シート!C456&lt;&gt;""),"OK",IF(反映シート!$E$444&lt;反映シート!$B456,"OK","NG")))</f>
        <v>OK</v>
      </c>
      <c r="D305" s="2"/>
      <c r="E305" s="32" t="str">
        <f>IF(反映シート!$E$444="","OK",IF(AND(OR(反映シート!$E$444&gt;=反映シート!$B456,反映シート!$E$444="16以上"),反映シート!E456&lt;&gt;""),"OK",IF(反映シート!$E$444&lt;反映シート!$B456,"OK","NG")))</f>
        <v>OK</v>
      </c>
      <c r="F305" s="64"/>
      <c r="G305" s="32" t="str">
        <f>IF(反映シート!$E$444="","OK",IF(AND(OR(反映シート!$E$444&gt;=反映シート!$B456,反映シート!$E$444="16以上"),反映シート!G456&lt;&gt;""),"OK",IF(反映シート!$E$444&lt;反映シート!$B456,"OK","NG")))</f>
        <v>OK</v>
      </c>
      <c r="H305" s="64"/>
      <c r="I305" s="32" t="str">
        <f>IF(反映シート!$E$444="","OK",IF(AND(OR(反映シート!$E$444&gt;=反映シート!$B456,反映シート!$E$444="16以上"),反映シート!I456&lt;&gt;""),"OK",IF(反映シート!$E$444&lt;反映シート!$B456,"OK","NG")))</f>
        <v>OK</v>
      </c>
      <c r="J305" s="64"/>
      <c r="K305" s="32" t="str">
        <f>IF(反映シート!$E$444="","OK",IF(AND(OR(反映シート!$E$444&gt;=反映シート!$B456,反映シート!$E$444="16以上"),反映シート!K456&lt;&gt;""),"OK",IF(反映シート!$E$444&lt;反映シート!$B456,"OK","NG")))</f>
        <v>OK</v>
      </c>
      <c r="L305" s="64"/>
      <c r="M305" s="32" t="str">
        <f>IF(反映シート!$E$444="","OK",IF(AND(OR(反映シート!$E$444&gt;=反映シート!$B456,反映シート!$E$444="16以上"),反映シート!M456&lt;&gt;""),"OK",IF(反映シート!$E$444&lt;反映シート!$B456,"OK","NG")))</f>
        <v>OK</v>
      </c>
      <c r="N305" s="64"/>
      <c r="O305" s="32" t="str">
        <f>IF(反映シート!$E$444="","OK",IF(AND(OR(反映シート!$E$444&gt;=反映シート!$B456,反映シート!$E$444="16以上"),反映シート!O456&lt;&gt;""),"OK",IF(反映シート!$E$444&lt;反映シート!$B456,"OK","NG")))</f>
        <v>OK</v>
      </c>
      <c r="P305" s="64"/>
      <c r="Q305" s="32" t="str">
        <f>IF(反映シート!$E$444="","OK",IF(AND(OR(反映シート!$E$444&gt;=反映シート!$B456,反映シート!$E$444="16以上"),反映シート!Q456&lt;&gt;""),"OK",IF(反映シート!$E$444&lt;反映シート!$B456,"OK","NG")))</f>
        <v>OK</v>
      </c>
      <c r="R305" s="2"/>
      <c r="S305" s="17" t="str">
        <f>IF(C305="OK",1,2)&amp;IF(E305="OK",1,2)&amp;IF(G305="OK",1,2)&amp;IF(I305="OK",1,2)&amp;IF(K305="OK",1,2)&amp;IF(M305="OK",1,2)&amp;IF(O305="OK",1,2)&amp;IF(Q305="OK",1,2)</f>
        <v>11111111</v>
      </c>
      <c r="T305" s="2"/>
      <c r="U305" s="23"/>
      <c r="V305" s="23"/>
      <c r="W305" s="23"/>
      <c r="X305" s="42"/>
      <c r="Y305" s="23"/>
      <c r="Z305" s="23"/>
      <c r="AA305" s="23"/>
      <c r="AB305" s="23"/>
    </row>
    <row r="306" spans="1:28" ht="5.0999999999999996" customHeight="1" thickBot="1" x14ac:dyDescent="0.2">
      <c r="A306" s="23"/>
      <c r="B306" s="2"/>
      <c r="C306" s="64"/>
      <c r="D306" s="64"/>
      <c r="E306" s="64"/>
      <c r="F306" s="64"/>
      <c r="G306" s="64"/>
      <c r="H306" s="64"/>
      <c r="I306" s="64"/>
      <c r="J306" s="64"/>
      <c r="K306" s="64"/>
      <c r="L306" s="64"/>
      <c r="M306" s="64"/>
      <c r="N306" s="64"/>
      <c r="O306" s="64"/>
      <c r="P306" s="64"/>
      <c r="Q306" s="64"/>
      <c r="R306" s="2"/>
      <c r="S306" s="2"/>
      <c r="T306" s="2"/>
      <c r="U306" s="23"/>
      <c r="V306" s="23"/>
      <c r="W306" s="23"/>
      <c r="X306" s="42"/>
      <c r="Y306" s="23"/>
      <c r="Z306" s="23"/>
      <c r="AA306" s="23"/>
      <c r="AB306" s="23"/>
    </row>
    <row r="307" spans="1:28" ht="14.25" thickBot="1" x14ac:dyDescent="0.2">
      <c r="A307" s="23"/>
      <c r="B307" s="16">
        <v>5</v>
      </c>
      <c r="C307" s="32" t="str">
        <f>IF(反映シート!$E$444="","OK",IF(AND(OR(反映シート!$E$444&gt;=反映シート!$B458,反映シート!$E$444="16以上"),反映シート!C458&lt;&gt;""),"OK",IF(反映シート!$E$444&lt;反映シート!$B458,"OK","NG")))</f>
        <v>OK</v>
      </c>
      <c r="D307" s="2"/>
      <c r="E307" s="32" t="str">
        <f>IF(反映シート!$E$444="","OK",IF(AND(OR(反映シート!$E$444&gt;=反映シート!$B458,反映シート!$E$444="16以上"),反映シート!E458&lt;&gt;""),"OK",IF(反映シート!$E$444&lt;反映シート!$B458,"OK","NG")))</f>
        <v>OK</v>
      </c>
      <c r="F307" s="64"/>
      <c r="G307" s="32" t="str">
        <f>IF(反映シート!$E$444="","OK",IF(AND(OR(反映シート!$E$444&gt;=反映シート!$B458,反映シート!$E$444="16以上"),反映シート!G458&lt;&gt;""),"OK",IF(反映シート!$E$444&lt;反映シート!$B458,"OK","NG")))</f>
        <v>OK</v>
      </c>
      <c r="H307" s="64"/>
      <c r="I307" s="32" t="str">
        <f>IF(反映シート!$E$444="","OK",IF(AND(OR(反映シート!$E$444&gt;=反映シート!$B458,反映シート!$E$444="16以上"),反映シート!I458&lt;&gt;""),"OK",IF(反映シート!$E$444&lt;反映シート!$B458,"OK","NG")))</f>
        <v>OK</v>
      </c>
      <c r="J307" s="64"/>
      <c r="K307" s="32" t="str">
        <f>IF(反映シート!$E$444="","OK",IF(AND(OR(反映シート!$E$444&gt;=反映シート!$B458,反映シート!$E$444="16以上"),反映シート!K458&lt;&gt;""),"OK",IF(反映シート!$E$444&lt;反映シート!$B458,"OK","NG")))</f>
        <v>OK</v>
      </c>
      <c r="L307" s="64"/>
      <c r="M307" s="32" t="str">
        <f>IF(反映シート!$E$444="","OK",IF(AND(OR(反映シート!$E$444&gt;=反映シート!$B458,反映シート!$E$444="16以上"),反映シート!M458&lt;&gt;""),"OK",IF(反映シート!$E$444&lt;反映シート!$B458,"OK","NG")))</f>
        <v>OK</v>
      </c>
      <c r="N307" s="64"/>
      <c r="O307" s="32" t="str">
        <f>IF(反映シート!$E$444="","OK",IF(AND(OR(反映シート!$E$444&gt;=反映シート!$B458,反映シート!$E$444="16以上"),反映シート!O458&lt;&gt;""),"OK",IF(反映シート!$E$444&lt;反映シート!$B458,"OK","NG")))</f>
        <v>OK</v>
      </c>
      <c r="P307" s="64"/>
      <c r="Q307" s="32" t="str">
        <f>IF(反映シート!$E$444="","OK",IF(AND(OR(反映シート!$E$444&gt;=反映シート!$B458,反映シート!$E$444="16以上"),反映シート!Q458&lt;&gt;""),"OK",IF(反映シート!$E$444&lt;反映シート!$B458,"OK","NG")))</f>
        <v>OK</v>
      </c>
      <c r="R307" s="2"/>
      <c r="S307" s="17" t="str">
        <f>IF(C307="OK",1,2)&amp;IF(E307="OK",1,2)&amp;IF(G307="OK",1,2)&amp;IF(I307="OK",1,2)&amp;IF(K307="OK",1,2)&amp;IF(M307="OK",1,2)&amp;IF(O307="OK",1,2)&amp;IF(Q307="OK",1,2)</f>
        <v>11111111</v>
      </c>
      <c r="T307" s="2"/>
      <c r="U307" s="23"/>
      <c r="V307" s="23"/>
      <c r="W307" s="23"/>
      <c r="X307" s="42"/>
      <c r="Y307" s="23"/>
      <c r="Z307" s="23"/>
      <c r="AA307" s="23"/>
      <c r="AB307" s="23"/>
    </row>
    <row r="308" spans="1:28" ht="5.0999999999999996" customHeight="1" thickBot="1" x14ac:dyDescent="0.2">
      <c r="A308" s="23"/>
      <c r="B308" s="2"/>
      <c r="C308" s="64"/>
      <c r="D308" s="64"/>
      <c r="E308" s="64"/>
      <c r="F308" s="64"/>
      <c r="G308" s="64"/>
      <c r="H308" s="64"/>
      <c r="I308" s="64"/>
      <c r="J308" s="64"/>
      <c r="K308" s="64"/>
      <c r="L308" s="64"/>
      <c r="M308" s="64"/>
      <c r="N308" s="64"/>
      <c r="O308" s="64"/>
      <c r="P308" s="64"/>
      <c r="Q308" s="64"/>
      <c r="R308" s="2"/>
      <c r="S308" s="2"/>
      <c r="T308" s="2"/>
      <c r="U308" s="23"/>
      <c r="V308" s="23"/>
      <c r="W308" s="23"/>
      <c r="X308" s="42"/>
      <c r="Y308" s="23"/>
      <c r="Z308" s="23"/>
      <c r="AA308" s="23"/>
      <c r="AB308" s="23"/>
    </row>
    <row r="309" spans="1:28" ht="14.25" thickBot="1" x14ac:dyDescent="0.2">
      <c r="A309" s="23"/>
      <c r="B309" s="16">
        <v>6</v>
      </c>
      <c r="C309" s="32" t="str">
        <f>IF(反映シート!$E$444="","OK",IF(AND(OR(反映シート!$E$444&gt;=反映シート!$B460,反映シート!$E$444="16以上"),反映シート!C460&lt;&gt;""),"OK",IF(反映シート!$E$444&lt;反映シート!$B460,"OK","NG")))</f>
        <v>OK</v>
      </c>
      <c r="D309" s="2"/>
      <c r="E309" s="32" t="str">
        <f>IF(反映シート!$E$444="","OK",IF(AND(OR(反映シート!$E$444&gt;=反映シート!$B460,反映シート!$E$444="16以上"),反映シート!E460&lt;&gt;""),"OK",IF(反映シート!$E$444&lt;反映シート!$B460,"OK","NG")))</f>
        <v>OK</v>
      </c>
      <c r="F309" s="64"/>
      <c r="G309" s="32" t="str">
        <f>IF(反映シート!$E$444="","OK",IF(AND(OR(反映シート!$E$444&gt;=反映シート!$B460,反映シート!$E$444="16以上"),反映シート!G460&lt;&gt;""),"OK",IF(反映シート!$E$444&lt;反映シート!$B460,"OK","NG")))</f>
        <v>OK</v>
      </c>
      <c r="H309" s="64"/>
      <c r="I309" s="32" t="str">
        <f>IF(反映シート!$E$444="","OK",IF(AND(OR(反映シート!$E$444&gt;=反映シート!$B460,反映シート!$E$444="16以上"),反映シート!I460&lt;&gt;""),"OK",IF(反映シート!$E$444&lt;反映シート!$B460,"OK","NG")))</f>
        <v>OK</v>
      </c>
      <c r="J309" s="64"/>
      <c r="K309" s="32" t="str">
        <f>IF(反映シート!$E$444="","OK",IF(AND(OR(反映シート!$E$444&gt;=反映シート!$B460,反映シート!$E$444="16以上"),反映シート!K460&lt;&gt;""),"OK",IF(反映シート!$E$444&lt;反映シート!$B460,"OK","NG")))</f>
        <v>OK</v>
      </c>
      <c r="L309" s="64"/>
      <c r="M309" s="32" t="str">
        <f>IF(反映シート!$E$444="","OK",IF(AND(OR(反映シート!$E$444&gt;=反映シート!$B460,反映シート!$E$444="16以上"),反映シート!M460&lt;&gt;""),"OK",IF(反映シート!$E$444&lt;反映シート!$B460,"OK","NG")))</f>
        <v>OK</v>
      </c>
      <c r="N309" s="64"/>
      <c r="O309" s="32" t="str">
        <f>IF(反映シート!$E$444="","OK",IF(AND(OR(反映シート!$E$444&gt;=反映シート!$B460,反映シート!$E$444="16以上"),反映シート!O460&lt;&gt;""),"OK",IF(反映シート!$E$444&lt;反映シート!$B460,"OK","NG")))</f>
        <v>OK</v>
      </c>
      <c r="P309" s="64"/>
      <c r="Q309" s="32" t="str">
        <f>IF(反映シート!$E$444="","OK",IF(AND(OR(反映シート!$E$444&gt;=反映シート!$B460,反映シート!$E$444="16以上"),反映シート!Q460&lt;&gt;""),"OK",IF(反映シート!$E$444&lt;反映シート!$B460,"OK","NG")))</f>
        <v>OK</v>
      </c>
      <c r="R309" s="2"/>
      <c r="S309" s="17" t="str">
        <f>IF(C309="OK",1,2)&amp;IF(E309="OK",1,2)&amp;IF(G309="OK",1,2)&amp;IF(I309="OK",1,2)&amp;IF(K309="OK",1,2)&amp;IF(M309="OK",1,2)&amp;IF(O309="OK",1,2)&amp;IF(Q309="OK",1,2)</f>
        <v>11111111</v>
      </c>
      <c r="T309" s="2"/>
      <c r="U309" s="23"/>
      <c r="V309" s="23"/>
      <c r="W309" s="23"/>
      <c r="X309" s="42"/>
      <c r="Y309" s="23"/>
      <c r="Z309" s="23"/>
      <c r="AA309" s="23"/>
      <c r="AB309" s="23"/>
    </row>
    <row r="310" spans="1:28" ht="5.0999999999999996" customHeight="1" thickBot="1" x14ac:dyDescent="0.2">
      <c r="A310" s="23"/>
      <c r="B310" s="2"/>
      <c r="C310" s="64"/>
      <c r="D310" s="64"/>
      <c r="E310" s="64"/>
      <c r="F310" s="64"/>
      <c r="G310" s="64"/>
      <c r="H310" s="64"/>
      <c r="I310" s="64"/>
      <c r="J310" s="64"/>
      <c r="K310" s="64"/>
      <c r="L310" s="64"/>
      <c r="M310" s="64"/>
      <c r="N310" s="64"/>
      <c r="O310" s="64"/>
      <c r="P310" s="64"/>
      <c r="Q310" s="64"/>
      <c r="R310" s="2"/>
      <c r="S310" s="2"/>
      <c r="T310" s="2"/>
      <c r="U310" s="23"/>
      <c r="V310" s="23"/>
      <c r="W310" s="23"/>
      <c r="X310" s="42"/>
      <c r="Y310" s="23"/>
      <c r="Z310" s="23"/>
      <c r="AA310" s="23"/>
      <c r="AB310" s="23"/>
    </row>
    <row r="311" spans="1:28" ht="14.25" thickBot="1" x14ac:dyDescent="0.2">
      <c r="A311" s="23"/>
      <c r="B311" s="16">
        <v>7</v>
      </c>
      <c r="C311" s="32" t="str">
        <f>IF(反映シート!$E$444="","OK",IF(AND(OR(反映シート!$E$444&gt;=反映シート!$B462,反映シート!$E$444="16以上"),反映シート!C462&lt;&gt;""),"OK",IF(反映シート!$E$444&lt;反映シート!$B462,"OK","NG")))</f>
        <v>OK</v>
      </c>
      <c r="D311" s="2"/>
      <c r="E311" s="32" t="str">
        <f>IF(反映シート!$E$444="","OK",IF(AND(OR(反映シート!$E$444&gt;=反映シート!$B462,反映シート!$E$444="16以上"),反映シート!E462&lt;&gt;""),"OK",IF(反映シート!$E$444&lt;反映シート!$B462,"OK","NG")))</f>
        <v>OK</v>
      </c>
      <c r="F311" s="64"/>
      <c r="G311" s="32" t="str">
        <f>IF(反映シート!$E$444="","OK",IF(AND(OR(反映シート!$E$444&gt;=反映シート!$B462,反映シート!$E$444="16以上"),反映シート!G462&lt;&gt;""),"OK",IF(反映シート!$E$444&lt;反映シート!$B462,"OK","NG")))</f>
        <v>OK</v>
      </c>
      <c r="H311" s="64"/>
      <c r="I311" s="32" t="str">
        <f>IF(反映シート!$E$444="","OK",IF(AND(OR(反映シート!$E$444&gt;=反映シート!$B462,反映シート!$E$444="16以上"),反映シート!I462&lt;&gt;""),"OK",IF(反映シート!$E$444&lt;反映シート!$B462,"OK","NG")))</f>
        <v>OK</v>
      </c>
      <c r="J311" s="64"/>
      <c r="K311" s="32" t="str">
        <f>IF(反映シート!$E$444="","OK",IF(AND(OR(反映シート!$E$444&gt;=反映シート!$B462,反映シート!$E$444="16以上"),反映シート!K462&lt;&gt;""),"OK",IF(反映シート!$E$444&lt;反映シート!$B462,"OK","NG")))</f>
        <v>OK</v>
      </c>
      <c r="L311" s="64"/>
      <c r="M311" s="32" t="str">
        <f>IF(反映シート!$E$444="","OK",IF(AND(OR(反映シート!$E$444&gt;=反映シート!$B462,反映シート!$E$444="16以上"),反映シート!M462&lt;&gt;""),"OK",IF(反映シート!$E$444&lt;反映シート!$B462,"OK","NG")))</f>
        <v>OK</v>
      </c>
      <c r="N311" s="64"/>
      <c r="O311" s="32" t="str">
        <f>IF(反映シート!$E$444="","OK",IF(AND(OR(反映シート!$E$444&gt;=反映シート!$B462,反映シート!$E$444="16以上"),反映シート!O462&lt;&gt;""),"OK",IF(反映シート!$E$444&lt;反映シート!$B462,"OK","NG")))</f>
        <v>OK</v>
      </c>
      <c r="P311" s="64"/>
      <c r="Q311" s="32" t="str">
        <f>IF(反映シート!$E$444="","OK",IF(AND(OR(反映シート!$E$444&gt;=反映シート!$B462,反映シート!$E$444="16以上"),反映シート!Q462&lt;&gt;""),"OK",IF(反映シート!$E$444&lt;反映シート!$B462,"OK","NG")))</f>
        <v>OK</v>
      </c>
      <c r="R311" s="2"/>
      <c r="S311" s="17" t="str">
        <f>IF(C311="OK",1,2)&amp;IF(E311="OK",1,2)&amp;IF(G311="OK",1,2)&amp;IF(I311="OK",1,2)&amp;IF(K311="OK",1,2)&amp;IF(M311="OK",1,2)&amp;IF(O311="OK",1,2)&amp;IF(Q311="OK",1,2)</f>
        <v>11111111</v>
      </c>
      <c r="T311" s="2"/>
      <c r="U311" s="23"/>
      <c r="V311" s="23"/>
      <c r="W311" s="23"/>
      <c r="X311" s="42"/>
      <c r="Y311" s="23"/>
      <c r="Z311" s="23"/>
      <c r="AA311" s="23"/>
      <c r="AB311" s="23"/>
    </row>
    <row r="312" spans="1:28" ht="5.0999999999999996" customHeight="1" thickBot="1" x14ac:dyDescent="0.2">
      <c r="A312" s="23"/>
      <c r="B312" s="2"/>
      <c r="C312" s="64"/>
      <c r="D312" s="64"/>
      <c r="E312" s="64"/>
      <c r="F312" s="64"/>
      <c r="G312" s="64"/>
      <c r="H312" s="64"/>
      <c r="I312" s="64"/>
      <c r="J312" s="64"/>
      <c r="K312" s="64"/>
      <c r="L312" s="64"/>
      <c r="M312" s="64"/>
      <c r="N312" s="64"/>
      <c r="O312" s="64"/>
      <c r="P312" s="64"/>
      <c r="Q312" s="64"/>
      <c r="R312" s="2"/>
      <c r="S312" s="2"/>
      <c r="T312" s="2"/>
      <c r="U312" s="23"/>
      <c r="V312" s="23"/>
      <c r="W312" s="23"/>
      <c r="X312" s="42"/>
      <c r="Y312" s="23"/>
      <c r="Z312" s="23"/>
      <c r="AA312" s="23"/>
      <c r="AB312" s="23"/>
    </row>
    <row r="313" spans="1:28" ht="14.25" thickBot="1" x14ac:dyDescent="0.2">
      <c r="A313" s="23"/>
      <c r="B313" s="16">
        <v>8</v>
      </c>
      <c r="C313" s="32" t="str">
        <f>IF(反映シート!$E$444="","OK",IF(AND(OR(反映シート!$E$444&gt;=反映シート!$B464,反映シート!$E$444="16以上"),反映シート!C464&lt;&gt;""),"OK",IF(反映シート!$E$444&lt;反映シート!$B464,"OK","NG")))</f>
        <v>OK</v>
      </c>
      <c r="D313" s="2"/>
      <c r="E313" s="32" t="str">
        <f>IF(反映シート!$E$444="","OK",IF(AND(OR(反映シート!$E$444&gt;=反映シート!$B464,反映シート!$E$444="16以上"),反映シート!E464&lt;&gt;""),"OK",IF(反映シート!$E$444&lt;反映シート!$B464,"OK","NG")))</f>
        <v>OK</v>
      </c>
      <c r="F313" s="64"/>
      <c r="G313" s="32" t="str">
        <f>IF(反映シート!$E$444="","OK",IF(AND(OR(反映シート!$E$444&gt;=反映シート!$B464,反映シート!$E$444="16以上"),反映シート!G464&lt;&gt;""),"OK",IF(反映シート!$E$444&lt;反映シート!$B464,"OK","NG")))</f>
        <v>OK</v>
      </c>
      <c r="H313" s="64"/>
      <c r="I313" s="32" t="str">
        <f>IF(反映シート!$E$444="","OK",IF(AND(OR(反映シート!$E$444&gt;=反映シート!$B464,反映シート!$E$444="16以上"),反映シート!I464&lt;&gt;""),"OK",IF(反映シート!$E$444&lt;反映シート!$B464,"OK","NG")))</f>
        <v>OK</v>
      </c>
      <c r="J313" s="64"/>
      <c r="K313" s="32" t="str">
        <f>IF(反映シート!$E$444="","OK",IF(AND(OR(反映シート!$E$444&gt;=反映シート!$B464,反映シート!$E$444="16以上"),反映シート!K464&lt;&gt;""),"OK",IF(反映シート!$E$444&lt;反映シート!$B464,"OK","NG")))</f>
        <v>OK</v>
      </c>
      <c r="L313" s="64"/>
      <c r="M313" s="32" t="str">
        <f>IF(反映シート!$E$444="","OK",IF(AND(OR(反映シート!$E$444&gt;=反映シート!$B464,反映シート!$E$444="16以上"),反映シート!M464&lt;&gt;""),"OK",IF(反映シート!$E$444&lt;反映シート!$B464,"OK","NG")))</f>
        <v>OK</v>
      </c>
      <c r="N313" s="64"/>
      <c r="O313" s="32" t="str">
        <f>IF(反映シート!$E$444="","OK",IF(AND(OR(反映シート!$E$444&gt;=反映シート!$B464,反映シート!$E$444="16以上"),反映シート!O464&lt;&gt;""),"OK",IF(反映シート!$E$444&lt;反映シート!$B464,"OK","NG")))</f>
        <v>OK</v>
      </c>
      <c r="P313" s="64"/>
      <c r="Q313" s="32" t="str">
        <f>IF(反映シート!$E$444="","OK",IF(AND(OR(反映シート!$E$444&gt;=反映シート!$B464,反映シート!$E$444="16以上"),反映シート!Q464&lt;&gt;""),"OK",IF(反映シート!$E$444&lt;反映シート!$B464,"OK","NG")))</f>
        <v>OK</v>
      </c>
      <c r="R313" s="2"/>
      <c r="S313" s="17" t="str">
        <f>IF(C313="OK",1,2)&amp;IF(E313="OK",1,2)&amp;IF(G313="OK",1,2)&amp;IF(I313="OK",1,2)&amp;IF(K313="OK",1,2)&amp;IF(M313="OK",1,2)&amp;IF(O313="OK",1,2)&amp;IF(Q313="OK",1,2)</f>
        <v>11111111</v>
      </c>
      <c r="T313" s="2"/>
      <c r="U313" s="23"/>
      <c r="V313" s="23"/>
      <c r="W313" s="23"/>
      <c r="X313" s="42"/>
      <c r="Y313" s="23"/>
      <c r="Z313" s="23"/>
      <c r="AA313" s="23"/>
      <c r="AB313" s="23"/>
    </row>
    <row r="314" spans="1:28" ht="5.0999999999999996" customHeight="1" thickBot="1" x14ac:dyDescent="0.2">
      <c r="A314" s="23"/>
      <c r="B314" s="2"/>
      <c r="C314" s="64"/>
      <c r="D314" s="64"/>
      <c r="E314" s="64"/>
      <c r="F314" s="64"/>
      <c r="G314" s="64"/>
      <c r="H314" s="64"/>
      <c r="I314" s="64"/>
      <c r="J314" s="64"/>
      <c r="K314" s="64"/>
      <c r="L314" s="64"/>
      <c r="M314" s="64"/>
      <c r="N314" s="64"/>
      <c r="O314" s="64"/>
      <c r="P314" s="64"/>
      <c r="Q314" s="64"/>
      <c r="R314" s="2"/>
      <c r="S314" s="2"/>
      <c r="T314" s="2"/>
      <c r="U314" s="23"/>
      <c r="V314" s="23"/>
      <c r="W314" s="23"/>
      <c r="X314" s="42"/>
      <c r="Y314" s="23"/>
      <c r="Z314" s="23"/>
      <c r="AA314" s="23"/>
      <c r="AB314" s="23"/>
    </row>
    <row r="315" spans="1:28" ht="14.25" thickBot="1" x14ac:dyDescent="0.2">
      <c r="A315" s="23"/>
      <c r="B315" s="16">
        <v>9</v>
      </c>
      <c r="C315" s="32" t="str">
        <f>IF(反映シート!$E$444="","OK",IF(AND(OR(反映シート!$E$444&gt;=反映シート!$B466,反映シート!$E$444="16以上"),反映シート!C466&lt;&gt;""),"OK",IF(反映シート!$E$444&lt;反映シート!$B466,"OK","NG")))</f>
        <v>OK</v>
      </c>
      <c r="D315" s="2"/>
      <c r="E315" s="32" t="str">
        <f>IF(反映シート!$E$444="","OK",IF(AND(OR(反映シート!$E$444&gt;=反映シート!$B466,反映シート!$E$444="16以上"),反映シート!E466&lt;&gt;""),"OK",IF(反映シート!$E$444&lt;反映シート!$B466,"OK","NG")))</f>
        <v>OK</v>
      </c>
      <c r="F315" s="64"/>
      <c r="G315" s="32" t="str">
        <f>IF(反映シート!$E$444="","OK",IF(AND(OR(反映シート!$E$444&gt;=反映シート!$B466,反映シート!$E$444="16以上"),反映シート!G466&lt;&gt;""),"OK",IF(反映シート!$E$444&lt;反映シート!$B466,"OK","NG")))</f>
        <v>OK</v>
      </c>
      <c r="H315" s="64"/>
      <c r="I315" s="32" t="str">
        <f>IF(反映シート!$E$444="","OK",IF(AND(OR(反映シート!$E$444&gt;=反映シート!$B466,反映シート!$E$444="16以上"),反映シート!I466&lt;&gt;""),"OK",IF(反映シート!$E$444&lt;反映シート!$B466,"OK","NG")))</f>
        <v>OK</v>
      </c>
      <c r="J315" s="64"/>
      <c r="K315" s="32" t="str">
        <f>IF(反映シート!$E$444="","OK",IF(AND(OR(反映シート!$E$444&gt;=反映シート!$B466,反映シート!$E$444="16以上"),反映シート!K466&lt;&gt;""),"OK",IF(反映シート!$E$444&lt;反映シート!$B466,"OK","NG")))</f>
        <v>OK</v>
      </c>
      <c r="L315" s="64"/>
      <c r="M315" s="32" t="str">
        <f>IF(反映シート!$E$444="","OK",IF(AND(OR(反映シート!$E$444&gt;=反映シート!$B466,反映シート!$E$444="16以上"),反映シート!M466&lt;&gt;""),"OK",IF(反映シート!$E$444&lt;反映シート!$B466,"OK","NG")))</f>
        <v>OK</v>
      </c>
      <c r="N315" s="64"/>
      <c r="O315" s="32" t="str">
        <f>IF(反映シート!$E$444="","OK",IF(AND(OR(反映シート!$E$444&gt;=反映シート!$B466,反映シート!$E$444="16以上"),反映シート!O466&lt;&gt;""),"OK",IF(反映シート!$E$444&lt;反映シート!$B466,"OK","NG")))</f>
        <v>OK</v>
      </c>
      <c r="P315" s="64"/>
      <c r="Q315" s="32" t="str">
        <f>IF(反映シート!$E$444="","OK",IF(AND(OR(反映シート!$E$444&gt;=反映シート!$B466,反映シート!$E$444="16以上"),反映シート!Q466&lt;&gt;""),"OK",IF(反映シート!$E$444&lt;反映シート!$B466,"OK","NG")))</f>
        <v>OK</v>
      </c>
      <c r="R315" s="2"/>
      <c r="S315" s="17" t="str">
        <f>IF(C315="OK",1,2)&amp;IF(E315="OK",1,2)&amp;IF(G315="OK",1,2)&amp;IF(I315="OK",1,2)&amp;IF(K315="OK",1,2)&amp;IF(M315="OK",1,2)&amp;IF(O315="OK",1,2)&amp;IF(Q315="OK",1,2)</f>
        <v>11111111</v>
      </c>
      <c r="T315" s="2"/>
      <c r="U315" s="23"/>
      <c r="V315" s="23"/>
      <c r="W315" s="23"/>
      <c r="X315" s="42"/>
      <c r="Y315" s="23"/>
      <c r="Z315" s="23"/>
      <c r="AA315" s="23"/>
      <c r="AB315" s="23"/>
    </row>
    <row r="316" spans="1:28" ht="5.0999999999999996" customHeight="1" thickBot="1" x14ac:dyDescent="0.2">
      <c r="A316" s="23"/>
      <c r="B316" s="2"/>
      <c r="C316" s="64"/>
      <c r="D316" s="64"/>
      <c r="E316" s="64"/>
      <c r="F316" s="64"/>
      <c r="G316" s="64"/>
      <c r="H316" s="64"/>
      <c r="I316" s="64"/>
      <c r="J316" s="64"/>
      <c r="K316" s="64"/>
      <c r="L316" s="64"/>
      <c r="M316" s="64"/>
      <c r="N316" s="64"/>
      <c r="O316" s="64"/>
      <c r="P316" s="64"/>
      <c r="Q316" s="64"/>
      <c r="R316" s="2"/>
      <c r="S316" s="2"/>
      <c r="T316" s="2"/>
      <c r="U316" s="23"/>
      <c r="V316" s="23"/>
      <c r="W316" s="23"/>
      <c r="X316" s="42"/>
      <c r="Y316" s="23"/>
      <c r="Z316" s="23"/>
      <c r="AA316" s="23"/>
      <c r="AB316" s="23"/>
    </row>
    <row r="317" spans="1:28" ht="14.25" thickBot="1" x14ac:dyDescent="0.2">
      <c r="A317" s="23"/>
      <c r="B317" s="16">
        <v>10</v>
      </c>
      <c r="C317" s="32" t="str">
        <f>IF(反映シート!$E$444="","OK",IF(AND(OR(反映シート!$E$444&gt;=反映シート!$B468,反映シート!$E$444="16以上"),反映シート!C468&lt;&gt;""),"OK",IF(反映シート!$E$444&lt;反映シート!$B468,"OK","NG")))</f>
        <v>OK</v>
      </c>
      <c r="D317" s="2"/>
      <c r="E317" s="32" t="str">
        <f>IF(反映シート!$E$444="","OK",IF(AND(OR(反映シート!$E$444&gt;=反映シート!$B468,反映シート!$E$444="16以上"),反映シート!E468&lt;&gt;""),"OK",IF(反映シート!$E$444&lt;反映シート!$B468,"OK","NG")))</f>
        <v>OK</v>
      </c>
      <c r="F317" s="64"/>
      <c r="G317" s="32" t="str">
        <f>IF(反映シート!$E$444="","OK",IF(AND(OR(反映シート!$E$444&gt;=反映シート!$B468,反映シート!$E$444="16以上"),反映シート!G468&lt;&gt;""),"OK",IF(反映シート!$E$444&lt;反映シート!$B468,"OK","NG")))</f>
        <v>OK</v>
      </c>
      <c r="H317" s="64"/>
      <c r="I317" s="32" t="str">
        <f>IF(反映シート!$E$444="","OK",IF(AND(OR(反映シート!$E$444&gt;=反映シート!$B468,反映シート!$E$444="16以上"),反映シート!I468&lt;&gt;""),"OK",IF(反映シート!$E$444&lt;反映シート!$B468,"OK","NG")))</f>
        <v>OK</v>
      </c>
      <c r="J317" s="64"/>
      <c r="K317" s="32" t="str">
        <f>IF(反映シート!$E$444="","OK",IF(AND(OR(反映シート!$E$444&gt;=反映シート!$B468,反映シート!$E$444="16以上"),反映シート!K468&lt;&gt;""),"OK",IF(反映シート!$E$444&lt;反映シート!$B468,"OK","NG")))</f>
        <v>OK</v>
      </c>
      <c r="L317" s="64"/>
      <c r="M317" s="32" t="str">
        <f>IF(反映シート!$E$444="","OK",IF(AND(OR(反映シート!$E$444&gt;=反映シート!$B468,反映シート!$E$444="16以上"),反映シート!M468&lt;&gt;""),"OK",IF(反映シート!$E$444&lt;反映シート!$B468,"OK","NG")))</f>
        <v>OK</v>
      </c>
      <c r="N317" s="64"/>
      <c r="O317" s="32" t="str">
        <f>IF(反映シート!$E$444="","OK",IF(AND(OR(反映シート!$E$444&gt;=反映シート!$B468,反映シート!$E$444="16以上"),反映シート!O468&lt;&gt;""),"OK",IF(反映シート!$E$444&lt;反映シート!$B468,"OK","NG")))</f>
        <v>OK</v>
      </c>
      <c r="P317" s="64"/>
      <c r="Q317" s="32" t="str">
        <f>IF(反映シート!$E$444="","OK",IF(AND(OR(反映シート!$E$444&gt;=反映シート!$B468,反映シート!$E$444="16以上"),反映シート!Q468&lt;&gt;""),"OK",IF(反映シート!$E$444&lt;反映シート!$B468,"OK","NG")))</f>
        <v>OK</v>
      </c>
      <c r="R317" s="2"/>
      <c r="S317" s="17" t="str">
        <f>IF(C317="OK",1,2)&amp;IF(E317="OK",1,2)&amp;IF(G317="OK",1,2)&amp;IF(I317="OK",1,2)&amp;IF(K317="OK",1,2)&amp;IF(M317="OK",1,2)&amp;IF(O317="OK",1,2)&amp;IF(Q317="OK",1,2)</f>
        <v>11111111</v>
      </c>
      <c r="T317" s="2"/>
      <c r="U317" s="23"/>
      <c r="V317" s="23"/>
      <c r="W317" s="23"/>
      <c r="X317" s="42"/>
      <c r="Y317" s="23"/>
      <c r="Z317" s="23"/>
      <c r="AA317" s="23"/>
      <c r="AB317" s="23"/>
    </row>
    <row r="318" spans="1:28" ht="5.0999999999999996" customHeight="1" thickBot="1" x14ac:dyDescent="0.2">
      <c r="A318" s="23"/>
      <c r="B318" s="2"/>
      <c r="C318" s="64"/>
      <c r="D318" s="64"/>
      <c r="E318" s="64"/>
      <c r="F318" s="64"/>
      <c r="G318" s="64"/>
      <c r="H318" s="64"/>
      <c r="I318" s="64"/>
      <c r="J318" s="64"/>
      <c r="K318" s="64"/>
      <c r="L318" s="64"/>
      <c r="M318" s="64"/>
      <c r="N318" s="64"/>
      <c r="O318" s="64"/>
      <c r="P318" s="64"/>
      <c r="Q318" s="64"/>
      <c r="R318" s="2"/>
      <c r="S318" s="2"/>
      <c r="T318" s="2"/>
      <c r="U318" s="23"/>
      <c r="V318" s="23"/>
      <c r="W318" s="23"/>
      <c r="X318" s="42"/>
      <c r="Y318" s="23"/>
      <c r="Z318" s="23"/>
      <c r="AA318" s="23"/>
      <c r="AB318" s="23"/>
    </row>
    <row r="319" spans="1:28" ht="14.25" thickBot="1" x14ac:dyDescent="0.2">
      <c r="A319" s="23"/>
      <c r="B319" s="16">
        <v>11</v>
      </c>
      <c r="C319" s="32" t="str">
        <f>IF(反映シート!$E$444="","OK",IF(AND(OR(反映シート!$E$444&gt;=反映シート!$B470,反映シート!$E$444="16以上"),反映シート!C470&lt;&gt;""),"OK",IF(反映シート!$E$444&lt;反映シート!$B470,"OK","NG")))</f>
        <v>OK</v>
      </c>
      <c r="D319" s="2"/>
      <c r="E319" s="32" t="str">
        <f>IF(反映シート!$E$444="","OK",IF(AND(OR(反映シート!$E$444&gt;=反映シート!$B470,反映シート!$E$444="16以上"),反映シート!E470&lt;&gt;""),"OK",IF(反映シート!$E$444&lt;反映シート!$B470,"OK","NG")))</f>
        <v>OK</v>
      </c>
      <c r="F319" s="64"/>
      <c r="G319" s="32" t="str">
        <f>IF(反映シート!$E$444="","OK",IF(AND(OR(反映シート!$E$444&gt;=反映シート!$B470,反映シート!$E$444="16以上"),反映シート!G470&lt;&gt;""),"OK",IF(反映シート!$E$444&lt;反映シート!$B470,"OK","NG")))</f>
        <v>OK</v>
      </c>
      <c r="H319" s="64"/>
      <c r="I319" s="32" t="str">
        <f>IF(反映シート!$E$444="","OK",IF(AND(OR(反映シート!$E$444&gt;=反映シート!$B470,反映シート!$E$444="16以上"),反映シート!I470&lt;&gt;""),"OK",IF(反映シート!$E$444&lt;反映シート!$B470,"OK","NG")))</f>
        <v>OK</v>
      </c>
      <c r="J319" s="64"/>
      <c r="K319" s="32" t="str">
        <f>IF(反映シート!$E$444="","OK",IF(AND(OR(反映シート!$E$444&gt;=反映シート!$B470,反映シート!$E$444="16以上"),反映シート!K470&lt;&gt;""),"OK",IF(反映シート!$E$444&lt;反映シート!$B470,"OK","NG")))</f>
        <v>OK</v>
      </c>
      <c r="L319" s="64"/>
      <c r="M319" s="32" t="str">
        <f>IF(反映シート!$E$444="","OK",IF(AND(OR(反映シート!$E$444&gt;=反映シート!$B470,反映シート!$E$444="16以上"),反映シート!M470&lt;&gt;""),"OK",IF(反映シート!$E$444&lt;反映シート!$B470,"OK","NG")))</f>
        <v>OK</v>
      </c>
      <c r="N319" s="64"/>
      <c r="O319" s="32" t="str">
        <f>IF(反映シート!$E$444="","OK",IF(AND(OR(反映シート!$E$444&gt;=反映シート!$B470,反映シート!$E$444="16以上"),反映シート!O470&lt;&gt;""),"OK",IF(反映シート!$E$444&lt;反映シート!$B470,"OK","NG")))</f>
        <v>OK</v>
      </c>
      <c r="P319" s="64"/>
      <c r="Q319" s="32" t="str">
        <f>IF(反映シート!$E$444="","OK",IF(AND(OR(反映シート!$E$444&gt;=反映シート!$B470,反映シート!$E$444="16以上"),反映シート!Q470&lt;&gt;""),"OK",IF(反映シート!$E$444&lt;反映シート!$B470,"OK","NG")))</f>
        <v>OK</v>
      </c>
      <c r="R319" s="2"/>
      <c r="S319" s="17" t="str">
        <f>IF(C319="OK",1,2)&amp;IF(E319="OK",1,2)&amp;IF(G319="OK",1,2)&amp;IF(I319="OK",1,2)&amp;IF(K319="OK",1,2)&amp;IF(M319="OK",1,2)&amp;IF(O319="OK",1,2)&amp;IF(Q319="OK",1,2)</f>
        <v>11111111</v>
      </c>
      <c r="T319" s="2"/>
      <c r="U319" s="23"/>
      <c r="V319" s="23"/>
      <c r="W319" s="23"/>
      <c r="X319" s="42"/>
      <c r="Y319" s="23"/>
      <c r="Z319" s="23"/>
      <c r="AA319" s="23"/>
      <c r="AB319" s="23"/>
    </row>
    <row r="320" spans="1:28" ht="5.0999999999999996" customHeight="1" thickBot="1" x14ac:dyDescent="0.2">
      <c r="A320" s="23"/>
      <c r="B320" s="2"/>
      <c r="C320" s="64"/>
      <c r="D320" s="64"/>
      <c r="E320" s="64"/>
      <c r="F320" s="64"/>
      <c r="G320" s="64"/>
      <c r="H320" s="64"/>
      <c r="I320" s="64"/>
      <c r="J320" s="64"/>
      <c r="K320" s="64"/>
      <c r="L320" s="64"/>
      <c r="M320" s="64"/>
      <c r="N320" s="64"/>
      <c r="O320" s="64"/>
      <c r="P320" s="64"/>
      <c r="Q320" s="64"/>
      <c r="R320" s="2"/>
      <c r="S320" s="2"/>
      <c r="T320" s="2"/>
      <c r="U320" s="23"/>
      <c r="V320" s="23"/>
      <c r="W320" s="23"/>
      <c r="X320" s="42"/>
      <c r="Y320" s="23"/>
      <c r="Z320" s="23"/>
      <c r="AA320" s="23"/>
      <c r="AB320" s="23"/>
    </row>
    <row r="321" spans="1:28" ht="14.25" thickBot="1" x14ac:dyDescent="0.2">
      <c r="A321" s="23"/>
      <c r="B321" s="16">
        <v>12</v>
      </c>
      <c r="C321" s="32" t="str">
        <f>IF(反映シート!$E$444="","OK",IF(AND(OR(反映シート!$E$444&gt;=反映シート!$B472,反映シート!$E$444="16以上"),反映シート!C472&lt;&gt;""),"OK",IF(反映シート!$E$444&lt;反映シート!$B472,"OK","NG")))</f>
        <v>OK</v>
      </c>
      <c r="D321" s="2"/>
      <c r="E321" s="32" t="str">
        <f>IF(反映シート!$E$444="","OK",IF(AND(OR(反映シート!$E$444&gt;=反映シート!$B472,反映シート!$E$444="16以上"),反映シート!E472&lt;&gt;""),"OK",IF(反映シート!$E$444&lt;反映シート!$B472,"OK","NG")))</f>
        <v>OK</v>
      </c>
      <c r="F321" s="64"/>
      <c r="G321" s="32" t="str">
        <f>IF(反映シート!$E$444="","OK",IF(AND(OR(反映シート!$E$444&gt;=反映シート!$B472,反映シート!$E$444="16以上"),反映シート!G472&lt;&gt;""),"OK",IF(反映シート!$E$444&lt;反映シート!$B472,"OK","NG")))</f>
        <v>OK</v>
      </c>
      <c r="H321" s="64"/>
      <c r="I321" s="32" t="str">
        <f>IF(反映シート!$E$444="","OK",IF(AND(OR(反映シート!$E$444&gt;=反映シート!$B472,反映シート!$E$444="16以上"),反映シート!I472&lt;&gt;""),"OK",IF(反映シート!$E$444&lt;反映シート!$B472,"OK","NG")))</f>
        <v>OK</v>
      </c>
      <c r="J321" s="64"/>
      <c r="K321" s="32" t="str">
        <f>IF(反映シート!$E$444="","OK",IF(AND(OR(反映シート!$E$444&gt;=反映シート!$B472,反映シート!$E$444="16以上"),反映シート!K472&lt;&gt;""),"OK",IF(反映シート!$E$444&lt;反映シート!$B472,"OK","NG")))</f>
        <v>OK</v>
      </c>
      <c r="L321" s="64"/>
      <c r="M321" s="32" t="str">
        <f>IF(反映シート!$E$444="","OK",IF(AND(OR(反映シート!$E$444&gt;=反映シート!$B472,反映シート!$E$444="16以上"),反映シート!M472&lt;&gt;""),"OK",IF(反映シート!$E$444&lt;反映シート!$B472,"OK","NG")))</f>
        <v>OK</v>
      </c>
      <c r="N321" s="64"/>
      <c r="O321" s="32" t="str">
        <f>IF(反映シート!$E$444="","OK",IF(AND(OR(反映シート!$E$444&gt;=反映シート!$B472,反映シート!$E$444="16以上"),反映シート!O472&lt;&gt;""),"OK",IF(反映シート!$E$444&lt;反映シート!$B472,"OK","NG")))</f>
        <v>OK</v>
      </c>
      <c r="P321" s="64"/>
      <c r="Q321" s="32" t="str">
        <f>IF(反映シート!$E$444="","OK",IF(AND(OR(反映シート!$E$444&gt;=反映シート!$B472,反映シート!$E$444="16以上"),反映シート!Q472&lt;&gt;""),"OK",IF(反映シート!$E$444&lt;反映シート!$B472,"OK","NG")))</f>
        <v>OK</v>
      </c>
      <c r="R321" s="2"/>
      <c r="S321" s="17" t="str">
        <f>IF(C321="OK",1,2)&amp;IF(E321="OK",1,2)&amp;IF(G321="OK",1,2)&amp;IF(I321="OK",1,2)&amp;IF(K321="OK",1,2)&amp;IF(M321="OK",1,2)&amp;IF(O321="OK",1,2)&amp;IF(Q321="OK",1,2)</f>
        <v>11111111</v>
      </c>
      <c r="T321" s="2"/>
      <c r="U321" s="23"/>
      <c r="V321" s="23"/>
      <c r="W321" s="23"/>
      <c r="X321" s="42"/>
      <c r="Y321" s="23"/>
      <c r="Z321" s="23"/>
      <c r="AA321" s="23"/>
      <c r="AB321" s="23"/>
    </row>
    <row r="322" spans="1:28" ht="5.0999999999999996" customHeight="1" thickBot="1" x14ac:dyDescent="0.2">
      <c r="A322" s="23"/>
      <c r="B322" s="2"/>
      <c r="C322" s="64"/>
      <c r="D322" s="64"/>
      <c r="E322" s="64"/>
      <c r="F322" s="64"/>
      <c r="G322" s="64"/>
      <c r="H322" s="64"/>
      <c r="I322" s="64"/>
      <c r="J322" s="64"/>
      <c r="K322" s="64"/>
      <c r="L322" s="64"/>
      <c r="M322" s="64"/>
      <c r="N322" s="64"/>
      <c r="O322" s="64"/>
      <c r="P322" s="64"/>
      <c r="Q322" s="64"/>
      <c r="R322" s="2"/>
      <c r="S322" s="2"/>
      <c r="T322" s="2"/>
      <c r="U322" s="23"/>
      <c r="V322" s="23"/>
      <c r="W322" s="23"/>
      <c r="X322" s="42"/>
      <c r="Y322" s="23"/>
      <c r="Z322" s="23"/>
      <c r="AA322" s="23"/>
      <c r="AB322" s="23"/>
    </row>
    <row r="323" spans="1:28" ht="14.25" thickBot="1" x14ac:dyDescent="0.2">
      <c r="A323" s="23"/>
      <c r="B323" s="16">
        <v>13</v>
      </c>
      <c r="C323" s="32" t="str">
        <f>IF(反映シート!$E$444="","OK",IF(AND(OR(反映シート!$E$444&gt;=反映シート!$B474,反映シート!$E$444="16以上"),反映シート!C474&lt;&gt;""),"OK",IF(反映シート!$E$444&lt;反映シート!$B474,"OK","NG")))</f>
        <v>OK</v>
      </c>
      <c r="D323" s="2"/>
      <c r="E323" s="32" t="str">
        <f>IF(反映シート!$E$444="","OK",IF(AND(OR(反映シート!$E$444&gt;=反映シート!$B474,反映シート!$E$444="16以上"),反映シート!E474&lt;&gt;""),"OK",IF(反映シート!$E$444&lt;反映シート!$B474,"OK","NG")))</f>
        <v>OK</v>
      </c>
      <c r="F323" s="64"/>
      <c r="G323" s="32" t="str">
        <f>IF(反映シート!$E$444="","OK",IF(AND(OR(反映シート!$E$444&gt;=反映シート!$B474,反映シート!$E$444="16以上"),反映シート!G474&lt;&gt;""),"OK",IF(反映シート!$E$444&lt;反映シート!$B474,"OK","NG")))</f>
        <v>OK</v>
      </c>
      <c r="H323" s="64"/>
      <c r="I323" s="32" t="str">
        <f>IF(反映シート!$E$444="","OK",IF(AND(OR(反映シート!$E$444&gt;=反映シート!$B474,反映シート!$E$444="16以上"),反映シート!I474&lt;&gt;""),"OK",IF(反映シート!$E$444&lt;反映シート!$B474,"OK","NG")))</f>
        <v>OK</v>
      </c>
      <c r="J323" s="64"/>
      <c r="K323" s="32" t="str">
        <f>IF(反映シート!$E$444="","OK",IF(AND(OR(反映シート!$E$444&gt;=反映シート!$B474,反映シート!$E$444="16以上"),反映シート!K474&lt;&gt;""),"OK",IF(反映シート!$E$444&lt;反映シート!$B474,"OK","NG")))</f>
        <v>OK</v>
      </c>
      <c r="L323" s="64"/>
      <c r="M323" s="32" t="str">
        <f>IF(反映シート!$E$444="","OK",IF(AND(OR(反映シート!$E$444&gt;=反映シート!$B474,反映シート!$E$444="16以上"),反映シート!M474&lt;&gt;""),"OK",IF(反映シート!$E$444&lt;反映シート!$B474,"OK","NG")))</f>
        <v>OK</v>
      </c>
      <c r="N323" s="64"/>
      <c r="O323" s="32" t="str">
        <f>IF(反映シート!$E$444="","OK",IF(AND(OR(反映シート!$E$444&gt;=反映シート!$B474,反映シート!$E$444="16以上"),反映シート!O474&lt;&gt;""),"OK",IF(反映シート!$E$444&lt;反映シート!$B474,"OK","NG")))</f>
        <v>OK</v>
      </c>
      <c r="P323" s="64"/>
      <c r="Q323" s="32" t="str">
        <f>IF(反映シート!$E$444="","OK",IF(AND(OR(反映シート!$E$444&gt;=反映シート!$B474,反映シート!$E$444="16以上"),反映シート!Q474&lt;&gt;""),"OK",IF(反映シート!$E$444&lt;反映シート!$B474,"OK","NG")))</f>
        <v>OK</v>
      </c>
      <c r="R323" s="2"/>
      <c r="S323" s="17" t="str">
        <f>IF(C323="OK",1,2)&amp;IF(E323="OK",1,2)&amp;IF(G323="OK",1,2)&amp;IF(I323="OK",1,2)&amp;IF(K323="OK",1,2)&amp;IF(M323="OK",1,2)&amp;IF(O323="OK",1,2)&amp;IF(Q323="OK",1,2)</f>
        <v>11111111</v>
      </c>
      <c r="T323" s="2"/>
      <c r="U323" s="23"/>
      <c r="V323" s="23"/>
      <c r="W323" s="23"/>
      <c r="X323" s="42"/>
      <c r="Y323" s="23"/>
      <c r="Z323" s="23"/>
      <c r="AA323" s="23"/>
      <c r="AB323" s="23"/>
    </row>
    <row r="324" spans="1:28" ht="5.0999999999999996" customHeight="1" thickBot="1" x14ac:dyDescent="0.2">
      <c r="A324" s="23"/>
      <c r="B324" s="2"/>
      <c r="C324" s="64"/>
      <c r="D324" s="64"/>
      <c r="E324" s="64"/>
      <c r="F324" s="64"/>
      <c r="G324" s="64"/>
      <c r="H324" s="64"/>
      <c r="I324" s="64"/>
      <c r="J324" s="64"/>
      <c r="K324" s="64"/>
      <c r="L324" s="64"/>
      <c r="M324" s="64"/>
      <c r="N324" s="64"/>
      <c r="O324" s="64"/>
      <c r="P324" s="64"/>
      <c r="Q324" s="64"/>
      <c r="R324" s="2"/>
      <c r="S324" s="2"/>
      <c r="T324" s="2"/>
      <c r="U324" s="23"/>
      <c r="V324" s="23"/>
      <c r="W324" s="23"/>
      <c r="X324" s="42"/>
      <c r="Y324" s="23"/>
      <c r="Z324" s="23"/>
      <c r="AA324" s="23"/>
      <c r="AB324" s="23"/>
    </row>
    <row r="325" spans="1:28" ht="14.25" thickBot="1" x14ac:dyDescent="0.2">
      <c r="A325" s="23"/>
      <c r="B325" s="16">
        <v>14</v>
      </c>
      <c r="C325" s="32" t="str">
        <f>IF(反映シート!$E$444="","OK",IF(AND(OR(反映シート!$E$444&gt;=反映シート!$B476,反映シート!$E$444="16以上"),反映シート!C476&lt;&gt;""),"OK",IF(反映シート!$E$444&lt;反映シート!$B476,"OK","NG")))</f>
        <v>OK</v>
      </c>
      <c r="D325" s="2"/>
      <c r="E325" s="32" t="str">
        <f>IF(反映シート!$E$444="","OK",IF(AND(OR(反映シート!$E$444&gt;=反映シート!$B476,反映シート!$E$444="16以上"),反映シート!E476&lt;&gt;""),"OK",IF(反映シート!$E$444&lt;反映シート!$B476,"OK","NG")))</f>
        <v>OK</v>
      </c>
      <c r="F325" s="64"/>
      <c r="G325" s="32" t="str">
        <f>IF(反映シート!$E$444="","OK",IF(AND(OR(反映シート!$E$444&gt;=反映シート!$B476,反映シート!$E$444="16以上"),反映シート!G476&lt;&gt;""),"OK",IF(反映シート!$E$444&lt;反映シート!$B476,"OK","NG")))</f>
        <v>OK</v>
      </c>
      <c r="H325" s="64"/>
      <c r="I325" s="32" t="str">
        <f>IF(反映シート!$E$444="","OK",IF(AND(OR(反映シート!$E$444&gt;=反映シート!$B476,反映シート!$E$444="16以上"),反映シート!I476&lt;&gt;""),"OK",IF(反映シート!$E$444&lt;反映シート!$B476,"OK","NG")))</f>
        <v>OK</v>
      </c>
      <c r="J325" s="64"/>
      <c r="K325" s="32" t="str">
        <f>IF(反映シート!$E$444="","OK",IF(AND(OR(反映シート!$E$444&gt;=反映シート!$B476,反映シート!$E$444="16以上"),反映シート!K476&lt;&gt;""),"OK",IF(反映シート!$E$444&lt;反映シート!$B476,"OK","NG")))</f>
        <v>OK</v>
      </c>
      <c r="L325" s="64"/>
      <c r="M325" s="32" t="str">
        <f>IF(反映シート!$E$444="","OK",IF(AND(OR(反映シート!$E$444&gt;=反映シート!$B476,反映シート!$E$444="16以上"),反映シート!M476&lt;&gt;""),"OK",IF(反映シート!$E$444&lt;反映シート!$B476,"OK","NG")))</f>
        <v>OK</v>
      </c>
      <c r="N325" s="64"/>
      <c r="O325" s="32" t="str">
        <f>IF(反映シート!$E$444="","OK",IF(AND(OR(反映シート!$E$444&gt;=反映シート!$B476,反映シート!$E$444="16以上"),反映シート!O476&lt;&gt;""),"OK",IF(反映シート!$E$444&lt;反映シート!$B476,"OK","NG")))</f>
        <v>OK</v>
      </c>
      <c r="P325" s="64"/>
      <c r="Q325" s="32" t="str">
        <f>IF(反映シート!$E$444="","OK",IF(AND(OR(反映シート!$E$444&gt;=反映シート!$B476,反映シート!$E$444="16以上"),反映シート!Q476&lt;&gt;""),"OK",IF(反映シート!$E$444&lt;反映シート!$B476,"OK","NG")))</f>
        <v>OK</v>
      </c>
      <c r="R325" s="2"/>
      <c r="S325" s="17" t="str">
        <f>IF(C325="OK",1,2)&amp;IF(E325="OK",1,2)&amp;IF(G325="OK",1,2)&amp;IF(I325="OK",1,2)&amp;IF(K325="OK",1,2)&amp;IF(M325="OK",1,2)&amp;IF(O325="OK",1,2)&amp;IF(Q325="OK",1,2)</f>
        <v>11111111</v>
      </c>
      <c r="T325" s="2"/>
      <c r="U325" s="23"/>
      <c r="V325" s="23"/>
      <c r="W325" s="23"/>
      <c r="X325" s="42"/>
      <c r="Y325" s="23"/>
      <c r="Z325" s="23"/>
      <c r="AA325" s="23"/>
      <c r="AB325" s="23"/>
    </row>
    <row r="326" spans="1:28" ht="5.0999999999999996" customHeight="1" thickBot="1" x14ac:dyDescent="0.2">
      <c r="A326" s="23"/>
      <c r="B326" s="2"/>
      <c r="C326" s="64"/>
      <c r="D326" s="64"/>
      <c r="E326" s="64"/>
      <c r="F326" s="64"/>
      <c r="G326" s="64"/>
      <c r="H326" s="64"/>
      <c r="I326" s="64"/>
      <c r="J326" s="64"/>
      <c r="K326" s="64"/>
      <c r="L326" s="64"/>
      <c r="M326" s="64"/>
      <c r="N326" s="64"/>
      <c r="O326" s="64"/>
      <c r="P326" s="64"/>
      <c r="Q326" s="64"/>
      <c r="R326" s="2"/>
      <c r="S326" s="2"/>
      <c r="T326" s="2"/>
      <c r="U326" s="23"/>
      <c r="V326" s="23"/>
      <c r="W326" s="23"/>
      <c r="X326" s="42"/>
      <c r="Y326" s="23"/>
      <c r="Z326" s="23"/>
      <c r="AA326" s="23"/>
      <c r="AB326" s="23"/>
    </row>
    <row r="327" spans="1:28" ht="14.25" thickBot="1" x14ac:dyDescent="0.2">
      <c r="A327" s="23"/>
      <c r="B327" s="16">
        <v>15</v>
      </c>
      <c r="C327" s="32" t="str">
        <f>IF(反映シート!$E$444="","OK",IF(AND(OR(反映シート!$E$444&gt;=反映シート!$B478,反映シート!$E$444="16以上"),反映シート!C478&lt;&gt;""),"OK",IF(反映シート!$E$444&lt;反映シート!$B478,"OK","NG")))</f>
        <v>OK</v>
      </c>
      <c r="D327" s="2"/>
      <c r="E327" s="32" t="str">
        <f>IF(反映シート!$E$444="","OK",IF(AND(OR(反映シート!$E$444&gt;=反映シート!$B478,反映シート!$E$444="16以上"),反映シート!E478&lt;&gt;""),"OK",IF(反映シート!$E$444&lt;反映シート!$B478,"OK","NG")))</f>
        <v>OK</v>
      </c>
      <c r="F327" s="64"/>
      <c r="G327" s="32" t="str">
        <f>IF(反映シート!$E$444="","OK",IF(AND(OR(反映シート!$E$444&gt;=反映シート!$B478,反映シート!$E$444="16以上"),反映シート!G478&lt;&gt;""),"OK",IF(反映シート!$E$444&lt;反映シート!$B478,"OK","NG")))</f>
        <v>OK</v>
      </c>
      <c r="H327" s="64"/>
      <c r="I327" s="32" t="str">
        <f>IF(反映シート!$E$444="","OK",IF(AND(OR(反映シート!$E$444&gt;=反映シート!$B478,反映シート!$E$444="16以上"),反映シート!I478&lt;&gt;""),"OK",IF(反映シート!$E$444&lt;反映シート!$B478,"OK","NG")))</f>
        <v>OK</v>
      </c>
      <c r="J327" s="64"/>
      <c r="K327" s="32" t="str">
        <f>IF(反映シート!$E$444="","OK",IF(AND(OR(反映シート!$E$444&gt;=反映シート!$B478,反映シート!$E$444="16以上"),反映シート!K478&lt;&gt;""),"OK",IF(反映シート!$E$444&lt;反映シート!$B478,"OK","NG")))</f>
        <v>OK</v>
      </c>
      <c r="L327" s="64"/>
      <c r="M327" s="32" t="str">
        <f>IF(反映シート!$E$444="","OK",IF(AND(OR(反映シート!$E$444&gt;=反映シート!$B478,反映シート!$E$444="16以上"),反映シート!M478&lt;&gt;""),"OK",IF(反映シート!$E$444&lt;反映シート!$B478,"OK","NG")))</f>
        <v>OK</v>
      </c>
      <c r="N327" s="64"/>
      <c r="O327" s="32" t="str">
        <f>IF(反映シート!$E$444="","OK",IF(AND(OR(反映シート!$E$444&gt;=反映シート!$B478,反映シート!$E$444="16以上"),反映シート!O478&lt;&gt;""),"OK",IF(反映シート!$E$444&lt;反映シート!$B478,"OK","NG")))</f>
        <v>OK</v>
      </c>
      <c r="P327" s="64"/>
      <c r="Q327" s="32" t="str">
        <f>IF(反映シート!$E$444="","OK",IF(AND(OR(反映シート!$E$444&gt;=反映シート!$B478,反映シート!$E$444="16以上"),反映シート!Q478&lt;&gt;""),"OK",IF(反映シート!$E$444&lt;反映シート!$B478,"OK","NG")))</f>
        <v>OK</v>
      </c>
      <c r="R327" s="2"/>
      <c r="S327" s="17" t="str">
        <f>IF(C327="OK",1,2)&amp;IF(E327="OK",1,2)&amp;IF(G327="OK",1,2)&amp;IF(I327="OK",1,2)&amp;IF(K327="OK",1,2)&amp;IF(M327="OK",1,2)&amp;IF(O327="OK",1,2)&amp;IF(Q327="OK",1,2)</f>
        <v>11111111</v>
      </c>
      <c r="T327" s="2"/>
      <c r="U327" s="23"/>
      <c r="V327" s="23"/>
      <c r="W327" s="23"/>
      <c r="X327" s="42"/>
      <c r="Y327" s="23"/>
      <c r="Z327" s="23"/>
      <c r="AA327" s="23"/>
      <c r="AB327" s="23"/>
    </row>
    <row r="328" spans="1:28" ht="5.0999999999999996" customHeight="1" x14ac:dyDescent="0.15">
      <c r="A328" s="23"/>
      <c r="B328" s="2"/>
      <c r="C328" s="2"/>
      <c r="D328" s="2"/>
      <c r="E328" s="2"/>
      <c r="F328" s="2"/>
      <c r="G328" s="2"/>
      <c r="H328" s="2"/>
      <c r="I328" s="2"/>
      <c r="J328" s="2"/>
      <c r="K328" s="2"/>
      <c r="L328" s="2"/>
      <c r="M328" s="2"/>
      <c r="N328" s="2"/>
      <c r="O328" s="2"/>
      <c r="P328" s="2"/>
      <c r="Q328" s="2"/>
      <c r="R328" s="2"/>
      <c r="S328" s="2"/>
      <c r="T328" s="2"/>
      <c r="U328" s="23"/>
      <c r="V328" s="23"/>
      <c r="W328" s="23"/>
      <c r="X328" s="42"/>
      <c r="Y328" s="23"/>
      <c r="Z328" s="23"/>
      <c r="AA328" s="23"/>
      <c r="AB328" s="23"/>
    </row>
    <row r="329" spans="1:28" x14ac:dyDescent="0.15">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42"/>
      <c r="Y329" s="23"/>
      <c r="Z329" s="23"/>
      <c r="AA329" s="23"/>
      <c r="AB329" s="23"/>
    </row>
    <row r="330" spans="1:28" ht="5.0999999999999996" customHeight="1" x14ac:dyDescent="0.15">
      <c r="A330" s="23"/>
      <c r="B330" s="4"/>
      <c r="C330" s="4"/>
      <c r="D330" s="4"/>
      <c r="E330" s="4"/>
      <c r="F330" s="4"/>
      <c r="G330" s="4"/>
      <c r="H330" s="4"/>
      <c r="I330" s="4"/>
      <c r="J330" s="4"/>
      <c r="K330" s="4"/>
      <c r="L330" s="4"/>
      <c r="M330" s="4"/>
      <c r="N330" s="4"/>
      <c r="O330" s="4"/>
      <c r="P330" s="4"/>
      <c r="Q330" s="4"/>
      <c r="R330" s="4"/>
      <c r="S330" s="23"/>
      <c r="T330" s="23"/>
      <c r="U330" s="23"/>
      <c r="V330" s="23"/>
      <c r="W330" s="23"/>
      <c r="X330" s="42"/>
      <c r="Y330" s="23"/>
      <c r="Z330" s="23"/>
      <c r="AA330" s="23"/>
      <c r="AB330" s="23"/>
    </row>
    <row r="331" spans="1:28" x14ac:dyDescent="0.15">
      <c r="A331" s="23"/>
      <c r="B331" s="4" t="s">
        <v>360</v>
      </c>
      <c r="C331" s="4"/>
      <c r="D331" s="4"/>
      <c r="E331" s="4"/>
      <c r="F331" s="4"/>
      <c r="G331" s="4"/>
      <c r="H331" s="4"/>
      <c r="I331" s="4"/>
      <c r="J331" s="4"/>
      <c r="K331" s="4"/>
      <c r="L331" s="4"/>
      <c r="M331" s="4"/>
      <c r="N331" s="4"/>
      <c r="O331" s="4"/>
      <c r="P331" s="4"/>
      <c r="Q331" s="4"/>
      <c r="R331" s="4"/>
      <c r="S331" s="23"/>
      <c r="T331" s="23"/>
      <c r="U331" s="23"/>
      <c r="V331" s="23"/>
      <c r="W331" s="23"/>
      <c r="X331" s="42"/>
      <c r="Y331" s="23"/>
      <c r="Z331" s="23"/>
      <c r="AA331" s="23"/>
      <c r="AB331" s="23"/>
    </row>
    <row r="332" spans="1:28" x14ac:dyDescent="0.15">
      <c r="A332" s="23"/>
      <c r="B332" s="4"/>
      <c r="C332" s="4" t="s">
        <v>93</v>
      </c>
      <c r="D332" s="4"/>
      <c r="E332" s="4"/>
      <c r="F332" s="4"/>
      <c r="G332" s="4"/>
      <c r="H332" s="4"/>
      <c r="I332" s="4"/>
      <c r="J332" s="4"/>
      <c r="K332" s="4"/>
      <c r="L332" s="4"/>
      <c r="M332" s="4"/>
      <c r="N332" s="4"/>
      <c r="O332" s="4"/>
      <c r="P332" s="4"/>
      <c r="Q332" s="4"/>
      <c r="R332" s="4"/>
      <c r="S332" s="23"/>
      <c r="T332" s="23"/>
      <c r="U332" s="23"/>
      <c r="V332" s="23"/>
      <c r="W332" s="23"/>
      <c r="X332" s="42"/>
      <c r="Y332" s="23"/>
      <c r="Z332" s="23"/>
      <c r="AA332" s="23"/>
      <c r="AB332" s="23"/>
    </row>
    <row r="333" spans="1:28" ht="5.0999999999999996" customHeight="1" thickBot="1" x14ac:dyDescent="0.2">
      <c r="A333" s="23"/>
      <c r="B333" s="4"/>
      <c r="C333" s="4"/>
      <c r="D333" s="4"/>
      <c r="E333" s="4"/>
      <c r="F333" s="4"/>
      <c r="G333" s="4"/>
      <c r="H333" s="4"/>
      <c r="I333" s="4"/>
      <c r="J333" s="4"/>
      <c r="K333" s="4"/>
      <c r="L333" s="4"/>
      <c r="M333" s="4"/>
      <c r="N333" s="4"/>
      <c r="O333" s="4"/>
      <c r="P333" s="4"/>
      <c r="Q333" s="4"/>
      <c r="R333" s="4"/>
      <c r="S333" s="23"/>
      <c r="T333" s="23"/>
      <c r="U333" s="23"/>
      <c r="V333" s="23"/>
      <c r="W333" s="23"/>
      <c r="X333" s="42"/>
      <c r="Y333" s="23"/>
      <c r="Z333" s="23"/>
      <c r="AA333" s="23"/>
      <c r="AB333" s="23"/>
    </row>
    <row r="334" spans="1:28" ht="14.25" thickBot="1" x14ac:dyDescent="0.2">
      <c r="A334" s="23"/>
      <c r="B334" s="4"/>
      <c r="C334" s="156"/>
      <c r="D334" s="4"/>
      <c r="E334" s="4"/>
      <c r="F334" s="4"/>
      <c r="G334" s="4"/>
      <c r="H334" s="4"/>
      <c r="I334" s="4"/>
      <c r="J334" s="4"/>
      <c r="K334" s="4"/>
      <c r="L334" s="4"/>
      <c r="M334" s="4"/>
      <c r="N334" s="4"/>
      <c r="O334" s="4"/>
      <c r="P334" s="4"/>
      <c r="Q334" s="4"/>
      <c r="R334" s="4"/>
      <c r="S334" s="23"/>
      <c r="T334" s="23"/>
      <c r="U334" s="23"/>
      <c r="V334" s="23"/>
      <c r="W334" s="23"/>
      <c r="X334" s="42"/>
      <c r="Y334" s="23"/>
      <c r="Z334" s="23"/>
      <c r="AA334" s="23"/>
      <c r="AB334" s="23"/>
    </row>
    <row r="335" spans="1:28" ht="5.0999999999999996" customHeight="1" x14ac:dyDescent="0.15">
      <c r="A335" s="23"/>
      <c r="B335" s="4"/>
      <c r="C335" s="4"/>
      <c r="D335" s="4"/>
      <c r="E335" s="4"/>
      <c r="F335" s="4"/>
      <c r="G335" s="4"/>
      <c r="H335" s="4"/>
      <c r="I335" s="4"/>
      <c r="J335" s="4"/>
      <c r="K335" s="4"/>
      <c r="L335" s="4"/>
      <c r="M335" s="4"/>
      <c r="N335" s="4"/>
      <c r="O335" s="4"/>
      <c r="P335" s="4"/>
      <c r="Q335" s="4"/>
      <c r="R335" s="4"/>
      <c r="S335" s="23"/>
      <c r="T335" s="23"/>
      <c r="U335" s="23"/>
      <c r="V335" s="23"/>
      <c r="W335" s="23"/>
      <c r="X335" s="42"/>
      <c r="Y335" s="23"/>
      <c r="Z335" s="23"/>
      <c r="AA335" s="23"/>
      <c r="AB335" s="23"/>
    </row>
    <row r="336" spans="1:28" x14ac:dyDescent="0.15">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row>
    <row r="337" spans="1:28" x14ac:dyDescent="0.15">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row>
    <row r="338" spans="1:28" x14ac:dyDescent="0.15">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row>
    <row r="339" spans="1:28" x14ac:dyDescent="0.15">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row>
    <row r="340" spans="1:28" x14ac:dyDescent="0.15">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row>
    <row r="341" spans="1:28" x14ac:dyDescent="0.15">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row>
    <row r="342" spans="1:28" x14ac:dyDescent="0.15">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row>
    <row r="343" spans="1:28" x14ac:dyDescent="0.15">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row>
  </sheetData>
  <sheetProtection selectLockedCells="1"/>
  <mergeCells count="3">
    <mergeCell ref="B2:R2"/>
    <mergeCell ref="C95:D95"/>
    <mergeCell ref="C58:D58"/>
  </mergeCells>
  <phoneticPr fontId="5"/>
  <conditionalFormatting sqref="K194">
    <cfRule type="expression" dxfId="587" priority="3523">
      <formula>$K$194="　補助対象経費より金額が低くなっています。"</formula>
    </cfRule>
  </conditionalFormatting>
  <conditionalFormatting sqref="K198">
    <cfRule type="expression" dxfId="586" priority="3521">
      <formula>$K198="　補助対象経費より金額が低くなっています。"</formula>
    </cfRule>
  </conditionalFormatting>
  <conditionalFormatting sqref="K202">
    <cfRule type="expression" dxfId="585" priority="3518">
      <formula>$K202="　補助対象経費より金額が低くなっています。"</formula>
    </cfRule>
  </conditionalFormatting>
  <conditionalFormatting sqref="K206">
    <cfRule type="expression" dxfId="584" priority="3515">
      <formula>$K206="　補助対象経費より金額が低くなっています。"</formula>
    </cfRule>
  </conditionalFormatting>
  <conditionalFormatting sqref="E30">
    <cfRule type="expression" dxfId="583" priority="3490">
      <formula>E30="NG"</formula>
    </cfRule>
    <cfRule type="expression" dxfId="582" priority="3491">
      <formula>E30="OK"</formula>
    </cfRule>
  </conditionalFormatting>
  <conditionalFormatting sqref="E28">
    <cfRule type="expression" dxfId="581" priority="3492">
      <formula>E28="NG"</formula>
    </cfRule>
    <cfRule type="expression" dxfId="580" priority="3493">
      <formula>E28="OK"</formula>
    </cfRule>
  </conditionalFormatting>
  <conditionalFormatting sqref="E38">
    <cfRule type="expression" dxfId="579" priority="3478">
      <formula>E38="NG"</formula>
    </cfRule>
    <cfRule type="expression" dxfId="578" priority="3479">
      <formula>E38="OK"</formula>
    </cfRule>
  </conditionalFormatting>
  <conditionalFormatting sqref="E34">
    <cfRule type="expression" dxfId="577" priority="3486">
      <formula>E34="NG"</formula>
    </cfRule>
    <cfRule type="expression" dxfId="576" priority="3487">
      <formula>E34="OK"</formula>
    </cfRule>
  </conditionalFormatting>
  <conditionalFormatting sqref="E56">
    <cfRule type="expression" dxfId="575" priority="3464">
      <formula>E56="NG"</formula>
    </cfRule>
    <cfRule type="expression" dxfId="574" priority="3465">
      <formula>E56="OK"</formula>
    </cfRule>
  </conditionalFormatting>
  <conditionalFormatting sqref="E36">
    <cfRule type="expression" dxfId="573" priority="3480">
      <formula>E36="SPACE"</formula>
    </cfRule>
    <cfRule type="expression" dxfId="572" priority="3481">
      <formula>E36="WIRTED"</formula>
    </cfRule>
  </conditionalFormatting>
  <conditionalFormatting sqref="E44">
    <cfRule type="expression" dxfId="571" priority="3476">
      <formula>E44="NG"</formula>
    </cfRule>
    <cfRule type="expression" dxfId="570" priority="3477">
      <formula>E44="OK"</formula>
    </cfRule>
  </conditionalFormatting>
  <conditionalFormatting sqref="E46">
    <cfRule type="expression" dxfId="569" priority="3474">
      <formula>E46="NG"</formula>
    </cfRule>
    <cfRule type="expression" dxfId="568" priority="3475">
      <formula>E46="OK"</formula>
    </cfRule>
  </conditionalFormatting>
  <conditionalFormatting sqref="E48">
    <cfRule type="expression" dxfId="567" priority="3472">
      <formula>E48="NG"</formula>
    </cfRule>
    <cfRule type="expression" dxfId="566" priority="3473">
      <formula>E48="OK"</formula>
    </cfRule>
  </conditionalFormatting>
  <conditionalFormatting sqref="E50">
    <cfRule type="expression" dxfId="565" priority="3470">
      <formula>E50="NG"</formula>
    </cfRule>
    <cfRule type="expression" dxfId="564" priority="3471">
      <formula>E50="OK"</formula>
    </cfRule>
  </conditionalFormatting>
  <conditionalFormatting sqref="E52">
    <cfRule type="expression" dxfId="563" priority="3468">
      <formula>E52="NG"</formula>
    </cfRule>
    <cfRule type="expression" dxfId="562" priority="3469">
      <formula>E52="OK"</formula>
    </cfRule>
  </conditionalFormatting>
  <conditionalFormatting sqref="E54">
    <cfRule type="expression" dxfId="561" priority="3466">
      <formula>E54="NG"</formula>
    </cfRule>
    <cfRule type="expression" dxfId="560" priority="3467">
      <formula>E54="OK"</formula>
    </cfRule>
  </conditionalFormatting>
  <conditionalFormatting sqref="E14">
    <cfRule type="expression" dxfId="559" priority="3458">
      <formula>E14="SPACE"</formula>
    </cfRule>
    <cfRule type="expression" dxfId="558" priority="3459">
      <formula>E14="WIRTED"</formula>
    </cfRule>
  </conditionalFormatting>
  <conditionalFormatting sqref="E20">
    <cfRule type="expression" dxfId="557" priority="3456">
      <formula>E20="NG"</formula>
    </cfRule>
    <cfRule type="expression" dxfId="556" priority="3457">
      <formula>E20="OK"</formula>
    </cfRule>
  </conditionalFormatting>
  <conditionalFormatting sqref="E101">
    <cfRule type="expression" dxfId="555" priority="3452">
      <formula>E101="NG"</formula>
    </cfRule>
    <cfRule type="expression" dxfId="554" priority="3453">
      <formula>E101="OK"</formula>
    </cfRule>
  </conditionalFormatting>
  <conditionalFormatting sqref="E174">
    <cfRule type="expression" dxfId="553" priority="3450">
      <formula>E174="NG"</formula>
    </cfRule>
    <cfRule type="expression" dxfId="552" priority="3451">
      <formula>E174="OK"</formula>
    </cfRule>
  </conditionalFormatting>
  <conditionalFormatting sqref="E178">
    <cfRule type="expression" dxfId="551" priority="3448">
      <formula>E178="NG"</formula>
    </cfRule>
    <cfRule type="expression" dxfId="550" priority="3449">
      <formula>E178="OK"</formula>
    </cfRule>
  </conditionalFormatting>
  <conditionalFormatting sqref="E182">
    <cfRule type="expression" dxfId="549" priority="3444">
      <formula>E182="NG"</formula>
    </cfRule>
    <cfRule type="expression" dxfId="548" priority="3445">
      <formula>E182="OK"</formula>
    </cfRule>
  </conditionalFormatting>
  <conditionalFormatting sqref="E186">
    <cfRule type="expression" dxfId="547" priority="3442">
      <formula>E186="NG"</formula>
    </cfRule>
    <cfRule type="expression" dxfId="546" priority="3443">
      <formula>E186="OK"</formula>
    </cfRule>
  </conditionalFormatting>
  <conditionalFormatting sqref="E194">
    <cfRule type="expression" dxfId="545" priority="3440">
      <formula>E194="NG"</formula>
    </cfRule>
    <cfRule type="expression" dxfId="544" priority="3441">
      <formula>E194="OK"</formula>
    </cfRule>
  </conditionalFormatting>
  <conditionalFormatting sqref="E198">
    <cfRule type="expression" dxfId="543" priority="3436">
      <formula>E198="NG"</formula>
    </cfRule>
    <cfRule type="expression" dxfId="542" priority="3437">
      <formula>E198="OK"</formula>
    </cfRule>
  </conditionalFormatting>
  <conditionalFormatting sqref="E202">
    <cfRule type="expression" dxfId="541" priority="3434">
      <formula>E202="NG"</formula>
    </cfRule>
    <cfRule type="expression" dxfId="540" priority="3435">
      <formula>E202="OK"</formula>
    </cfRule>
  </conditionalFormatting>
  <conditionalFormatting sqref="E206">
    <cfRule type="expression" dxfId="539" priority="3430">
      <formula>E206="NG"</formula>
    </cfRule>
    <cfRule type="expression" dxfId="538" priority="3431">
      <formula>E206="OK"</formula>
    </cfRule>
  </conditionalFormatting>
  <conditionalFormatting sqref="E212">
    <cfRule type="expression" dxfId="537" priority="3428">
      <formula>E212="NG"</formula>
    </cfRule>
    <cfRule type="expression" dxfId="536" priority="3429">
      <formula>E212="OK"</formula>
    </cfRule>
  </conditionalFormatting>
  <conditionalFormatting sqref="E218">
    <cfRule type="expression" dxfId="535" priority="3426">
      <formula>E218="SPACE"</formula>
    </cfRule>
    <cfRule type="expression" dxfId="534" priority="3427">
      <formula>E218="WIRTED"</formula>
    </cfRule>
  </conditionalFormatting>
  <conditionalFormatting sqref="E222">
    <cfRule type="expression" dxfId="533" priority="3422">
      <formula>E222="SPACE"</formula>
    </cfRule>
    <cfRule type="expression" dxfId="532" priority="3423">
      <formula>E222="WIRTED"</formula>
    </cfRule>
  </conditionalFormatting>
  <conditionalFormatting sqref="E226">
    <cfRule type="expression" dxfId="531" priority="3420">
      <formula>E226="NG"</formula>
    </cfRule>
    <cfRule type="expression" dxfId="530" priority="3421">
      <formula>E226="OK"</formula>
    </cfRule>
  </conditionalFormatting>
  <conditionalFormatting sqref="E228">
    <cfRule type="expression" dxfId="529" priority="3418">
      <formula>E228="NG"</formula>
    </cfRule>
    <cfRule type="expression" dxfId="528" priority="3419">
      <formula>E228="OK"</formula>
    </cfRule>
  </conditionalFormatting>
  <conditionalFormatting sqref="E232">
    <cfRule type="expression" dxfId="527" priority="3416">
      <formula>E232="NG"</formula>
    </cfRule>
    <cfRule type="expression" dxfId="526" priority="3417">
      <formula>E232="OK"</formula>
    </cfRule>
  </conditionalFormatting>
  <conditionalFormatting sqref="E234">
    <cfRule type="expression" dxfId="525" priority="3414">
      <formula>E234="SPACE"</formula>
    </cfRule>
    <cfRule type="expression" dxfId="524" priority="3415">
      <formula>E234="WIRTED"</formula>
    </cfRule>
  </conditionalFormatting>
  <conditionalFormatting sqref="E236">
    <cfRule type="expression" dxfId="523" priority="3412">
      <formula>E236="NG"</formula>
    </cfRule>
    <cfRule type="expression" dxfId="522" priority="3413">
      <formula>E236="OK"</formula>
    </cfRule>
  </conditionalFormatting>
  <conditionalFormatting sqref="E257">
    <cfRule type="expression" dxfId="521" priority="3390">
      <formula>E257="NG"</formula>
    </cfRule>
    <cfRule type="expression" dxfId="520" priority="3391">
      <formula>E257="OK"</formula>
    </cfRule>
  </conditionalFormatting>
  <conditionalFormatting sqref="E295">
    <cfRule type="expression" dxfId="519" priority="2858">
      <formula>E295="NG"</formula>
    </cfRule>
    <cfRule type="expression" dxfId="518" priority="2859">
      <formula>E295="OK"</formula>
    </cfRule>
  </conditionalFormatting>
  <conditionalFormatting sqref="C263">
    <cfRule type="expression" dxfId="517" priority="1036">
      <formula>C263="NG"</formula>
    </cfRule>
    <cfRule type="expression" dxfId="516" priority="1037">
      <formula>C263="OK"</formula>
    </cfRule>
  </conditionalFormatting>
  <conditionalFormatting sqref="E263">
    <cfRule type="expression" dxfId="515" priority="560">
      <formula>E263="NG"</formula>
    </cfRule>
    <cfRule type="expression" dxfId="514" priority="561">
      <formula>E263="OK"</formula>
    </cfRule>
  </conditionalFormatting>
  <conditionalFormatting sqref="E289">
    <cfRule type="expression" dxfId="513" priority="352">
      <formula>E289="NG"</formula>
    </cfRule>
    <cfRule type="expression" dxfId="512" priority="353">
      <formula>E289="OK"</formula>
    </cfRule>
  </conditionalFormatting>
  <conditionalFormatting sqref="C265">
    <cfRule type="expression" dxfId="511" priority="546">
      <formula>C265="NG"</formula>
    </cfRule>
    <cfRule type="expression" dxfId="510" priority="547">
      <formula>C265="OK"</formula>
    </cfRule>
  </conditionalFormatting>
  <conditionalFormatting sqref="Q265">
    <cfRule type="expression" dxfId="509" priority="532">
      <formula>Q265="NG"</formula>
    </cfRule>
    <cfRule type="expression" dxfId="508" priority="533">
      <formula>Q265="OK"</formula>
    </cfRule>
  </conditionalFormatting>
  <conditionalFormatting sqref="M267">
    <cfRule type="expression" dxfId="507" priority="520">
      <formula>M267="NG"</formula>
    </cfRule>
    <cfRule type="expression" dxfId="506" priority="521">
      <formula>M267="OK"</formula>
    </cfRule>
  </conditionalFormatting>
  <conditionalFormatting sqref="K269">
    <cfRule type="expression" dxfId="505" priority="506">
      <formula>K269="NG"</formula>
    </cfRule>
    <cfRule type="expression" dxfId="504" priority="507">
      <formula>K269="OK"</formula>
    </cfRule>
  </conditionalFormatting>
  <conditionalFormatting sqref="I271">
    <cfRule type="expression" dxfId="503" priority="492">
      <formula>I271="NG"</formula>
    </cfRule>
    <cfRule type="expression" dxfId="502" priority="493">
      <formula>I271="OK"</formula>
    </cfRule>
  </conditionalFormatting>
  <conditionalFormatting sqref="G273">
    <cfRule type="expression" dxfId="501" priority="478">
      <formula>G273="NG"</formula>
    </cfRule>
    <cfRule type="expression" dxfId="500" priority="479">
      <formula>G273="OK"</formula>
    </cfRule>
  </conditionalFormatting>
  <conditionalFormatting sqref="E275">
    <cfRule type="expression" dxfId="499" priority="464">
      <formula>E275="NG"</formula>
    </cfRule>
    <cfRule type="expression" dxfId="498" priority="465">
      <formula>E275="OK"</formula>
    </cfRule>
  </conditionalFormatting>
  <conditionalFormatting sqref="E287">
    <cfRule type="expression" dxfId="497" priority="368">
      <formula>E287="NG"</formula>
    </cfRule>
    <cfRule type="expression" dxfId="496" priority="369">
      <formula>E287="OK"</formula>
    </cfRule>
  </conditionalFormatting>
  <conditionalFormatting sqref="Q289">
    <cfRule type="expression" dxfId="495" priority="340">
      <formula>Q289="NG"</formula>
    </cfRule>
    <cfRule type="expression" dxfId="494" priority="341">
      <formula>Q289="OK"</formula>
    </cfRule>
  </conditionalFormatting>
  <conditionalFormatting sqref="I285">
    <cfRule type="expression" dxfId="493" priority="380">
      <formula>I285="NG"</formula>
    </cfRule>
    <cfRule type="expression" dxfId="492" priority="381">
      <formula>I285="OK"</formula>
    </cfRule>
  </conditionalFormatting>
  <conditionalFormatting sqref="K283">
    <cfRule type="expression" dxfId="491" priority="394">
      <formula>K283="NG"</formula>
    </cfRule>
    <cfRule type="expression" dxfId="490" priority="395">
      <formula>K283="OK"</formula>
    </cfRule>
  </conditionalFormatting>
  <conditionalFormatting sqref="M281">
    <cfRule type="expression" dxfId="489" priority="408">
      <formula>M281="NG"</formula>
    </cfRule>
    <cfRule type="expression" dxfId="488" priority="409">
      <formula>M281="OK"</formula>
    </cfRule>
  </conditionalFormatting>
  <conditionalFormatting sqref="O279">
    <cfRule type="expression" dxfId="487" priority="422">
      <formula>O279="NG"</formula>
    </cfRule>
    <cfRule type="expression" dxfId="486" priority="423">
      <formula>O279="OK"</formula>
    </cfRule>
  </conditionalFormatting>
  <conditionalFormatting sqref="Q277">
    <cfRule type="expression" dxfId="485" priority="436">
      <formula>Q277="NG"</formula>
    </cfRule>
    <cfRule type="expression" dxfId="484" priority="437">
      <formula>Q277="OK"</formula>
    </cfRule>
  </conditionalFormatting>
  <conditionalFormatting sqref="C277">
    <cfRule type="expression" dxfId="483" priority="450">
      <formula>C277="NG"</formula>
    </cfRule>
    <cfRule type="expression" dxfId="482" priority="451">
      <formula>C277="OK"</formula>
    </cfRule>
  </conditionalFormatting>
  <conditionalFormatting sqref="G263">
    <cfRule type="expression" dxfId="481" priority="558">
      <formula>G263="NG"</formula>
    </cfRule>
    <cfRule type="expression" dxfId="480" priority="559">
      <formula>G263="OK"</formula>
    </cfRule>
  </conditionalFormatting>
  <conditionalFormatting sqref="I263">
    <cfRule type="expression" dxfId="479" priority="556">
      <formula>I263="NG"</formula>
    </cfRule>
    <cfRule type="expression" dxfId="478" priority="557">
      <formula>I263="OK"</formula>
    </cfRule>
  </conditionalFormatting>
  <conditionalFormatting sqref="K263">
    <cfRule type="expression" dxfId="477" priority="554">
      <formula>K263="NG"</formula>
    </cfRule>
    <cfRule type="expression" dxfId="476" priority="555">
      <formula>K263="OK"</formula>
    </cfRule>
  </conditionalFormatting>
  <conditionalFormatting sqref="M263">
    <cfRule type="expression" dxfId="475" priority="552">
      <formula>M263="NG"</formula>
    </cfRule>
    <cfRule type="expression" dxfId="474" priority="553">
      <formula>M263="OK"</formula>
    </cfRule>
  </conditionalFormatting>
  <conditionalFormatting sqref="O263">
    <cfRule type="expression" dxfId="473" priority="550">
      <formula>O263="NG"</formula>
    </cfRule>
    <cfRule type="expression" dxfId="472" priority="551">
      <formula>O263="OK"</formula>
    </cfRule>
  </conditionalFormatting>
  <conditionalFormatting sqref="Q263">
    <cfRule type="expression" dxfId="471" priority="548">
      <formula>Q263="NG"</formula>
    </cfRule>
    <cfRule type="expression" dxfId="470" priority="549">
      <formula>Q263="OK"</formula>
    </cfRule>
  </conditionalFormatting>
  <conditionalFormatting sqref="E265">
    <cfRule type="expression" dxfId="469" priority="544">
      <formula>E265="NG"</formula>
    </cfRule>
    <cfRule type="expression" dxfId="468" priority="545">
      <formula>E265="OK"</formula>
    </cfRule>
  </conditionalFormatting>
  <conditionalFormatting sqref="G265">
    <cfRule type="expression" dxfId="467" priority="542">
      <formula>G265="NG"</formula>
    </cfRule>
    <cfRule type="expression" dxfId="466" priority="543">
      <formula>G265="OK"</formula>
    </cfRule>
  </conditionalFormatting>
  <conditionalFormatting sqref="I265">
    <cfRule type="expression" dxfId="465" priority="540">
      <formula>I265="NG"</formula>
    </cfRule>
    <cfRule type="expression" dxfId="464" priority="541">
      <formula>I265="OK"</formula>
    </cfRule>
  </conditionalFormatting>
  <conditionalFormatting sqref="K265">
    <cfRule type="expression" dxfId="463" priority="538">
      <formula>K265="NG"</formula>
    </cfRule>
    <cfRule type="expression" dxfId="462" priority="539">
      <formula>K265="OK"</formula>
    </cfRule>
  </conditionalFormatting>
  <conditionalFormatting sqref="M265">
    <cfRule type="expression" dxfId="461" priority="536">
      <formula>M265="NG"</formula>
    </cfRule>
    <cfRule type="expression" dxfId="460" priority="537">
      <formula>M265="OK"</formula>
    </cfRule>
  </conditionalFormatting>
  <conditionalFormatting sqref="O265">
    <cfRule type="expression" dxfId="459" priority="534">
      <formula>O265="NG"</formula>
    </cfRule>
    <cfRule type="expression" dxfId="458" priority="535">
      <formula>O265="OK"</formula>
    </cfRule>
  </conditionalFormatting>
  <conditionalFormatting sqref="C267">
    <cfRule type="expression" dxfId="457" priority="530">
      <formula>C267="NG"</formula>
    </cfRule>
    <cfRule type="expression" dxfId="456" priority="531">
      <formula>C267="OK"</formula>
    </cfRule>
  </conditionalFormatting>
  <conditionalFormatting sqref="E267">
    <cfRule type="expression" dxfId="455" priority="528">
      <formula>E267="NG"</formula>
    </cfRule>
    <cfRule type="expression" dxfId="454" priority="529">
      <formula>E267="OK"</formula>
    </cfRule>
  </conditionalFormatting>
  <conditionalFormatting sqref="G267">
    <cfRule type="expression" dxfId="453" priority="526">
      <formula>G267="NG"</formula>
    </cfRule>
    <cfRule type="expression" dxfId="452" priority="527">
      <formula>G267="OK"</formula>
    </cfRule>
  </conditionalFormatting>
  <conditionalFormatting sqref="I267">
    <cfRule type="expression" dxfId="451" priority="524">
      <formula>I267="NG"</formula>
    </cfRule>
    <cfRule type="expression" dxfId="450" priority="525">
      <formula>I267="OK"</formula>
    </cfRule>
  </conditionalFormatting>
  <conditionalFormatting sqref="K267">
    <cfRule type="expression" dxfId="449" priority="522">
      <formula>K267="NG"</formula>
    </cfRule>
    <cfRule type="expression" dxfId="448" priority="523">
      <formula>K267="OK"</formula>
    </cfRule>
  </conditionalFormatting>
  <conditionalFormatting sqref="O267">
    <cfRule type="expression" dxfId="447" priority="518">
      <formula>O267="NG"</formula>
    </cfRule>
    <cfRule type="expression" dxfId="446" priority="519">
      <formula>O267="OK"</formula>
    </cfRule>
  </conditionalFormatting>
  <conditionalFormatting sqref="Q267">
    <cfRule type="expression" dxfId="445" priority="516">
      <formula>Q267="NG"</formula>
    </cfRule>
    <cfRule type="expression" dxfId="444" priority="517">
      <formula>Q267="OK"</formula>
    </cfRule>
  </conditionalFormatting>
  <conditionalFormatting sqref="C269">
    <cfRule type="expression" dxfId="443" priority="514">
      <formula>C269="NG"</formula>
    </cfRule>
    <cfRule type="expression" dxfId="442" priority="515">
      <formula>C269="OK"</formula>
    </cfRule>
  </conditionalFormatting>
  <conditionalFormatting sqref="E269">
    <cfRule type="expression" dxfId="441" priority="512">
      <formula>E269="NG"</formula>
    </cfRule>
    <cfRule type="expression" dxfId="440" priority="513">
      <formula>E269="OK"</formula>
    </cfRule>
  </conditionalFormatting>
  <conditionalFormatting sqref="G269">
    <cfRule type="expression" dxfId="439" priority="510">
      <formula>G269="NG"</formula>
    </cfRule>
    <cfRule type="expression" dxfId="438" priority="511">
      <formula>G269="OK"</formula>
    </cfRule>
  </conditionalFormatting>
  <conditionalFormatting sqref="I269">
    <cfRule type="expression" dxfId="437" priority="508">
      <formula>I269="NG"</formula>
    </cfRule>
    <cfRule type="expression" dxfId="436" priority="509">
      <formula>I269="OK"</formula>
    </cfRule>
  </conditionalFormatting>
  <conditionalFormatting sqref="M269">
    <cfRule type="expression" dxfId="435" priority="504">
      <formula>M269="NG"</formula>
    </cfRule>
    <cfRule type="expression" dxfId="434" priority="505">
      <formula>M269="OK"</formula>
    </cfRule>
  </conditionalFormatting>
  <conditionalFormatting sqref="O269">
    <cfRule type="expression" dxfId="433" priority="502">
      <formula>O269="NG"</formula>
    </cfRule>
    <cfRule type="expression" dxfId="432" priority="503">
      <formula>O269="OK"</formula>
    </cfRule>
  </conditionalFormatting>
  <conditionalFormatting sqref="Q269">
    <cfRule type="expression" dxfId="431" priority="500">
      <formula>Q269="NG"</formula>
    </cfRule>
    <cfRule type="expression" dxfId="430" priority="501">
      <formula>Q269="OK"</formula>
    </cfRule>
  </conditionalFormatting>
  <conditionalFormatting sqref="C271">
    <cfRule type="expression" dxfId="429" priority="498">
      <formula>C271="NG"</formula>
    </cfRule>
    <cfRule type="expression" dxfId="428" priority="499">
      <formula>C271="OK"</formula>
    </cfRule>
  </conditionalFormatting>
  <conditionalFormatting sqref="E271">
    <cfRule type="expression" dxfId="427" priority="496">
      <formula>E271="NG"</formula>
    </cfRule>
    <cfRule type="expression" dxfId="426" priority="497">
      <formula>E271="OK"</formula>
    </cfRule>
  </conditionalFormatting>
  <conditionalFormatting sqref="G271">
    <cfRule type="expression" dxfId="425" priority="494">
      <formula>G271="NG"</formula>
    </cfRule>
    <cfRule type="expression" dxfId="424" priority="495">
      <formula>G271="OK"</formula>
    </cfRule>
  </conditionalFormatting>
  <conditionalFormatting sqref="K271">
    <cfRule type="expression" dxfId="423" priority="490">
      <formula>K271="NG"</formula>
    </cfRule>
    <cfRule type="expression" dxfId="422" priority="491">
      <formula>K271="OK"</formula>
    </cfRule>
  </conditionalFormatting>
  <conditionalFormatting sqref="M271">
    <cfRule type="expression" dxfId="421" priority="488">
      <formula>M271="NG"</formula>
    </cfRule>
    <cfRule type="expression" dxfId="420" priority="489">
      <formula>M271="OK"</formula>
    </cfRule>
  </conditionalFormatting>
  <conditionalFormatting sqref="O271">
    <cfRule type="expression" dxfId="419" priority="486">
      <formula>O271="NG"</formula>
    </cfRule>
    <cfRule type="expression" dxfId="418" priority="487">
      <formula>O271="OK"</formula>
    </cfRule>
  </conditionalFormatting>
  <conditionalFormatting sqref="Q271">
    <cfRule type="expression" dxfId="417" priority="484">
      <formula>Q271="NG"</formula>
    </cfRule>
    <cfRule type="expression" dxfId="416" priority="485">
      <formula>Q271="OK"</formula>
    </cfRule>
  </conditionalFormatting>
  <conditionalFormatting sqref="C273">
    <cfRule type="expression" dxfId="415" priority="482">
      <formula>C273="NG"</formula>
    </cfRule>
    <cfRule type="expression" dxfId="414" priority="483">
      <formula>C273="OK"</formula>
    </cfRule>
  </conditionalFormatting>
  <conditionalFormatting sqref="E273">
    <cfRule type="expression" dxfId="413" priority="480">
      <formula>E273="NG"</formula>
    </cfRule>
    <cfRule type="expression" dxfId="412" priority="481">
      <formula>E273="OK"</formula>
    </cfRule>
  </conditionalFormatting>
  <conditionalFormatting sqref="I273">
    <cfRule type="expression" dxfId="411" priority="476">
      <formula>I273="NG"</formula>
    </cfRule>
    <cfRule type="expression" dxfId="410" priority="477">
      <formula>I273="OK"</formula>
    </cfRule>
  </conditionalFormatting>
  <conditionalFormatting sqref="K273">
    <cfRule type="expression" dxfId="409" priority="474">
      <formula>K273="NG"</formula>
    </cfRule>
    <cfRule type="expression" dxfId="408" priority="475">
      <formula>K273="OK"</formula>
    </cfRule>
  </conditionalFormatting>
  <conditionalFormatting sqref="M273">
    <cfRule type="expression" dxfId="407" priority="472">
      <formula>M273="NG"</formula>
    </cfRule>
    <cfRule type="expression" dxfId="406" priority="473">
      <formula>M273="OK"</formula>
    </cfRule>
  </conditionalFormatting>
  <conditionalFormatting sqref="O273">
    <cfRule type="expression" dxfId="405" priority="470">
      <formula>O273="NG"</formula>
    </cfRule>
    <cfRule type="expression" dxfId="404" priority="471">
      <formula>O273="OK"</formula>
    </cfRule>
  </conditionalFormatting>
  <conditionalFormatting sqref="Q273">
    <cfRule type="expression" dxfId="403" priority="468">
      <formula>Q273="NG"</formula>
    </cfRule>
    <cfRule type="expression" dxfId="402" priority="469">
      <formula>Q273="OK"</formula>
    </cfRule>
  </conditionalFormatting>
  <conditionalFormatting sqref="C275">
    <cfRule type="expression" dxfId="401" priority="466">
      <formula>C275="NG"</formula>
    </cfRule>
    <cfRule type="expression" dxfId="400" priority="467">
      <formula>C275="OK"</formula>
    </cfRule>
  </conditionalFormatting>
  <conditionalFormatting sqref="G275">
    <cfRule type="expression" dxfId="399" priority="462">
      <formula>G275="NG"</formula>
    </cfRule>
    <cfRule type="expression" dxfId="398" priority="463">
      <formula>G275="OK"</formula>
    </cfRule>
  </conditionalFormatting>
  <conditionalFormatting sqref="I275">
    <cfRule type="expression" dxfId="397" priority="460">
      <formula>I275="NG"</formula>
    </cfRule>
    <cfRule type="expression" dxfId="396" priority="461">
      <formula>I275="OK"</formula>
    </cfRule>
  </conditionalFormatting>
  <conditionalFormatting sqref="K275">
    <cfRule type="expression" dxfId="395" priority="458">
      <formula>K275="NG"</formula>
    </cfRule>
    <cfRule type="expression" dxfId="394" priority="459">
      <formula>K275="OK"</formula>
    </cfRule>
  </conditionalFormatting>
  <conditionalFormatting sqref="M275">
    <cfRule type="expression" dxfId="393" priority="456">
      <formula>M275="NG"</formula>
    </cfRule>
    <cfRule type="expression" dxfId="392" priority="457">
      <formula>M275="OK"</formula>
    </cfRule>
  </conditionalFormatting>
  <conditionalFormatting sqref="O275">
    <cfRule type="expression" dxfId="391" priority="454">
      <formula>O275="NG"</formula>
    </cfRule>
    <cfRule type="expression" dxfId="390" priority="455">
      <formula>O275="OK"</formula>
    </cfRule>
  </conditionalFormatting>
  <conditionalFormatting sqref="Q275">
    <cfRule type="expression" dxfId="389" priority="452">
      <formula>Q275="NG"</formula>
    </cfRule>
    <cfRule type="expression" dxfId="388" priority="453">
      <formula>Q275="OK"</formula>
    </cfRule>
  </conditionalFormatting>
  <conditionalFormatting sqref="E277">
    <cfRule type="expression" dxfId="387" priority="448">
      <formula>E277="NG"</formula>
    </cfRule>
    <cfRule type="expression" dxfId="386" priority="449">
      <formula>E277="OK"</formula>
    </cfRule>
  </conditionalFormatting>
  <conditionalFormatting sqref="G277">
    <cfRule type="expression" dxfId="385" priority="446">
      <formula>G277="NG"</formula>
    </cfRule>
    <cfRule type="expression" dxfId="384" priority="447">
      <formula>G277="OK"</formula>
    </cfRule>
  </conditionalFormatting>
  <conditionalFormatting sqref="I277">
    <cfRule type="expression" dxfId="383" priority="444">
      <formula>I277="NG"</formula>
    </cfRule>
    <cfRule type="expression" dxfId="382" priority="445">
      <formula>I277="OK"</formula>
    </cfRule>
  </conditionalFormatting>
  <conditionalFormatting sqref="K277">
    <cfRule type="expression" dxfId="381" priority="442">
      <formula>K277="NG"</formula>
    </cfRule>
    <cfRule type="expression" dxfId="380" priority="443">
      <formula>K277="OK"</formula>
    </cfRule>
  </conditionalFormatting>
  <conditionalFormatting sqref="M277">
    <cfRule type="expression" dxfId="379" priority="440">
      <formula>M277="NG"</formula>
    </cfRule>
    <cfRule type="expression" dxfId="378" priority="441">
      <formula>M277="OK"</formula>
    </cfRule>
  </conditionalFormatting>
  <conditionalFormatting sqref="O277">
    <cfRule type="expression" dxfId="377" priority="438">
      <formula>O277="NG"</formula>
    </cfRule>
    <cfRule type="expression" dxfId="376" priority="439">
      <formula>O277="OK"</formula>
    </cfRule>
  </conditionalFormatting>
  <conditionalFormatting sqref="C279">
    <cfRule type="expression" dxfId="375" priority="434">
      <formula>C279="NG"</formula>
    </cfRule>
    <cfRule type="expression" dxfId="374" priority="435">
      <formula>C279="OK"</formula>
    </cfRule>
  </conditionalFormatting>
  <conditionalFormatting sqref="E279">
    <cfRule type="expression" dxfId="373" priority="432">
      <formula>E279="NG"</formula>
    </cfRule>
    <cfRule type="expression" dxfId="372" priority="433">
      <formula>E279="OK"</formula>
    </cfRule>
  </conditionalFormatting>
  <conditionalFormatting sqref="G279">
    <cfRule type="expression" dxfId="371" priority="430">
      <formula>G279="NG"</formula>
    </cfRule>
    <cfRule type="expression" dxfId="370" priority="431">
      <formula>G279="OK"</formula>
    </cfRule>
  </conditionalFormatting>
  <conditionalFormatting sqref="I279">
    <cfRule type="expression" dxfId="369" priority="428">
      <formula>I279="NG"</formula>
    </cfRule>
    <cfRule type="expression" dxfId="368" priority="429">
      <formula>I279="OK"</formula>
    </cfRule>
  </conditionalFormatting>
  <conditionalFormatting sqref="K279">
    <cfRule type="expression" dxfId="367" priority="426">
      <formula>K279="NG"</formula>
    </cfRule>
    <cfRule type="expression" dxfId="366" priority="427">
      <formula>K279="OK"</formula>
    </cfRule>
  </conditionalFormatting>
  <conditionalFormatting sqref="M279">
    <cfRule type="expression" dxfId="365" priority="424">
      <formula>M279="NG"</formula>
    </cfRule>
    <cfRule type="expression" dxfId="364" priority="425">
      <formula>M279="OK"</formula>
    </cfRule>
  </conditionalFormatting>
  <conditionalFormatting sqref="Q279">
    <cfRule type="expression" dxfId="363" priority="420">
      <formula>Q279="NG"</formula>
    </cfRule>
    <cfRule type="expression" dxfId="362" priority="421">
      <formula>Q279="OK"</formula>
    </cfRule>
  </conditionalFormatting>
  <conditionalFormatting sqref="C281">
    <cfRule type="expression" dxfId="361" priority="418">
      <formula>C281="NG"</formula>
    </cfRule>
    <cfRule type="expression" dxfId="360" priority="419">
      <formula>C281="OK"</formula>
    </cfRule>
  </conditionalFormatting>
  <conditionalFormatting sqref="E281">
    <cfRule type="expression" dxfId="359" priority="416">
      <formula>E281="NG"</formula>
    </cfRule>
    <cfRule type="expression" dxfId="358" priority="417">
      <formula>E281="OK"</formula>
    </cfRule>
  </conditionalFormatting>
  <conditionalFormatting sqref="G281">
    <cfRule type="expression" dxfId="357" priority="414">
      <formula>G281="NG"</formula>
    </cfRule>
    <cfRule type="expression" dxfId="356" priority="415">
      <formula>G281="OK"</formula>
    </cfRule>
  </conditionalFormatting>
  <conditionalFormatting sqref="I281">
    <cfRule type="expression" dxfId="355" priority="412">
      <formula>I281="NG"</formula>
    </cfRule>
    <cfRule type="expression" dxfId="354" priority="413">
      <formula>I281="OK"</formula>
    </cfRule>
  </conditionalFormatting>
  <conditionalFormatting sqref="K281">
    <cfRule type="expression" dxfId="353" priority="410">
      <formula>K281="NG"</formula>
    </cfRule>
    <cfRule type="expression" dxfId="352" priority="411">
      <formula>K281="OK"</formula>
    </cfRule>
  </conditionalFormatting>
  <conditionalFormatting sqref="O281">
    <cfRule type="expression" dxfId="351" priority="406">
      <formula>O281="NG"</formula>
    </cfRule>
    <cfRule type="expression" dxfId="350" priority="407">
      <formula>O281="OK"</formula>
    </cfRule>
  </conditionalFormatting>
  <conditionalFormatting sqref="Q281">
    <cfRule type="expression" dxfId="349" priority="404">
      <formula>Q281="NG"</formula>
    </cfRule>
    <cfRule type="expression" dxfId="348" priority="405">
      <formula>Q281="OK"</formula>
    </cfRule>
  </conditionalFormatting>
  <conditionalFormatting sqref="C283">
    <cfRule type="expression" dxfId="347" priority="402">
      <formula>C283="NG"</formula>
    </cfRule>
    <cfRule type="expression" dxfId="346" priority="403">
      <formula>C283="OK"</formula>
    </cfRule>
  </conditionalFormatting>
  <conditionalFormatting sqref="E283">
    <cfRule type="expression" dxfId="345" priority="400">
      <formula>E283="NG"</formula>
    </cfRule>
    <cfRule type="expression" dxfId="344" priority="401">
      <formula>E283="OK"</formula>
    </cfRule>
  </conditionalFormatting>
  <conditionalFormatting sqref="G283">
    <cfRule type="expression" dxfId="343" priority="398">
      <formula>G283="NG"</formula>
    </cfRule>
    <cfRule type="expression" dxfId="342" priority="399">
      <formula>G283="OK"</formula>
    </cfRule>
  </conditionalFormatting>
  <conditionalFormatting sqref="I283">
    <cfRule type="expression" dxfId="341" priority="396">
      <formula>I283="NG"</formula>
    </cfRule>
    <cfRule type="expression" dxfId="340" priority="397">
      <formula>I283="OK"</formula>
    </cfRule>
  </conditionalFormatting>
  <conditionalFormatting sqref="M283">
    <cfRule type="expression" dxfId="339" priority="392">
      <formula>M283="NG"</formula>
    </cfRule>
    <cfRule type="expression" dxfId="338" priority="393">
      <formula>M283="OK"</formula>
    </cfRule>
  </conditionalFormatting>
  <conditionalFormatting sqref="O283">
    <cfRule type="expression" dxfId="337" priority="390">
      <formula>O283="NG"</formula>
    </cfRule>
    <cfRule type="expression" dxfId="336" priority="391">
      <formula>O283="OK"</formula>
    </cfRule>
  </conditionalFormatting>
  <conditionalFormatting sqref="Q283">
    <cfRule type="expression" dxfId="335" priority="388">
      <formula>Q283="NG"</formula>
    </cfRule>
    <cfRule type="expression" dxfId="334" priority="389">
      <formula>Q283="OK"</formula>
    </cfRule>
  </conditionalFormatting>
  <conditionalFormatting sqref="C285">
    <cfRule type="expression" dxfId="333" priority="386">
      <formula>C285="NG"</formula>
    </cfRule>
    <cfRule type="expression" dxfId="332" priority="387">
      <formula>C285="OK"</formula>
    </cfRule>
  </conditionalFormatting>
  <conditionalFormatting sqref="E285">
    <cfRule type="expression" dxfId="331" priority="384">
      <formula>E285="NG"</formula>
    </cfRule>
    <cfRule type="expression" dxfId="330" priority="385">
      <formula>E285="OK"</formula>
    </cfRule>
  </conditionalFormatting>
  <conditionalFormatting sqref="G285">
    <cfRule type="expression" dxfId="329" priority="382">
      <formula>G285="NG"</formula>
    </cfRule>
    <cfRule type="expression" dxfId="328" priority="383">
      <formula>G285="OK"</formula>
    </cfRule>
  </conditionalFormatting>
  <conditionalFormatting sqref="K285">
    <cfRule type="expression" dxfId="327" priority="378">
      <formula>K285="NG"</formula>
    </cfRule>
    <cfRule type="expression" dxfId="326" priority="379">
      <formula>K285="OK"</formula>
    </cfRule>
  </conditionalFormatting>
  <conditionalFormatting sqref="M285">
    <cfRule type="expression" dxfId="325" priority="376">
      <formula>M285="NG"</formula>
    </cfRule>
    <cfRule type="expression" dxfId="324" priority="377">
      <formula>M285="OK"</formula>
    </cfRule>
  </conditionalFormatting>
  <conditionalFormatting sqref="O285">
    <cfRule type="expression" dxfId="323" priority="374">
      <formula>O285="NG"</formula>
    </cfRule>
    <cfRule type="expression" dxfId="322" priority="375">
      <formula>O285="OK"</formula>
    </cfRule>
  </conditionalFormatting>
  <conditionalFormatting sqref="Q285">
    <cfRule type="expression" dxfId="321" priority="372">
      <formula>Q285="NG"</formula>
    </cfRule>
    <cfRule type="expression" dxfId="320" priority="373">
      <formula>Q285="OK"</formula>
    </cfRule>
  </conditionalFormatting>
  <conditionalFormatting sqref="C287">
    <cfRule type="expression" dxfId="319" priority="370">
      <formula>C287="NG"</formula>
    </cfRule>
    <cfRule type="expression" dxfId="318" priority="371">
      <formula>C287="OK"</formula>
    </cfRule>
  </conditionalFormatting>
  <conditionalFormatting sqref="G287">
    <cfRule type="expression" dxfId="317" priority="366">
      <formula>G287="NG"</formula>
    </cfRule>
    <cfRule type="expression" dxfId="316" priority="367">
      <formula>G287="OK"</formula>
    </cfRule>
  </conditionalFormatting>
  <conditionalFormatting sqref="I287">
    <cfRule type="expression" dxfId="315" priority="364">
      <formula>I287="NG"</formula>
    </cfRule>
    <cfRule type="expression" dxfId="314" priority="365">
      <formula>I287="OK"</formula>
    </cfRule>
  </conditionalFormatting>
  <conditionalFormatting sqref="K287">
    <cfRule type="expression" dxfId="313" priority="362">
      <formula>K287="NG"</formula>
    </cfRule>
    <cfRule type="expression" dxfId="312" priority="363">
      <formula>K287="OK"</formula>
    </cfRule>
  </conditionalFormatting>
  <conditionalFormatting sqref="M287">
    <cfRule type="expression" dxfId="311" priority="360">
      <formula>M287="NG"</formula>
    </cfRule>
    <cfRule type="expression" dxfId="310" priority="361">
      <formula>M287="OK"</formula>
    </cfRule>
  </conditionalFormatting>
  <conditionalFormatting sqref="O287">
    <cfRule type="expression" dxfId="309" priority="358">
      <formula>O287="NG"</formula>
    </cfRule>
    <cfRule type="expression" dxfId="308" priority="359">
      <formula>O287="OK"</formula>
    </cfRule>
  </conditionalFormatting>
  <conditionalFormatting sqref="Q287">
    <cfRule type="expression" dxfId="307" priority="356">
      <formula>Q287="NG"</formula>
    </cfRule>
    <cfRule type="expression" dxfId="306" priority="357">
      <formula>Q287="OK"</formula>
    </cfRule>
  </conditionalFormatting>
  <conditionalFormatting sqref="C289">
    <cfRule type="expression" dxfId="305" priority="354">
      <formula>C289="NG"</formula>
    </cfRule>
    <cfRule type="expression" dxfId="304" priority="355">
      <formula>C289="OK"</formula>
    </cfRule>
  </conditionalFormatting>
  <conditionalFormatting sqref="G289">
    <cfRule type="expression" dxfId="303" priority="350">
      <formula>G289="NG"</formula>
    </cfRule>
    <cfRule type="expression" dxfId="302" priority="351">
      <formula>G289="OK"</formula>
    </cfRule>
  </conditionalFormatting>
  <conditionalFormatting sqref="I289">
    <cfRule type="expression" dxfId="301" priority="348">
      <formula>I289="NG"</formula>
    </cfRule>
    <cfRule type="expression" dxfId="300" priority="349">
      <formula>I289="OK"</formula>
    </cfRule>
  </conditionalFormatting>
  <conditionalFormatting sqref="K289">
    <cfRule type="expression" dxfId="299" priority="346">
      <formula>K289="NG"</formula>
    </cfRule>
    <cfRule type="expression" dxfId="298" priority="347">
      <formula>K289="OK"</formula>
    </cfRule>
  </conditionalFormatting>
  <conditionalFormatting sqref="M289">
    <cfRule type="expression" dxfId="297" priority="344">
      <formula>M289="NG"</formula>
    </cfRule>
    <cfRule type="expression" dxfId="296" priority="345">
      <formula>M289="OK"</formula>
    </cfRule>
  </conditionalFormatting>
  <conditionalFormatting sqref="O289">
    <cfRule type="expression" dxfId="295" priority="342">
      <formula>O289="NG"</formula>
    </cfRule>
    <cfRule type="expression" dxfId="294" priority="343">
      <formula>O289="OK"</formula>
    </cfRule>
  </conditionalFormatting>
  <conditionalFormatting sqref="E327">
    <cfRule type="expression" dxfId="293" priority="84">
      <formula>E327="NG"</formula>
    </cfRule>
    <cfRule type="expression" dxfId="292" priority="85">
      <formula>E327="OK"</formula>
    </cfRule>
  </conditionalFormatting>
  <conditionalFormatting sqref="C299">
    <cfRule type="expression" dxfId="291" priority="338">
      <formula>C299="NG"</formula>
    </cfRule>
    <cfRule type="expression" dxfId="290" priority="339">
      <formula>C299="OK"</formula>
    </cfRule>
  </conditionalFormatting>
  <conditionalFormatting sqref="E299">
    <cfRule type="expression" dxfId="289" priority="308">
      <formula>E299="NG"</formula>
    </cfRule>
    <cfRule type="expression" dxfId="288" priority="309">
      <formula>E299="OK"</formula>
    </cfRule>
  </conditionalFormatting>
  <conditionalFormatting sqref="G299">
    <cfRule type="expression" dxfId="287" priority="306">
      <formula>G299="NG"</formula>
    </cfRule>
    <cfRule type="expression" dxfId="286" priority="307">
      <formula>G299="OK"</formula>
    </cfRule>
  </conditionalFormatting>
  <conditionalFormatting sqref="I299">
    <cfRule type="expression" dxfId="285" priority="304">
      <formula>I299="NG"</formula>
    </cfRule>
    <cfRule type="expression" dxfId="284" priority="305">
      <formula>I299="OK"</formula>
    </cfRule>
  </conditionalFormatting>
  <conditionalFormatting sqref="K299">
    <cfRule type="expression" dxfId="283" priority="302">
      <formula>K299="NG"</formula>
    </cfRule>
    <cfRule type="expression" dxfId="282" priority="303">
      <formula>K299="OK"</formula>
    </cfRule>
  </conditionalFormatting>
  <conditionalFormatting sqref="M299">
    <cfRule type="expression" dxfId="281" priority="300">
      <formula>M299="NG"</formula>
    </cfRule>
    <cfRule type="expression" dxfId="280" priority="301">
      <formula>M299="OK"</formula>
    </cfRule>
  </conditionalFormatting>
  <conditionalFormatting sqref="O299">
    <cfRule type="expression" dxfId="279" priority="298">
      <formula>O299="NG"</formula>
    </cfRule>
    <cfRule type="expression" dxfId="278" priority="299">
      <formula>O299="OK"</formula>
    </cfRule>
  </conditionalFormatting>
  <conditionalFormatting sqref="Q299">
    <cfRule type="expression" dxfId="277" priority="296">
      <formula>Q299="NG"</formula>
    </cfRule>
    <cfRule type="expression" dxfId="276" priority="297">
      <formula>Q299="OK"</formula>
    </cfRule>
  </conditionalFormatting>
  <conditionalFormatting sqref="C301">
    <cfRule type="expression" dxfId="275" priority="294">
      <formula>C301="NG"</formula>
    </cfRule>
    <cfRule type="expression" dxfId="274" priority="295">
      <formula>C301="OK"</formula>
    </cfRule>
  </conditionalFormatting>
  <conditionalFormatting sqref="E301">
    <cfRule type="expression" dxfId="273" priority="292">
      <formula>E301="NG"</formula>
    </cfRule>
    <cfRule type="expression" dxfId="272" priority="293">
      <formula>E301="OK"</formula>
    </cfRule>
  </conditionalFormatting>
  <conditionalFormatting sqref="G301">
    <cfRule type="expression" dxfId="271" priority="290">
      <formula>G301="NG"</formula>
    </cfRule>
    <cfRule type="expression" dxfId="270" priority="291">
      <formula>G301="OK"</formula>
    </cfRule>
  </conditionalFormatting>
  <conditionalFormatting sqref="I301">
    <cfRule type="expression" dxfId="269" priority="288">
      <formula>I301="NG"</formula>
    </cfRule>
    <cfRule type="expression" dxfId="268" priority="289">
      <formula>I301="OK"</formula>
    </cfRule>
  </conditionalFormatting>
  <conditionalFormatting sqref="K301">
    <cfRule type="expression" dxfId="267" priority="286">
      <formula>K301="NG"</formula>
    </cfRule>
    <cfRule type="expression" dxfId="266" priority="287">
      <formula>K301="OK"</formula>
    </cfRule>
  </conditionalFormatting>
  <conditionalFormatting sqref="M301">
    <cfRule type="expression" dxfId="265" priority="284">
      <formula>M301="NG"</formula>
    </cfRule>
    <cfRule type="expression" dxfId="264" priority="285">
      <formula>M301="OK"</formula>
    </cfRule>
  </conditionalFormatting>
  <conditionalFormatting sqref="O301">
    <cfRule type="expression" dxfId="263" priority="282">
      <formula>O301="NG"</formula>
    </cfRule>
    <cfRule type="expression" dxfId="262" priority="283">
      <formula>O301="OK"</formula>
    </cfRule>
  </conditionalFormatting>
  <conditionalFormatting sqref="Q301">
    <cfRule type="expression" dxfId="261" priority="280">
      <formula>Q301="NG"</formula>
    </cfRule>
    <cfRule type="expression" dxfId="260" priority="281">
      <formula>Q301="OK"</formula>
    </cfRule>
  </conditionalFormatting>
  <conditionalFormatting sqref="C303">
    <cfRule type="expression" dxfId="259" priority="278">
      <formula>C303="NG"</formula>
    </cfRule>
    <cfRule type="expression" dxfId="258" priority="279">
      <formula>C303="OK"</formula>
    </cfRule>
  </conditionalFormatting>
  <conditionalFormatting sqref="E303">
    <cfRule type="expression" dxfId="257" priority="276">
      <formula>E303="NG"</formula>
    </cfRule>
    <cfRule type="expression" dxfId="256" priority="277">
      <formula>E303="OK"</formula>
    </cfRule>
  </conditionalFormatting>
  <conditionalFormatting sqref="G303">
    <cfRule type="expression" dxfId="255" priority="274">
      <formula>G303="NG"</formula>
    </cfRule>
    <cfRule type="expression" dxfId="254" priority="275">
      <formula>G303="OK"</formula>
    </cfRule>
  </conditionalFormatting>
  <conditionalFormatting sqref="I303">
    <cfRule type="expression" dxfId="253" priority="272">
      <formula>I303="NG"</formula>
    </cfRule>
    <cfRule type="expression" dxfId="252" priority="273">
      <formula>I303="OK"</formula>
    </cfRule>
  </conditionalFormatting>
  <conditionalFormatting sqref="K303">
    <cfRule type="expression" dxfId="251" priority="270">
      <formula>K303="NG"</formula>
    </cfRule>
    <cfRule type="expression" dxfId="250" priority="271">
      <formula>K303="OK"</formula>
    </cfRule>
  </conditionalFormatting>
  <conditionalFormatting sqref="M303">
    <cfRule type="expression" dxfId="249" priority="268">
      <formula>M303="NG"</formula>
    </cfRule>
    <cfRule type="expression" dxfId="248" priority="269">
      <formula>M303="OK"</formula>
    </cfRule>
  </conditionalFormatting>
  <conditionalFormatting sqref="O303">
    <cfRule type="expression" dxfId="247" priority="266">
      <formula>O303="NG"</formula>
    </cfRule>
    <cfRule type="expression" dxfId="246" priority="267">
      <formula>O303="OK"</formula>
    </cfRule>
  </conditionalFormatting>
  <conditionalFormatting sqref="Q303">
    <cfRule type="expression" dxfId="245" priority="264">
      <formula>Q303="NG"</formula>
    </cfRule>
    <cfRule type="expression" dxfId="244" priority="265">
      <formula>Q303="OK"</formula>
    </cfRule>
  </conditionalFormatting>
  <conditionalFormatting sqref="C305">
    <cfRule type="expression" dxfId="243" priority="262">
      <formula>C305="NG"</formula>
    </cfRule>
    <cfRule type="expression" dxfId="242" priority="263">
      <formula>C305="OK"</formula>
    </cfRule>
  </conditionalFormatting>
  <conditionalFormatting sqref="E305">
    <cfRule type="expression" dxfId="241" priority="260">
      <formula>E305="NG"</formula>
    </cfRule>
    <cfRule type="expression" dxfId="240" priority="261">
      <formula>E305="OK"</formula>
    </cfRule>
  </conditionalFormatting>
  <conditionalFormatting sqref="G305">
    <cfRule type="expression" dxfId="239" priority="258">
      <formula>G305="NG"</formula>
    </cfRule>
    <cfRule type="expression" dxfId="238" priority="259">
      <formula>G305="OK"</formula>
    </cfRule>
  </conditionalFormatting>
  <conditionalFormatting sqref="I305">
    <cfRule type="expression" dxfId="237" priority="256">
      <formula>I305="NG"</formula>
    </cfRule>
    <cfRule type="expression" dxfId="236" priority="257">
      <formula>I305="OK"</formula>
    </cfRule>
  </conditionalFormatting>
  <conditionalFormatting sqref="K305">
    <cfRule type="expression" dxfId="235" priority="254">
      <formula>K305="NG"</formula>
    </cfRule>
    <cfRule type="expression" dxfId="234" priority="255">
      <formula>K305="OK"</formula>
    </cfRule>
  </conditionalFormatting>
  <conditionalFormatting sqref="M305">
    <cfRule type="expression" dxfId="233" priority="252">
      <formula>M305="NG"</formula>
    </cfRule>
    <cfRule type="expression" dxfId="232" priority="253">
      <formula>M305="OK"</formula>
    </cfRule>
  </conditionalFormatting>
  <conditionalFormatting sqref="O305">
    <cfRule type="expression" dxfId="231" priority="250">
      <formula>O305="NG"</formula>
    </cfRule>
    <cfRule type="expression" dxfId="230" priority="251">
      <formula>O305="OK"</formula>
    </cfRule>
  </conditionalFormatting>
  <conditionalFormatting sqref="Q305">
    <cfRule type="expression" dxfId="229" priority="248">
      <formula>Q305="NG"</formula>
    </cfRule>
    <cfRule type="expression" dxfId="228" priority="249">
      <formula>Q305="OK"</formula>
    </cfRule>
  </conditionalFormatting>
  <conditionalFormatting sqref="C307">
    <cfRule type="expression" dxfId="227" priority="246">
      <formula>C307="NG"</formula>
    </cfRule>
    <cfRule type="expression" dxfId="226" priority="247">
      <formula>C307="OK"</formula>
    </cfRule>
  </conditionalFormatting>
  <conditionalFormatting sqref="E307">
    <cfRule type="expression" dxfId="225" priority="244">
      <formula>E307="NG"</formula>
    </cfRule>
    <cfRule type="expression" dxfId="224" priority="245">
      <formula>E307="OK"</formula>
    </cfRule>
  </conditionalFormatting>
  <conditionalFormatting sqref="G307">
    <cfRule type="expression" dxfId="223" priority="242">
      <formula>G307="NG"</formula>
    </cfRule>
    <cfRule type="expression" dxfId="222" priority="243">
      <formula>G307="OK"</formula>
    </cfRule>
  </conditionalFormatting>
  <conditionalFormatting sqref="I307">
    <cfRule type="expression" dxfId="221" priority="240">
      <formula>I307="NG"</formula>
    </cfRule>
    <cfRule type="expression" dxfId="220" priority="241">
      <formula>I307="OK"</formula>
    </cfRule>
  </conditionalFormatting>
  <conditionalFormatting sqref="K307">
    <cfRule type="expression" dxfId="219" priority="238">
      <formula>K307="NG"</formula>
    </cfRule>
    <cfRule type="expression" dxfId="218" priority="239">
      <formula>K307="OK"</formula>
    </cfRule>
  </conditionalFormatting>
  <conditionalFormatting sqref="M307">
    <cfRule type="expression" dxfId="217" priority="236">
      <formula>M307="NG"</formula>
    </cfRule>
    <cfRule type="expression" dxfId="216" priority="237">
      <formula>M307="OK"</formula>
    </cfRule>
  </conditionalFormatting>
  <conditionalFormatting sqref="O307">
    <cfRule type="expression" dxfId="215" priority="234">
      <formula>O307="NG"</formula>
    </cfRule>
    <cfRule type="expression" dxfId="214" priority="235">
      <formula>O307="OK"</formula>
    </cfRule>
  </conditionalFormatting>
  <conditionalFormatting sqref="Q307">
    <cfRule type="expression" dxfId="213" priority="232">
      <formula>Q307="NG"</formula>
    </cfRule>
    <cfRule type="expression" dxfId="212" priority="233">
      <formula>Q307="OK"</formula>
    </cfRule>
  </conditionalFormatting>
  <conditionalFormatting sqref="C309">
    <cfRule type="expression" dxfId="211" priority="230">
      <formula>C309="NG"</formula>
    </cfRule>
    <cfRule type="expression" dxfId="210" priority="231">
      <formula>C309="OK"</formula>
    </cfRule>
  </conditionalFormatting>
  <conditionalFormatting sqref="E309">
    <cfRule type="expression" dxfId="209" priority="228">
      <formula>E309="NG"</formula>
    </cfRule>
    <cfRule type="expression" dxfId="208" priority="229">
      <formula>E309="OK"</formula>
    </cfRule>
  </conditionalFormatting>
  <conditionalFormatting sqref="G309">
    <cfRule type="expression" dxfId="207" priority="226">
      <formula>G309="NG"</formula>
    </cfRule>
    <cfRule type="expression" dxfId="206" priority="227">
      <formula>G309="OK"</formula>
    </cfRule>
  </conditionalFormatting>
  <conditionalFormatting sqref="I309">
    <cfRule type="expression" dxfId="205" priority="224">
      <formula>I309="NG"</formula>
    </cfRule>
    <cfRule type="expression" dxfId="204" priority="225">
      <formula>I309="OK"</formula>
    </cfRule>
  </conditionalFormatting>
  <conditionalFormatting sqref="K309">
    <cfRule type="expression" dxfId="203" priority="222">
      <formula>K309="NG"</formula>
    </cfRule>
    <cfRule type="expression" dxfId="202" priority="223">
      <formula>K309="OK"</formula>
    </cfRule>
  </conditionalFormatting>
  <conditionalFormatting sqref="M309">
    <cfRule type="expression" dxfId="201" priority="220">
      <formula>M309="NG"</formula>
    </cfRule>
    <cfRule type="expression" dxfId="200" priority="221">
      <formula>M309="OK"</formula>
    </cfRule>
  </conditionalFormatting>
  <conditionalFormatting sqref="O309">
    <cfRule type="expression" dxfId="199" priority="218">
      <formula>O309="NG"</formula>
    </cfRule>
    <cfRule type="expression" dxfId="198" priority="219">
      <formula>O309="OK"</formula>
    </cfRule>
  </conditionalFormatting>
  <conditionalFormatting sqref="Q309">
    <cfRule type="expression" dxfId="197" priority="216">
      <formula>Q309="NG"</formula>
    </cfRule>
    <cfRule type="expression" dxfId="196" priority="217">
      <formula>Q309="OK"</formula>
    </cfRule>
  </conditionalFormatting>
  <conditionalFormatting sqref="C311">
    <cfRule type="expression" dxfId="195" priority="214">
      <formula>C311="NG"</formula>
    </cfRule>
    <cfRule type="expression" dxfId="194" priority="215">
      <formula>C311="OK"</formula>
    </cfRule>
  </conditionalFormatting>
  <conditionalFormatting sqref="E311">
    <cfRule type="expression" dxfId="193" priority="212">
      <formula>E311="NG"</formula>
    </cfRule>
    <cfRule type="expression" dxfId="192" priority="213">
      <formula>E311="OK"</formula>
    </cfRule>
  </conditionalFormatting>
  <conditionalFormatting sqref="G311">
    <cfRule type="expression" dxfId="191" priority="210">
      <formula>G311="NG"</formula>
    </cfRule>
    <cfRule type="expression" dxfId="190" priority="211">
      <formula>G311="OK"</formula>
    </cfRule>
  </conditionalFormatting>
  <conditionalFormatting sqref="I311">
    <cfRule type="expression" dxfId="189" priority="208">
      <formula>I311="NG"</formula>
    </cfRule>
    <cfRule type="expression" dxfId="188" priority="209">
      <formula>I311="OK"</formula>
    </cfRule>
  </conditionalFormatting>
  <conditionalFormatting sqref="K311">
    <cfRule type="expression" dxfId="187" priority="206">
      <formula>K311="NG"</formula>
    </cfRule>
    <cfRule type="expression" dxfId="186" priority="207">
      <formula>K311="OK"</formula>
    </cfRule>
  </conditionalFormatting>
  <conditionalFormatting sqref="M311">
    <cfRule type="expression" dxfId="185" priority="204">
      <formula>M311="NG"</formula>
    </cfRule>
    <cfRule type="expression" dxfId="184" priority="205">
      <formula>M311="OK"</formula>
    </cfRule>
  </conditionalFormatting>
  <conditionalFormatting sqref="O311">
    <cfRule type="expression" dxfId="183" priority="202">
      <formula>O311="NG"</formula>
    </cfRule>
    <cfRule type="expression" dxfId="182" priority="203">
      <formula>O311="OK"</formula>
    </cfRule>
  </conditionalFormatting>
  <conditionalFormatting sqref="Q311">
    <cfRule type="expression" dxfId="181" priority="200">
      <formula>Q311="NG"</formula>
    </cfRule>
    <cfRule type="expression" dxfId="180" priority="201">
      <formula>Q311="OK"</formula>
    </cfRule>
  </conditionalFormatting>
  <conditionalFormatting sqref="C313">
    <cfRule type="expression" dxfId="179" priority="198">
      <formula>C313="NG"</formula>
    </cfRule>
    <cfRule type="expression" dxfId="178" priority="199">
      <formula>C313="OK"</formula>
    </cfRule>
  </conditionalFormatting>
  <conditionalFormatting sqref="E313">
    <cfRule type="expression" dxfId="177" priority="196">
      <formula>E313="NG"</formula>
    </cfRule>
    <cfRule type="expression" dxfId="176" priority="197">
      <formula>E313="OK"</formula>
    </cfRule>
  </conditionalFormatting>
  <conditionalFormatting sqref="G313">
    <cfRule type="expression" dxfId="175" priority="194">
      <formula>G313="NG"</formula>
    </cfRule>
    <cfRule type="expression" dxfId="174" priority="195">
      <formula>G313="OK"</formula>
    </cfRule>
  </conditionalFormatting>
  <conditionalFormatting sqref="I313">
    <cfRule type="expression" dxfId="173" priority="192">
      <formula>I313="NG"</formula>
    </cfRule>
    <cfRule type="expression" dxfId="172" priority="193">
      <formula>I313="OK"</formula>
    </cfRule>
  </conditionalFormatting>
  <conditionalFormatting sqref="K313">
    <cfRule type="expression" dxfId="171" priority="190">
      <formula>K313="NG"</formula>
    </cfRule>
    <cfRule type="expression" dxfId="170" priority="191">
      <formula>K313="OK"</formula>
    </cfRule>
  </conditionalFormatting>
  <conditionalFormatting sqref="M313">
    <cfRule type="expression" dxfId="169" priority="188">
      <formula>M313="NG"</formula>
    </cfRule>
    <cfRule type="expression" dxfId="168" priority="189">
      <formula>M313="OK"</formula>
    </cfRule>
  </conditionalFormatting>
  <conditionalFormatting sqref="O313">
    <cfRule type="expression" dxfId="167" priority="186">
      <formula>O313="NG"</formula>
    </cfRule>
    <cfRule type="expression" dxfId="166" priority="187">
      <formula>O313="OK"</formula>
    </cfRule>
  </conditionalFormatting>
  <conditionalFormatting sqref="Q313">
    <cfRule type="expression" dxfId="165" priority="184">
      <formula>Q313="NG"</formula>
    </cfRule>
    <cfRule type="expression" dxfId="164" priority="185">
      <formula>Q313="OK"</formula>
    </cfRule>
  </conditionalFormatting>
  <conditionalFormatting sqref="C315">
    <cfRule type="expression" dxfId="163" priority="182">
      <formula>C315="NG"</formula>
    </cfRule>
    <cfRule type="expression" dxfId="162" priority="183">
      <formula>C315="OK"</formula>
    </cfRule>
  </conditionalFormatting>
  <conditionalFormatting sqref="E315">
    <cfRule type="expression" dxfId="161" priority="180">
      <formula>E315="NG"</formula>
    </cfRule>
    <cfRule type="expression" dxfId="160" priority="181">
      <formula>E315="OK"</formula>
    </cfRule>
  </conditionalFormatting>
  <conditionalFormatting sqref="G315">
    <cfRule type="expression" dxfId="159" priority="178">
      <formula>G315="NG"</formula>
    </cfRule>
    <cfRule type="expression" dxfId="158" priority="179">
      <formula>G315="OK"</formula>
    </cfRule>
  </conditionalFormatting>
  <conditionalFormatting sqref="I315">
    <cfRule type="expression" dxfId="157" priority="176">
      <formula>I315="NG"</formula>
    </cfRule>
    <cfRule type="expression" dxfId="156" priority="177">
      <formula>I315="OK"</formula>
    </cfRule>
  </conditionalFormatting>
  <conditionalFormatting sqref="K315">
    <cfRule type="expression" dxfId="155" priority="174">
      <formula>K315="NG"</formula>
    </cfRule>
    <cfRule type="expression" dxfId="154" priority="175">
      <formula>K315="OK"</formula>
    </cfRule>
  </conditionalFormatting>
  <conditionalFormatting sqref="M315">
    <cfRule type="expression" dxfId="153" priority="172">
      <formula>M315="NG"</formula>
    </cfRule>
    <cfRule type="expression" dxfId="152" priority="173">
      <formula>M315="OK"</formula>
    </cfRule>
  </conditionalFormatting>
  <conditionalFormatting sqref="O315">
    <cfRule type="expression" dxfId="151" priority="170">
      <formula>O315="NG"</formula>
    </cfRule>
    <cfRule type="expression" dxfId="150" priority="171">
      <formula>O315="OK"</formula>
    </cfRule>
  </conditionalFormatting>
  <conditionalFormatting sqref="Q315">
    <cfRule type="expression" dxfId="149" priority="168">
      <formula>Q315="NG"</formula>
    </cfRule>
    <cfRule type="expression" dxfId="148" priority="169">
      <formula>Q315="OK"</formula>
    </cfRule>
  </conditionalFormatting>
  <conditionalFormatting sqref="C317">
    <cfRule type="expression" dxfId="147" priority="166">
      <formula>C317="NG"</formula>
    </cfRule>
    <cfRule type="expression" dxfId="146" priority="167">
      <formula>C317="OK"</formula>
    </cfRule>
  </conditionalFormatting>
  <conditionalFormatting sqref="E317">
    <cfRule type="expression" dxfId="145" priority="164">
      <formula>E317="NG"</formula>
    </cfRule>
    <cfRule type="expression" dxfId="144" priority="165">
      <formula>E317="OK"</formula>
    </cfRule>
  </conditionalFormatting>
  <conditionalFormatting sqref="G317">
    <cfRule type="expression" dxfId="143" priority="162">
      <formula>G317="NG"</formula>
    </cfRule>
    <cfRule type="expression" dxfId="142" priority="163">
      <formula>G317="OK"</formula>
    </cfRule>
  </conditionalFormatting>
  <conditionalFormatting sqref="I317">
    <cfRule type="expression" dxfId="141" priority="160">
      <formula>I317="NG"</formula>
    </cfRule>
    <cfRule type="expression" dxfId="140" priority="161">
      <formula>I317="OK"</formula>
    </cfRule>
  </conditionalFormatting>
  <conditionalFormatting sqref="K317">
    <cfRule type="expression" dxfId="139" priority="158">
      <formula>K317="NG"</formula>
    </cfRule>
    <cfRule type="expression" dxfId="138" priority="159">
      <formula>K317="OK"</formula>
    </cfRule>
  </conditionalFormatting>
  <conditionalFormatting sqref="M317">
    <cfRule type="expression" dxfId="137" priority="156">
      <formula>M317="NG"</formula>
    </cfRule>
    <cfRule type="expression" dxfId="136" priority="157">
      <formula>M317="OK"</formula>
    </cfRule>
  </conditionalFormatting>
  <conditionalFormatting sqref="O317">
    <cfRule type="expression" dxfId="135" priority="154">
      <formula>O317="NG"</formula>
    </cfRule>
    <cfRule type="expression" dxfId="134" priority="155">
      <formula>O317="OK"</formula>
    </cfRule>
  </conditionalFormatting>
  <conditionalFormatting sqref="Q317">
    <cfRule type="expression" dxfId="133" priority="152">
      <formula>Q317="NG"</formula>
    </cfRule>
    <cfRule type="expression" dxfId="132" priority="153">
      <formula>Q317="OK"</formula>
    </cfRule>
  </conditionalFormatting>
  <conditionalFormatting sqref="C319">
    <cfRule type="expression" dxfId="131" priority="150">
      <formula>C319="NG"</formula>
    </cfRule>
    <cfRule type="expression" dxfId="130" priority="151">
      <formula>C319="OK"</formula>
    </cfRule>
  </conditionalFormatting>
  <conditionalFormatting sqref="E319">
    <cfRule type="expression" dxfId="129" priority="148">
      <formula>E319="NG"</formula>
    </cfRule>
    <cfRule type="expression" dxfId="128" priority="149">
      <formula>E319="OK"</formula>
    </cfRule>
  </conditionalFormatting>
  <conditionalFormatting sqref="G319">
    <cfRule type="expression" dxfId="127" priority="146">
      <formula>G319="NG"</formula>
    </cfRule>
    <cfRule type="expression" dxfId="126" priority="147">
      <formula>G319="OK"</formula>
    </cfRule>
  </conditionalFormatting>
  <conditionalFormatting sqref="I319">
    <cfRule type="expression" dxfId="125" priority="144">
      <formula>I319="NG"</formula>
    </cfRule>
    <cfRule type="expression" dxfId="124" priority="145">
      <formula>I319="OK"</formula>
    </cfRule>
  </conditionalFormatting>
  <conditionalFormatting sqref="K319">
    <cfRule type="expression" dxfId="123" priority="142">
      <formula>K319="NG"</formula>
    </cfRule>
    <cfRule type="expression" dxfId="122" priority="143">
      <formula>K319="OK"</formula>
    </cfRule>
  </conditionalFormatting>
  <conditionalFormatting sqref="M319">
    <cfRule type="expression" dxfId="121" priority="140">
      <formula>M319="NG"</formula>
    </cfRule>
    <cfRule type="expression" dxfId="120" priority="141">
      <formula>M319="OK"</formula>
    </cfRule>
  </conditionalFormatting>
  <conditionalFormatting sqref="O319">
    <cfRule type="expression" dxfId="119" priority="138">
      <formula>O319="NG"</formula>
    </cfRule>
    <cfRule type="expression" dxfId="118" priority="139">
      <formula>O319="OK"</formula>
    </cfRule>
  </conditionalFormatting>
  <conditionalFormatting sqref="Q319">
    <cfRule type="expression" dxfId="117" priority="136">
      <formula>Q319="NG"</formula>
    </cfRule>
    <cfRule type="expression" dxfId="116" priority="137">
      <formula>Q319="OK"</formula>
    </cfRule>
  </conditionalFormatting>
  <conditionalFormatting sqref="C321">
    <cfRule type="expression" dxfId="115" priority="134">
      <formula>C321="NG"</formula>
    </cfRule>
    <cfRule type="expression" dxfId="114" priority="135">
      <formula>C321="OK"</formula>
    </cfRule>
  </conditionalFormatting>
  <conditionalFormatting sqref="E321">
    <cfRule type="expression" dxfId="113" priority="132">
      <formula>E321="NG"</formula>
    </cfRule>
    <cfRule type="expression" dxfId="112" priority="133">
      <formula>E321="OK"</formula>
    </cfRule>
  </conditionalFormatting>
  <conditionalFormatting sqref="G321">
    <cfRule type="expression" dxfId="111" priority="130">
      <formula>G321="NG"</formula>
    </cfRule>
    <cfRule type="expression" dxfId="110" priority="131">
      <formula>G321="OK"</formula>
    </cfRule>
  </conditionalFormatting>
  <conditionalFormatting sqref="I321">
    <cfRule type="expression" dxfId="109" priority="128">
      <formula>I321="NG"</formula>
    </cfRule>
    <cfRule type="expression" dxfId="108" priority="129">
      <formula>I321="OK"</formula>
    </cfRule>
  </conditionalFormatting>
  <conditionalFormatting sqref="K321">
    <cfRule type="expression" dxfId="107" priority="126">
      <formula>K321="NG"</formula>
    </cfRule>
    <cfRule type="expression" dxfId="106" priority="127">
      <formula>K321="OK"</formula>
    </cfRule>
  </conditionalFormatting>
  <conditionalFormatting sqref="M321">
    <cfRule type="expression" dxfId="105" priority="124">
      <formula>M321="NG"</formula>
    </cfRule>
    <cfRule type="expression" dxfId="104" priority="125">
      <formula>M321="OK"</formula>
    </cfRule>
  </conditionalFormatting>
  <conditionalFormatting sqref="O321">
    <cfRule type="expression" dxfId="103" priority="122">
      <formula>O321="NG"</formula>
    </cfRule>
    <cfRule type="expression" dxfId="102" priority="123">
      <formula>O321="OK"</formula>
    </cfRule>
  </conditionalFormatting>
  <conditionalFormatting sqref="Q321">
    <cfRule type="expression" dxfId="101" priority="120">
      <formula>Q321="NG"</formula>
    </cfRule>
    <cfRule type="expression" dxfId="100" priority="121">
      <formula>Q321="OK"</formula>
    </cfRule>
  </conditionalFormatting>
  <conditionalFormatting sqref="C323">
    <cfRule type="expression" dxfId="99" priority="118">
      <formula>C323="NG"</formula>
    </cfRule>
    <cfRule type="expression" dxfId="98" priority="119">
      <formula>C323="OK"</formula>
    </cfRule>
  </conditionalFormatting>
  <conditionalFormatting sqref="E323">
    <cfRule type="expression" dxfId="97" priority="116">
      <formula>E323="NG"</formula>
    </cfRule>
    <cfRule type="expression" dxfId="96" priority="117">
      <formula>E323="OK"</formula>
    </cfRule>
  </conditionalFormatting>
  <conditionalFormatting sqref="G323">
    <cfRule type="expression" dxfId="95" priority="114">
      <formula>G323="NG"</formula>
    </cfRule>
    <cfRule type="expression" dxfId="94" priority="115">
      <formula>G323="OK"</formula>
    </cfRule>
  </conditionalFormatting>
  <conditionalFormatting sqref="I323">
    <cfRule type="expression" dxfId="93" priority="112">
      <formula>I323="NG"</formula>
    </cfRule>
    <cfRule type="expression" dxfId="92" priority="113">
      <formula>I323="OK"</formula>
    </cfRule>
  </conditionalFormatting>
  <conditionalFormatting sqref="K323">
    <cfRule type="expression" dxfId="91" priority="110">
      <formula>K323="NG"</formula>
    </cfRule>
    <cfRule type="expression" dxfId="90" priority="111">
      <formula>K323="OK"</formula>
    </cfRule>
  </conditionalFormatting>
  <conditionalFormatting sqref="M323">
    <cfRule type="expression" dxfId="89" priority="108">
      <formula>M323="NG"</formula>
    </cfRule>
    <cfRule type="expression" dxfId="88" priority="109">
      <formula>M323="OK"</formula>
    </cfRule>
  </conditionalFormatting>
  <conditionalFormatting sqref="O323">
    <cfRule type="expression" dxfId="87" priority="106">
      <formula>O323="NG"</formula>
    </cfRule>
    <cfRule type="expression" dxfId="86" priority="107">
      <formula>O323="OK"</formula>
    </cfRule>
  </conditionalFormatting>
  <conditionalFormatting sqref="Q323">
    <cfRule type="expression" dxfId="85" priority="104">
      <formula>Q323="NG"</formula>
    </cfRule>
    <cfRule type="expression" dxfId="84" priority="105">
      <formula>Q323="OK"</formula>
    </cfRule>
  </conditionalFormatting>
  <conditionalFormatting sqref="C325">
    <cfRule type="expression" dxfId="83" priority="102">
      <formula>C325="NG"</formula>
    </cfRule>
    <cfRule type="expression" dxfId="82" priority="103">
      <formula>C325="OK"</formula>
    </cfRule>
  </conditionalFormatting>
  <conditionalFormatting sqref="E325">
    <cfRule type="expression" dxfId="81" priority="100">
      <formula>E325="NG"</formula>
    </cfRule>
    <cfRule type="expression" dxfId="80" priority="101">
      <formula>E325="OK"</formula>
    </cfRule>
  </conditionalFormatting>
  <conditionalFormatting sqref="G325">
    <cfRule type="expression" dxfId="79" priority="98">
      <formula>G325="NG"</formula>
    </cfRule>
    <cfRule type="expression" dxfId="78" priority="99">
      <formula>G325="OK"</formula>
    </cfRule>
  </conditionalFormatting>
  <conditionalFormatting sqref="I325">
    <cfRule type="expression" dxfId="77" priority="96">
      <formula>I325="NG"</formula>
    </cfRule>
    <cfRule type="expression" dxfId="76" priority="97">
      <formula>I325="OK"</formula>
    </cfRule>
  </conditionalFormatting>
  <conditionalFormatting sqref="K325">
    <cfRule type="expression" dxfId="75" priority="94">
      <formula>K325="NG"</formula>
    </cfRule>
    <cfRule type="expression" dxfId="74" priority="95">
      <formula>K325="OK"</formula>
    </cfRule>
  </conditionalFormatting>
  <conditionalFormatting sqref="M325">
    <cfRule type="expression" dxfId="73" priority="92">
      <formula>M325="NG"</formula>
    </cfRule>
    <cfRule type="expression" dxfId="72" priority="93">
      <formula>M325="OK"</formula>
    </cfRule>
  </conditionalFormatting>
  <conditionalFormatting sqref="O325">
    <cfRule type="expression" dxfId="71" priority="90">
      <formula>O325="NG"</formula>
    </cfRule>
    <cfRule type="expression" dxfId="70" priority="91">
      <formula>O325="OK"</formula>
    </cfRule>
  </conditionalFormatting>
  <conditionalFormatting sqref="Q325">
    <cfRule type="expression" dxfId="69" priority="88">
      <formula>Q325="NG"</formula>
    </cfRule>
    <cfRule type="expression" dxfId="68" priority="89">
      <formula>Q325="OK"</formula>
    </cfRule>
  </conditionalFormatting>
  <conditionalFormatting sqref="C327">
    <cfRule type="expression" dxfId="67" priority="86">
      <formula>C327="NG"</formula>
    </cfRule>
    <cfRule type="expression" dxfId="66" priority="87">
      <formula>C327="OK"</formula>
    </cfRule>
  </conditionalFormatting>
  <conditionalFormatting sqref="G327">
    <cfRule type="expression" dxfId="65" priority="82">
      <formula>G327="NG"</formula>
    </cfRule>
    <cfRule type="expression" dxfId="64" priority="83">
      <formula>G327="OK"</formula>
    </cfRule>
  </conditionalFormatting>
  <conditionalFormatting sqref="I327">
    <cfRule type="expression" dxfId="63" priority="80">
      <formula>I327="NG"</formula>
    </cfRule>
    <cfRule type="expression" dxfId="62" priority="81">
      <formula>I327="OK"</formula>
    </cfRule>
  </conditionalFormatting>
  <conditionalFormatting sqref="K327">
    <cfRule type="expression" dxfId="61" priority="78">
      <formula>K327="NG"</formula>
    </cfRule>
    <cfRule type="expression" dxfId="60" priority="79">
      <formula>K327="OK"</formula>
    </cfRule>
  </conditionalFormatting>
  <conditionalFormatting sqref="M327">
    <cfRule type="expression" dxfId="59" priority="76">
      <formula>M327="NG"</formula>
    </cfRule>
    <cfRule type="expression" dxfId="58" priority="77">
      <formula>M327="OK"</formula>
    </cfRule>
  </conditionalFormatting>
  <conditionalFormatting sqref="O327">
    <cfRule type="expression" dxfId="57" priority="74">
      <formula>O327="NG"</formula>
    </cfRule>
    <cfRule type="expression" dxfId="56" priority="75">
      <formula>O327="OK"</formula>
    </cfRule>
  </conditionalFormatting>
  <conditionalFormatting sqref="Q327">
    <cfRule type="expression" dxfId="55" priority="72">
      <formula>Q327="NG"</formula>
    </cfRule>
    <cfRule type="expression" dxfId="54" priority="73">
      <formula>Q327="OK"</formula>
    </cfRule>
  </conditionalFormatting>
  <conditionalFormatting sqref="C334">
    <cfRule type="expression" dxfId="53" priority="71">
      <formula>$V$348=TRUE</formula>
    </cfRule>
  </conditionalFormatting>
  <conditionalFormatting sqref="E103">
    <cfRule type="expression" dxfId="52" priority="69">
      <formula>E103="NG"</formula>
    </cfRule>
    <cfRule type="expression" dxfId="51" priority="70">
      <formula>E103="OK"</formula>
    </cfRule>
  </conditionalFormatting>
  <conditionalFormatting sqref="E8">
    <cfRule type="expression" dxfId="50" priority="67">
      <formula>E8="NG"</formula>
    </cfRule>
    <cfRule type="expression" dxfId="49" priority="68">
      <formula>E8="OK"</formula>
    </cfRule>
  </conditionalFormatting>
  <conditionalFormatting sqref="E67">
    <cfRule type="expression" dxfId="48" priority="63">
      <formula>E67="NG"</formula>
    </cfRule>
    <cfRule type="expression" dxfId="47" priority="64">
      <formula>E67="OK"</formula>
    </cfRule>
  </conditionalFormatting>
  <conditionalFormatting sqref="E65">
    <cfRule type="expression" dxfId="46" priority="65">
      <formula>E65="NG"</formula>
    </cfRule>
    <cfRule type="expression" dxfId="45" priority="66">
      <formula>E65="OK"</formula>
    </cfRule>
  </conditionalFormatting>
  <conditionalFormatting sqref="E75">
    <cfRule type="expression" dxfId="44" priority="57">
      <formula>E75="NG"</formula>
    </cfRule>
    <cfRule type="expression" dxfId="43" priority="58">
      <formula>E75="OK"</formula>
    </cfRule>
  </conditionalFormatting>
  <conditionalFormatting sqref="E71">
    <cfRule type="expression" dxfId="42" priority="61">
      <formula>E71="NG"</formula>
    </cfRule>
    <cfRule type="expression" dxfId="41" priority="62">
      <formula>E71="OK"</formula>
    </cfRule>
  </conditionalFormatting>
  <conditionalFormatting sqref="E93">
    <cfRule type="expression" dxfId="40" priority="43">
      <formula>E93="NG"</formula>
    </cfRule>
    <cfRule type="expression" dxfId="39" priority="44">
      <formula>E93="OK"</formula>
    </cfRule>
  </conditionalFormatting>
  <conditionalFormatting sqref="E73">
    <cfRule type="expression" dxfId="38" priority="59">
      <formula>E73="SPACE"</formula>
    </cfRule>
    <cfRule type="expression" dxfId="37" priority="60">
      <formula>E73="WIRTED"</formula>
    </cfRule>
  </conditionalFormatting>
  <conditionalFormatting sqref="E81">
    <cfRule type="expression" dxfId="36" priority="55">
      <formula>E81="NG"</formula>
    </cfRule>
    <cfRule type="expression" dxfId="35" priority="56">
      <formula>E81="OK"</formula>
    </cfRule>
  </conditionalFormatting>
  <conditionalFormatting sqref="E83">
    <cfRule type="expression" dxfId="34" priority="53">
      <formula>E83="NG"</formula>
    </cfRule>
    <cfRule type="expression" dxfId="33" priority="54">
      <formula>E83="OK"</formula>
    </cfRule>
  </conditionalFormatting>
  <conditionalFormatting sqref="E85">
    <cfRule type="expression" dxfId="32" priority="51">
      <formula>E85="NG"</formula>
    </cfRule>
    <cfRule type="expression" dxfId="31" priority="52">
      <formula>E85="OK"</formula>
    </cfRule>
  </conditionalFormatting>
  <conditionalFormatting sqref="E87">
    <cfRule type="expression" dxfId="30" priority="49">
      <formula>E87="NG"</formula>
    </cfRule>
    <cfRule type="expression" dxfId="29" priority="50">
      <formula>E87="OK"</formula>
    </cfRule>
  </conditionalFormatting>
  <conditionalFormatting sqref="E89">
    <cfRule type="expression" dxfId="28" priority="47">
      <formula>E89="NG"</formula>
    </cfRule>
    <cfRule type="expression" dxfId="27" priority="48">
      <formula>E89="OK"</formula>
    </cfRule>
  </conditionalFormatting>
  <conditionalFormatting sqref="E91">
    <cfRule type="expression" dxfId="26" priority="45">
      <formula>E91="NG"</formula>
    </cfRule>
    <cfRule type="expression" dxfId="25" priority="46">
      <formula>E91="OK"</formula>
    </cfRule>
  </conditionalFormatting>
  <conditionalFormatting sqref="E32">
    <cfRule type="expression" dxfId="24" priority="39">
      <formula>E32="NG"</formula>
    </cfRule>
    <cfRule type="expression" dxfId="23" priority="40">
      <formula>E32="OK"</formula>
    </cfRule>
  </conditionalFormatting>
  <conditionalFormatting sqref="E69">
    <cfRule type="expression" dxfId="22" priority="35">
      <formula>E69="NG"</formula>
    </cfRule>
    <cfRule type="expression" dxfId="21" priority="36">
      <formula>E69="OK"</formula>
    </cfRule>
  </conditionalFormatting>
  <conditionalFormatting sqref="E58">
    <cfRule type="expression" dxfId="20" priority="29">
      <formula>E58="NG"</formula>
    </cfRule>
    <cfRule type="expression" dxfId="19" priority="30">
      <formula>E58="OK"</formula>
    </cfRule>
  </conditionalFormatting>
  <conditionalFormatting sqref="E245">
    <cfRule type="expression" dxfId="18" priority="19">
      <formula>E245="NG"</formula>
    </cfRule>
    <cfRule type="expression" dxfId="17" priority="20">
      <formula>E245="OK"</formula>
    </cfRule>
  </conditionalFormatting>
  <conditionalFormatting sqref="E247">
    <cfRule type="expression" dxfId="16" priority="17">
      <formula>E247="SPACE"</formula>
    </cfRule>
    <cfRule type="expression" dxfId="15" priority="18">
      <formula>E247="WIRTED"</formula>
    </cfRule>
  </conditionalFormatting>
  <conditionalFormatting sqref="E249">
    <cfRule type="expression" dxfId="14" priority="15">
      <formula>E249="NG"</formula>
    </cfRule>
    <cfRule type="expression" dxfId="13" priority="16">
      <formula>E249="OK"</formula>
    </cfRule>
  </conditionalFormatting>
  <conditionalFormatting sqref="E251">
    <cfRule type="expression" dxfId="12" priority="11">
      <formula>E251="SPACE"</formula>
    </cfRule>
    <cfRule type="expression" dxfId="11" priority="12">
      <formula>E251="WIRTED"</formula>
    </cfRule>
  </conditionalFormatting>
  <conditionalFormatting sqref="E238">
    <cfRule type="expression" dxfId="10" priority="9">
      <formula>E238="SPACE"</formula>
    </cfRule>
    <cfRule type="expression" dxfId="9" priority="10">
      <formula>E238="WIRTED"</formula>
    </cfRule>
  </conditionalFormatting>
  <conditionalFormatting sqref="E40">
    <cfRule type="expression" dxfId="8" priority="7">
      <formula>E40="NG"</formula>
    </cfRule>
    <cfRule type="expression" dxfId="7" priority="8">
      <formula>E40="OK"</formula>
    </cfRule>
  </conditionalFormatting>
  <conditionalFormatting sqref="E77">
    <cfRule type="expression" dxfId="6" priority="5">
      <formula>E77="NG"</formula>
    </cfRule>
    <cfRule type="expression" dxfId="5" priority="6">
      <formula>E77="OK"</formula>
    </cfRule>
  </conditionalFormatting>
  <conditionalFormatting sqref="E95">
    <cfRule type="expression" dxfId="4" priority="3">
      <formula>E95="NG"</formula>
    </cfRule>
    <cfRule type="expression" dxfId="3" priority="4">
      <formula>E95="OK"</formula>
    </cfRule>
  </conditionalFormatting>
  <conditionalFormatting sqref="E220">
    <cfRule type="expression" dxfId="2" priority="1">
      <formula>E220="SPACE"</formula>
    </cfRule>
    <cfRule type="expression" dxfId="1" priority="2">
      <formula>E220="WIRTED"</formula>
    </cfRule>
  </conditionalFormatting>
  <dataValidations count="2">
    <dataValidation type="list" allowBlank="1" showInputMessage="1" showErrorMessage="1" sqref="F295 F257 T257" xr:uid="{00000000-0002-0000-0500-000000000000}">
      <formula1>"1,2,3,4,5,6,7,8,9,10,11,12,13,14,15,16以上"</formula1>
    </dataValidation>
    <dataValidation imeMode="hiragana" allowBlank="1" showInputMessage="1" showErrorMessage="1" sqref="I265 I325 I313 I283 I285 I311 K265 I307 I309 E307 E311 I279 E313 E309 I317 I315 E315 I275 M281 E325 K283 I319 Q283 I267 E319 G319 K275 I321 E321 I323 E323 I273 I299 E299 I277 I301 E301 K267 I303 E303 M271 I305 E305 O283 K277 K285 G325 O277 K279 E317 M263 K325 M325 M287 I287 I269 I263 K263 K287 I271 I281 O285 M283 G323 M285 G321 M289 I289 K319 M319 C319 O319 Q319 K289 K321 M321 G317 C321 O321 O289 K323 M323 C323 O323 Q321 Q323 G299 K299 M299 Q289 C299 O299 G301 K301 M301 Q299 C301 O301 G303 K303 M303 Q301 C303 O303 G305 K305 M305 Q303 C305 O305 G307 K307 M307 Q305 C307 O307 G309 K309 M309 Q307 C309 O309 G311 K311 M311 Q309 C311 O311 G313 K313 M313 Q311 C313 O313 G315 K315 M315 Q313 C315 O315 K317 M317 C317 Q315 O317 Q317 C325 O325 Q325 O263 O265 K269 K273 O273 Q277 O287 C263:G289 O267 Q267 K271 O271 K281 O281 Q287 Q263 O269 Q269 Q271 O275 Q275 O279 Q279 Q281 Q285 Q265 M265 M267 M269 Q273 M273 M275 M277 M279 I327 E327 G327 K327 M327 C327 O327 Q327 T263:T289" xr:uid="{00000000-0002-0000-0500-000001000000}"/>
  </dataValidations>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1"/>
  </sheetPr>
  <dimension ref="A1:C47"/>
  <sheetViews>
    <sheetView workbookViewId="0">
      <selection activeCell="C1" sqref="C1:C4"/>
    </sheetView>
  </sheetViews>
  <sheetFormatPr defaultRowHeight="13.5" x14ac:dyDescent="0.15"/>
  <cols>
    <col min="2" max="3" width="31.625" bestFit="1" customWidth="1"/>
  </cols>
  <sheetData>
    <row r="1" spans="1:3" x14ac:dyDescent="0.15">
      <c r="A1" t="s">
        <v>135</v>
      </c>
      <c r="B1" t="str">
        <f>IF(反映シート!$E$13="トラック事業者","【ア】　貨物自動車運送事業者","")</f>
        <v/>
      </c>
      <c r="C1" t="str">
        <f>IF(反映シート!$E$15="トラック事業者","【ア】　貨物自動車運送事業者","")</f>
        <v/>
      </c>
    </row>
    <row r="2" spans="1:3" x14ac:dyDescent="0.15">
      <c r="A2" t="s">
        <v>80</v>
      </c>
      <c r="B2" t="str">
        <f>IF(反映シート!$E$13="トラック事業者","【イ】　第二種貨物利用運送事業者","")</f>
        <v/>
      </c>
      <c r="C2" t="str">
        <f>IF(反映シート!$E$15="トラック事業者","【イ】　第二種貨物利用運送事業者","")</f>
        <v/>
      </c>
    </row>
    <row r="3" spans="1:3" x14ac:dyDescent="0.15">
      <c r="A3" t="s">
        <v>136</v>
      </c>
      <c r="B3" t="str">
        <f>IF(反映シート!$E$13="トラック事業者","【ウ】　自家用トラック事業者","")</f>
        <v/>
      </c>
      <c r="C3" t="str">
        <f>IF(反映シート!$E$15="トラック事業者","【ウ】　自家用トラック事業者","")</f>
        <v/>
      </c>
    </row>
    <row r="4" spans="1:3" x14ac:dyDescent="0.15">
      <c r="A4" t="s">
        <v>137</v>
      </c>
      <c r="B4" t="str">
        <f>IF(反映シート!$E$13="トラック事業者","【エ】　ア又はイを構成員に含む団体","")</f>
        <v/>
      </c>
      <c r="C4" t="str">
        <f>IF(反映シート!$E$15="トラック事業者","【エ】　ア又はイを構成員に含む団体","")</f>
        <v/>
      </c>
    </row>
    <row r="5" spans="1:3" x14ac:dyDescent="0.15">
      <c r="A5" t="s">
        <v>138</v>
      </c>
    </row>
    <row r="6" spans="1:3" x14ac:dyDescent="0.15">
      <c r="A6" t="s">
        <v>139</v>
      </c>
    </row>
    <row r="7" spans="1:3" x14ac:dyDescent="0.15">
      <c r="A7" t="s">
        <v>140</v>
      </c>
    </row>
    <row r="8" spans="1:3" x14ac:dyDescent="0.15">
      <c r="A8" t="s">
        <v>141</v>
      </c>
    </row>
    <row r="9" spans="1:3" x14ac:dyDescent="0.15">
      <c r="A9" t="s">
        <v>142</v>
      </c>
    </row>
    <row r="10" spans="1:3" x14ac:dyDescent="0.15">
      <c r="A10" t="s">
        <v>143</v>
      </c>
    </row>
    <row r="11" spans="1:3" x14ac:dyDescent="0.15">
      <c r="A11" t="s">
        <v>144</v>
      </c>
    </row>
    <row r="12" spans="1:3" x14ac:dyDescent="0.15">
      <c r="A12" t="s">
        <v>145</v>
      </c>
    </row>
    <row r="13" spans="1:3" x14ac:dyDescent="0.15">
      <c r="A13" t="s">
        <v>146</v>
      </c>
    </row>
    <row r="14" spans="1:3" x14ac:dyDescent="0.15">
      <c r="A14" t="s">
        <v>147</v>
      </c>
    </row>
    <row r="15" spans="1:3" x14ac:dyDescent="0.15">
      <c r="A15" t="s">
        <v>148</v>
      </c>
    </row>
    <row r="16" spans="1:3" x14ac:dyDescent="0.15">
      <c r="A16" t="s">
        <v>149</v>
      </c>
    </row>
    <row r="17" spans="1:1" x14ac:dyDescent="0.15">
      <c r="A17" t="s">
        <v>150</v>
      </c>
    </row>
    <row r="18" spans="1:1" x14ac:dyDescent="0.15">
      <c r="A18" t="s">
        <v>151</v>
      </c>
    </row>
    <row r="19" spans="1:1" x14ac:dyDescent="0.15">
      <c r="A19" t="s">
        <v>152</v>
      </c>
    </row>
    <row r="20" spans="1:1" x14ac:dyDescent="0.15">
      <c r="A20" t="s">
        <v>153</v>
      </c>
    </row>
    <row r="21" spans="1:1" x14ac:dyDescent="0.15">
      <c r="A21" t="s">
        <v>154</v>
      </c>
    </row>
    <row r="22" spans="1:1" x14ac:dyDescent="0.15">
      <c r="A22" t="s">
        <v>155</v>
      </c>
    </row>
    <row r="23" spans="1:1" x14ac:dyDescent="0.15">
      <c r="A23" t="s">
        <v>156</v>
      </c>
    </row>
    <row r="24" spans="1:1" x14ac:dyDescent="0.15">
      <c r="A24" t="s">
        <v>157</v>
      </c>
    </row>
    <row r="25" spans="1:1" x14ac:dyDescent="0.15">
      <c r="A25" t="s">
        <v>158</v>
      </c>
    </row>
    <row r="26" spans="1:1" x14ac:dyDescent="0.15">
      <c r="A26" t="s">
        <v>159</v>
      </c>
    </row>
    <row r="27" spans="1:1" x14ac:dyDescent="0.15">
      <c r="A27" t="s">
        <v>160</v>
      </c>
    </row>
    <row r="28" spans="1:1" x14ac:dyDescent="0.15">
      <c r="A28" t="s">
        <v>161</v>
      </c>
    </row>
    <row r="29" spans="1:1" x14ac:dyDescent="0.15">
      <c r="A29" t="s">
        <v>162</v>
      </c>
    </row>
    <row r="30" spans="1:1" x14ac:dyDescent="0.15">
      <c r="A30" t="s">
        <v>163</v>
      </c>
    </row>
    <row r="31" spans="1:1" x14ac:dyDescent="0.15">
      <c r="A31" t="s">
        <v>164</v>
      </c>
    </row>
    <row r="32" spans="1:1" x14ac:dyDescent="0.15">
      <c r="A32" t="s">
        <v>165</v>
      </c>
    </row>
    <row r="33" spans="1:1" x14ac:dyDescent="0.15">
      <c r="A33" t="s">
        <v>166</v>
      </c>
    </row>
    <row r="34" spans="1:1" x14ac:dyDescent="0.15">
      <c r="A34" t="s">
        <v>167</v>
      </c>
    </row>
    <row r="35" spans="1:1" x14ac:dyDescent="0.15">
      <c r="A35" t="s">
        <v>168</v>
      </c>
    </row>
    <row r="36" spans="1:1" x14ac:dyDescent="0.15">
      <c r="A36" t="s">
        <v>169</v>
      </c>
    </row>
    <row r="37" spans="1:1" x14ac:dyDescent="0.15">
      <c r="A37" t="s">
        <v>170</v>
      </c>
    </row>
    <row r="38" spans="1:1" x14ac:dyDescent="0.15">
      <c r="A38" t="s">
        <v>171</v>
      </c>
    </row>
    <row r="39" spans="1:1" x14ac:dyDescent="0.15">
      <c r="A39" t="s">
        <v>172</v>
      </c>
    </row>
    <row r="40" spans="1:1" x14ac:dyDescent="0.15">
      <c r="A40" t="s">
        <v>173</v>
      </c>
    </row>
    <row r="41" spans="1:1" x14ac:dyDescent="0.15">
      <c r="A41" t="s">
        <v>174</v>
      </c>
    </row>
    <row r="42" spans="1:1" x14ac:dyDescent="0.15">
      <c r="A42" t="s">
        <v>175</v>
      </c>
    </row>
    <row r="43" spans="1:1" x14ac:dyDescent="0.15">
      <c r="A43" t="s">
        <v>176</v>
      </c>
    </row>
    <row r="44" spans="1:1" x14ac:dyDescent="0.15">
      <c r="A44" t="s">
        <v>177</v>
      </c>
    </row>
    <row r="45" spans="1:1" x14ac:dyDescent="0.15">
      <c r="A45" t="s">
        <v>178</v>
      </c>
    </row>
    <row r="46" spans="1:1" x14ac:dyDescent="0.15">
      <c r="A46" t="s">
        <v>11</v>
      </c>
    </row>
    <row r="47" spans="1:1" x14ac:dyDescent="0.15">
      <c r="A47" t="s">
        <v>179</v>
      </c>
    </row>
  </sheetData>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1"/>
  </sheetPr>
  <dimension ref="A1:A4"/>
  <sheetViews>
    <sheetView workbookViewId="0"/>
  </sheetViews>
  <sheetFormatPr defaultRowHeight="13.5" x14ac:dyDescent="0.15"/>
  <sheetData>
    <row r="1" spans="1:1" x14ac:dyDescent="0.15">
      <c r="A1" t="s">
        <v>1</v>
      </c>
    </row>
    <row r="2" spans="1:1" x14ac:dyDescent="0.15">
      <c r="A2" t="s">
        <v>180</v>
      </c>
    </row>
    <row r="3" spans="1:1" x14ac:dyDescent="0.15">
      <c r="A3" t="s">
        <v>181</v>
      </c>
    </row>
    <row r="4" spans="1:1" x14ac:dyDescent="0.15">
      <c r="A4" t="s">
        <v>182</v>
      </c>
    </row>
  </sheetData>
  <phoneticPr fontId="5"/>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theme="1"/>
    <pageSetUpPr fitToPage="1"/>
  </sheetPr>
  <dimension ref="A1:I19"/>
  <sheetViews>
    <sheetView workbookViewId="0"/>
  </sheetViews>
  <sheetFormatPr defaultColWidth="9" defaultRowHeight="13.5" x14ac:dyDescent="0.15"/>
  <cols>
    <col min="1" max="2" width="15" style="49" customWidth="1"/>
    <col min="3" max="3" width="24" style="49" customWidth="1"/>
    <col min="4" max="4" width="18.625" style="49" bestFit="1" customWidth="1"/>
    <col min="5" max="5" width="16.5" style="49" bestFit="1" customWidth="1"/>
    <col min="6" max="6" width="30.25" style="49" bestFit="1" customWidth="1"/>
    <col min="7" max="16384" width="9" style="48"/>
  </cols>
  <sheetData>
    <row r="1" spans="1:9" x14ac:dyDescent="0.15">
      <c r="F1" s="49" t="s">
        <v>279</v>
      </c>
    </row>
    <row r="2" spans="1:9" x14ac:dyDescent="0.15">
      <c r="A2" s="50" t="s">
        <v>278</v>
      </c>
      <c r="B2" s="50" t="s">
        <v>277</v>
      </c>
      <c r="C2" s="50" t="s">
        <v>276</v>
      </c>
      <c r="D2" s="50" t="s">
        <v>275</v>
      </c>
      <c r="E2" s="50" t="s">
        <v>274</v>
      </c>
      <c r="F2" s="50" t="s">
        <v>273</v>
      </c>
    </row>
    <row r="3" spans="1:9" x14ac:dyDescent="0.15">
      <c r="A3" s="50" t="s">
        <v>272</v>
      </c>
      <c r="B3" s="50" t="s">
        <v>271</v>
      </c>
      <c r="C3" s="50" t="s">
        <v>270</v>
      </c>
      <c r="D3" s="50" t="s">
        <v>271</v>
      </c>
      <c r="E3" s="50" t="s">
        <v>270</v>
      </c>
      <c r="F3" s="50" t="s">
        <v>270</v>
      </c>
    </row>
    <row r="4" spans="1:9" x14ac:dyDescent="0.15">
      <c r="A4" s="50" t="s">
        <v>272</v>
      </c>
      <c r="B4" s="50" t="s">
        <v>269</v>
      </c>
      <c r="C4" s="50" t="s">
        <v>270</v>
      </c>
      <c r="D4" s="50" t="s">
        <v>271</v>
      </c>
      <c r="E4" s="50" t="s">
        <v>270</v>
      </c>
      <c r="F4" s="50" t="s">
        <v>270</v>
      </c>
    </row>
    <row r="5" spans="1:9" x14ac:dyDescent="0.15">
      <c r="A5" s="51" t="s">
        <v>272</v>
      </c>
      <c r="B5" s="51" t="s">
        <v>268</v>
      </c>
      <c r="C5" s="51"/>
      <c r="D5" s="51"/>
      <c r="E5" s="51"/>
      <c r="F5" s="51"/>
    </row>
    <row r="6" spans="1:9" x14ac:dyDescent="0.15">
      <c r="A6" s="50" t="s">
        <v>268</v>
      </c>
      <c r="B6" s="50" t="s">
        <v>271</v>
      </c>
      <c r="C6" s="50" t="s">
        <v>271</v>
      </c>
      <c r="D6" s="50" t="s">
        <v>270</v>
      </c>
      <c r="E6" s="50" t="s">
        <v>270</v>
      </c>
      <c r="F6" s="50" t="s">
        <v>270</v>
      </c>
    </row>
    <row r="7" spans="1:9" x14ac:dyDescent="0.15">
      <c r="A7" s="50" t="s">
        <v>268</v>
      </c>
      <c r="B7" s="50" t="s">
        <v>269</v>
      </c>
      <c r="C7" s="50" t="s">
        <v>271</v>
      </c>
      <c r="D7" s="50" t="s">
        <v>270</v>
      </c>
      <c r="E7" s="50" t="s">
        <v>270</v>
      </c>
      <c r="F7" s="50" t="s">
        <v>270</v>
      </c>
    </row>
    <row r="8" spans="1:9" x14ac:dyDescent="0.15">
      <c r="A8" s="51" t="s">
        <v>268</v>
      </c>
      <c r="B8" s="51" t="s">
        <v>272</v>
      </c>
      <c r="C8" s="51"/>
      <c r="D8" s="51"/>
      <c r="E8" s="51"/>
      <c r="F8" s="51"/>
    </row>
    <row r="9" spans="1:9" x14ac:dyDescent="0.15">
      <c r="A9" s="51" t="s">
        <v>269</v>
      </c>
      <c r="B9" s="51" t="s">
        <v>271</v>
      </c>
      <c r="C9" s="51"/>
      <c r="D9" s="51"/>
      <c r="E9" s="51"/>
      <c r="F9" s="51"/>
    </row>
    <row r="10" spans="1:9" x14ac:dyDescent="0.15">
      <c r="A10" s="50" t="s">
        <v>269</v>
      </c>
      <c r="B10" s="50" t="s">
        <v>272</v>
      </c>
      <c r="C10" s="50" t="s">
        <v>270</v>
      </c>
      <c r="D10" s="50" t="s">
        <v>271</v>
      </c>
      <c r="E10" s="50" t="s">
        <v>270</v>
      </c>
      <c r="F10" s="50" t="s">
        <v>270</v>
      </c>
    </row>
    <row r="11" spans="1:9" x14ac:dyDescent="0.15">
      <c r="A11" s="50" t="s">
        <v>269</v>
      </c>
      <c r="B11" s="50" t="s">
        <v>268</v>
      </c>
      <c r="C11" s="50"/>
      <c r="D11" s="50" t="s">
        <v>266</v>
      </c>
      <c r="E11" s="50" t="s">
        <v>267</v>
      </c>
      <c r="F11" s="50" t="s">
        <v>266</v>
      </c>
    </row>
    <row r="12" spans="1:9" x14ac:dyDescent="0.15">
      <c r="C12" s="49" t="s">
        <v>374</v>
      </c>
      <c r="D12" s="49" t="s">
        <v>375</v>
      </c>
      <c r="E12" s="49" t="s">
        <v>462</v>
      </c>
      <c r="F12" s="49" t="s">
        <v>376</v>
      </c>
    </row>
    <row r="14" spans="1:9" x14ac:dyDescent="0.15">
      <c r="D14" s="49" t="s">
        <v>260</v>
      </c>
      <c r="F14" s="1" t="s">
        <v>286</v>
      </c>
      <c r="I14" s="48" t="s">
        <v>294</v>
      </c>
    </row>
    <row r="15" spans="1:9" x14ac:dyDescent="0.15">
      <c r="D15" s="49" t="s">
        <v>265</v>
      </c>
      <c r="F15" s="1" t="s">
        <v>285</v>
      </c>
    </row>
    <row r="16" spans="1:9" x14ac:dyDescent="0.15">
      <c r="D16" s="49" t="s">
        <v>264</v>
      </c>
      <c r="F16" s="1" t="s">
        <v>288</v>
      </c>
    </row>
    <row r="17" spans="4:6" x14ac:dyDescent="0.15">
      <c r="D17" s="49" t="s">
        <v>263</v>
      </c>
      <c r="F17" s="1" t="s">
        <v>289</v>
      </c>
    </row>
    <row r="18" spans="4:6" x14ac:dyDescent="0.15">
      <c r="D18" s="49" t="s">
        <v>262</v>
      </c>
      <c r="F18" s="1" t="s">
        <v>287</v>
      </c>
    </row>
    <row r="19" spans="4:6" x14ac:dyDescent="0.15">
      <c r="D19" s="49" t="s">
        <v>261</v>
      </c>
      <c r="F19" s="1" t="s">
        <v>290</v>
      </c>
    </row>
  </sheetData>
  <phoneticPr fontId="5"/>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9</vt:i4>
      </vt:variant>
    </vt:vector>
  </HeadingPairs>
  <TitlesOfParts>
    <vt:vector size="28" baseType="lpstr">
      <vt:lpstr>使い方</vt:lpstr>
      <vt:lpstr>入力シート</vt:lpstr>
      <vt:lpstr>金額入力シート</vt:lpstr>
      <vt:lpstr>エラー確認シート</vt:lpstr>
      <vt:lpstr>反映シート</vt:lpstr>
      <vt:lpstr>エラー判定</vt:lpstr>
      <vt:lpstr>リスト</vt:lpstr>
      <vt:lpstr>メモ</vt:lpstr>
      <vt:lpstr>めも２</vt:lpstr>
      <vt:lpstr>様式第１_本紙</vt:lpstr>
      <vt:lpstr>様式第１_別紙１</vt:lpstr>
      <vt:lpstr>様式第１_別紙2 (代表申請者)</vt:lpstr>
      <vt:lpstr>様式第１_別紙2 (共同申請者)</vt:lpstr>
      <vt:lpstr>様式第１_別紙2 (予備)</vt:lpstr>
      <vt:lpstr>車両動態管理システム</vt:lpstr>
      <vt:lpstr>予約受付システム等</vt:lpstr>
      <vt:lpstr>配車計画システム</vt:lpstr>
      <vt:lpstr>AI・IoTによるシステム連係ツール </vt:lpstr>
      <vt:lpstr>インポート</vt:lpstr>
      <vt:lpstr>'AI・IoTによるシステム連係ツール '!Print_Area</vt:lpstr>
      <vt:lpstr>車両動態管理システム!Print_Area</vt:lpstr>
      <vt:lpstr>配車計画システム!Print_Area</vt:lpstr>
      <vt:lpstr>予約受付システム等!Print_Area</vt:lpstr>
      <vt:lpstr>様式第１_別紙１!Print_Area</vt:lpstr>
      <vt:lpstr>'様式第１_別紙2 (共同申請者)'!Print_Area</vt:lpstr>
      <vt:lpstr>'様式第１_別紙2 (代表申請者)'!Print_Area</vt:lpstr>
      <vt:lpstr>'様式第１_別紙2 (予備)'!Print_Area</vt:lpstr>
      <vt:lpstr>様式第１_本紙!Print_Area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2022-11-14T07:33:10Z</dcterms:modified>
  <cp:category/>
  <cp:contentStatus/>
</cp:coreProperties>
</file>